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Donna Desrochers\Downloads\"/>
    </mc:Choice>
  </mc:AlternateContent>
  <xr:revisionPtr revIDLastSave="0" documentId="13_ncr:1_{C5E8C8D2-6044-4652-8E4F-6E8BDB2BB488}" xr6:coauthVersionLast="45" xr6:coauthVersionMax="45" xr10:uidLastSave="{00000000-0000-0000-0000-000000000000}"/>
  <bookViews>
    <workbookView xWindow="-120" yWindow="-120" windowWidth="29040" windowHeight="15840" xr2:uid="{58CBAFE9-8094-4A1A-BB49-A27F45A452BF}"/>
  </bookViews>
  <sheets>
    <sheet name="About" sheetId="12" r:id="rId1"/>
    <sheet name="Affordability" sheetId="13" r:id="rId2"/>
    <sheet name="Revenue and Spending" sheetId="14" r:id="rId3"/>
    <sheet name="Efficiency" sheetId="16" r:id="rId4"/>
    <sheet name="Outcomes" sheetId="17" r:id="rId5"/>
    <sheet name="Dashboard Metrics" sheetId="2" state="hidden" r:id="rId6"/>
    <sheet name="Graphics" sheetId="6" state="hidden" r:id="rId7"/>
    <sheet name="College-Populated Metrics" sheetId="10" r:id="rId8"/>
    <sheet name="ROI Calculations" sheetId="18" state="hidden" r:id="rId9"/>
    <sheet name="Definitions" sheetId="1" r:id="rId10"/>
    <sheet name="LUMINA_DASH_DATA_FY16_TEMP" sheetId="9" state="hidden" r:id="rId11"/>
    <sheet name="LUMINA_DASH_MEANS_FY16_TEMP" sheetId="8" state="hidden" r:id="rId12"/>
  </sheets>
  <externalReferences>
    <externalReference r:id="rId13"/>
  </externalReferences>
  <definedNames>
    <definedName name="_xlnm._FilterDatabase" localSheetId="10" hidden="1">LUMINA_DASH_DATA_FY16_TEMP!$A$5:$WWI$2422</definedName>
    <definedName name="InstNames">[1]Metrics!$W$7:INDEX([1]Metrics!$W$7:$W$11,COUNTIF([1]Metrics!$W$7:$W$11,"?*"))</definedName>
    <definedName name="LUMINA_DASH_DATA_FY16_TEMP" localSheetId="1">#REF!</definedName>
    <definedName name="LUMINA_DASH_DATA_FY16_TEMP" localSheetId="10">LUMINA_DASH_DATA_FY16_TEMP!$A$5:$AF$2422</definedName>
    <definedName name="LUMINA_DASH_DATA_FY16_TEMP" localSheetId="2">#REF!</definedName>
    <definedName name="LUMINA_DASH_DATA_FY16_TEMP" localSheetId="8">#REF!</definedName>
    <definedName name="LUMINA_DASH_DATA_FY16_TEMP">#REF!</definedName>
    <definedName name="LUMINA_DASH_INST_FY16" localSheetId="1">#REF!</definedName>
    <definedName name="LUMINA_DASH_INST_FY16" localSheetId="2">#REF!</definedName>
    <definedName name="LUMINA_DASH_INST_FY16" localSheetId="8">#REF!</definedName>
    <definedName name="LUMINA_DASH_INST_FY16">#REF!</definedName>
    <definedName name="LUMINA_DASH_MEANS_FY16" localSheetId="1">#REF!</definedName>
    <definedName name="LUMINA_DASH_MEANS_FY16" localSheetId="2">#REF!</definedName>
    <definedName name="LUMINA_DASH_MEANS_FY16" localSheetId="8">#REF!</definedName>
    <definedName name="LUMINA_DASH_MEANS_FY16">#REF!</definedName>
    <definedName name="LUMINA_DASH_MEANS_FY16_TEMP">LUMINA_DASH_MEANS_FY16_TEMP!$D$5:$AE$12</definedName>
    <definedName name="_xlnm.Print_Area" localSheetId="1">Affordability!$C$1:$H$51</definedName>
    <definedName name="_xlnm.Print_Area" localSheetId="5">'Dashboard Metrics'!$C$1:$O$55</definedName>
    <definedName name="_xlnm.Print_Area" localSheetId="2">'Revenue and Spending'!$C$1:$O$60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2" i="18" l="1"/>
  <c r="G21" i="18"/>
  <c r="G12" i="18"/>
  <c r="L15" i="18"/>
  <c r="Q34" i="18"/>
  <c r="P26" i="18"/>
  <c r="P18" i="18"/>
  <c r="L29" i="18"/>
  <c r="G53" i="18" s="1"/>
  <c r="L28" i="18"/>
  <c r="L27" i="18"/>
  <c r="L25" i="18"/>
  <c r="D4" i="18"/>
  <c r="P15" i="18" s="1"/>
  <c r="G50" i="18" l="1"/>
  <c r="P10" i="18"/>
  <c r="L11" i="18"/>
  <c r="L11" i="10" s="1"/>
  <c r="L14" i="18"/>
  <c r="L14" i="10" s="1"/>
  <c r="P11" i="18" l="1"/>
  <c r="P28" i="18"/>
  <c r="L17" i="18"/>
  <c r="P9" i="18"/>
  <c r="P8" i="18"/>
  <c r="L18" i="18"/>
  <c r="G31" i="18" s="1"/>
  <c r="P21" i="18" l="1"/>
  <c r="G20" i="18"/>
  <c r="Q36" i="18"/>
  <c r="P36" i="18"/>
  <c r="Q35" i="18"/>
  <c r="Q37" i="18" s="1"/>
  <c r="P35" i="18"/>
  <c r="P37" i="18" s="1"/>
  <c r="P38" i="18" l="1"/>
  <c r="G36" i="10" s="1"/>
  <c r="Q38" i="18"/>
  <c r="Q40" i="18" l="1"/>
  <c r="G36" i="18"/>
  <c r="G38" i="18" l="1"/>
  <c r="G38" i="10"/>
  <c r="G50" i="10" l="1"/>
  <c r="D4" i="10"/>
  <c r="L12" i="18" s="1"/>
  <c r="P20" i="18" s="1"/>
  <c r="G34" i="17" l="1"/>
  <c r="G35" i="17"/>
  <c r="G22" i="17"/>
  <c r="G12" i="17"/>
  <c r="G11" i="17"/>
  <c r="C8" i="17"/>
  <c r="D4" i="17"/>
  <c r="C8" i="13"/>
  <c r="C8" i="14"/>
  <c r="C8" i="16"/>
  <c r="D4" i="16"/>
  <c r="D4" i="14" l="1"/>
  <c r="D4" i="2" l="1"/>
  <c r="H4" i="2"/>
  <c r="E54" i="2"/>
  <c r="E49" i="2"/>
  <c r="E48" i="2"/>
  <c r="E46" i="2"/>
  <c r="E44" i="2"/>
  <c r="E43" i="2"/>
  <c r="L39" i="2"/>
  <c r="H39" i="2"/>
  <c r="L38" i="2"/>
  <c r="H38" i="2"/>
  <c r="E35" i="2"/>
  <c r="E34" i="2"/>
  <c r="E30" i="2"/>
  <c r="E29" i="2"/>
  <c r="E27" i="2"/>
  <c r="E26" i="2"/>
  <c r="E25" i="2"/>
  <c r="E24" i="2"/>
  <c r="E20" i="2"/>
  <c r="E19" i="2"/>
  <c r="E17" i="2"/>
  <c r="E16" i="2"/>
  <c r="E15" i="2"/>
  <c r="E14" i="2"/>
  <c r="E11" i="2"/>
  <c r="E10" i="2"/>
  <c r="E9" i="2"/>
  <c r="D5" i="13"/>
  <c r="D5" i="18" s="1"/>
  <c r="D5" i="14" l="1"/>
  <c r="D5" i="10"/>
  <c r="D5" i="17"/>
  <c r="D5" i="16"/>
  <c r="H54" i="2"/>
  <c r="K20" i="2"/>
  <c r="K25" i="2"/>
  <c r="K35" i="2"/>
  <c r="H9" i="2"/>
  <c r="K11" i="2"/>
  <c r="K44" i="2"/>
  <c r="K15" i="2"/>
  <c r="K27" i="2"/>
  <c r="K48" i="2"/>
  <c r="K17" i="2"/>
  <c r="K30" i="2"/>
  <c r="K54" i="2"/>
  <c r="H14" i="2"/>
  <c r="H19" i="2"/>
  <c r="H29" i="2"/>
  <c r="H10" i="2"/>
  <c r="H16" i="2"/>
  <c r="H24" i="2"/>
  <c r="H26" i="2"/>
  <c r="H34" i="2"/>
  <c r="H43" i="2"/>
  <c r="H46" i="2"/>
  <c r="H49" i="2"/>
  <c r="K9" i="2"/>
  <c r="K10" i="2"/>
  <c r="K14" i="2"/>
  <c r="K16" i="2"/>
  <c r="K19" i="2"/>
  <c r="K24" i="2"/>
  <c r="K26" i="2"/>
  <c r="K29" i="2"/>
  <c r="K34" i="2"/>
  <c r="K43" i="2"/>
  <c r="K46" i="2"/>
  <c r="K49" i="2"/>
  <c r="H11" i="2"/>
  <c r="H15" i="2"/>
  <c r="H17" i="2"/>
  <c r="H20" i="2"/>
  <c r="H25" i="2"/>
  <c r="H27" i="2"/>
  <c r="H30" i="2"/>
  <c r="H35" i="2"/>
  <c r="H44" i="2"/>
  <c r="H48" i="2"/>
  <c r="R48" i="2" s="1"/>
  <c r="I22" i="17" s="1"/>
  <c r="G53" i="10"/>
  <c r="L49" i="2" l="1"/>
  <c r="H34" i="17" s="1"/>
  <c r="R49" i="2"/>
  <c r="I34" i="17" s="1"/>
  <c r="L9" i="2"/>
  <c r="H11" i="13" s="1"/>
  <c r="R24" i="2"/>
  <c r="I11" i="14" s="1"/>
  <c r="R11" i="2"/>
  <c r="I13" i="13" s="1"/>
  <c r="R10" i="2"/>
  <c r="I12" i="13" s="1"/>
  <c r="R43" i="2"/>
  <c r="I11" i="17" s="1"/>
  <c r="R34" i="2"/>
  <c r="I11" i="16" s="1"/>
  <c r="R35" i="2"/>
  <c r="I24" i="16" s="1"/>
  <c r="R44" i="2"/>
  <c r="I35" i="17" s="1"/>
  <c r="R46" i="2"/>
  <c r="I12" i="17" s="1"/>
  <c r="R26" i="2"/>
  <c r="I34" i="14" s="1"/>
  <c r="R27" i="2"/>
  <c r="I48" i="14" s="1"/>
  <c r="R29" i="2"/>
  <c r="I23" i="14" s="1"/>
  <c r="R25" i="2"/>
  <c r="I12" i="14" s="1"/>
  <c r="R30" i="2"/>
  <c r="I24" i="14" s="1"/>
  <c r="R14" i="2"/>
  <c r="I21" i="13" s="1"/>
  <c r="R20" i="2"/>
  <c r="I41" i="13" s="1"/>
  <c r="R19" i="2"/>
  <c r="I31" i="13" s="1"/>
  <c r="R9" i="2"/>
  <c r="I11" i="13" s="1"/>
  <c r="R17" i="2"/>
  <c r="I30" i="13" s="1"/>
  <c r="R16" i="2"/>
  <c r="I23" i="13" s="1"/>
  <c r="R15" i="2"/>
  <c r="I22" i="13" s="1"/>
  <c r="F129" i="6"/>
  <c r="D129" i="6"/>
  <c r="C131" i="6"/>
  <c r="F128" i="6" s="1"/>
  <c r="C130" i="6"/>
  <c r="D128" i="6" s="1"/>
  <c r="L109" i="6"/>
  <c r="M108" i="6"/>
  <c r="F109" i="6"/>
  <c r="C111" i="6"/>
  <c r="F108" i="6" s="1"/>
  <c r="C110" i="6"/>
  <c r="D108" i="6" s="1"/>
  <c r="B102" i="6" l="1"/>
  <c r="D109" i="6"/>
  <c r="M88" i="6"/>
  <c r="D88" i="6"/>
  <c r="N87" i="6"/>
  <c r="F87" i="6"/>
  <c r="B81" i="6"/>
  <c r="L51" i="6"/>
  <c r="L50" i="6"/>
  <c r="M49" i="6"/>
  <c r="O49" i="6" s="1"/>
  <c r="D69" i="6"/>
  <c r="E68" i="6"/>
  <c r="D12" i="6" l="1"/>
  <c r="B42" i="6"/>
  <c r="N30" i="6"/>
  <c r="L31" i="6"/>
  <c r="D32" i="6"/>
  <c r="D31" i="6"/>
  <c r="E30" i="6"/>
  <c r="M11" i="6"/>
  <c r="M12" i="6"/>
  <c r="M13" i="6"/>
  <c r="N10" i="6"/>
  <c r="B3" i="6"/>
  <c r="D13" i="6"/>
  <c r="D11" i="6"/>
  <c r="E10" i="6"/>
  <c r="D51" i="6"/>
  <c r="D50" i="6"/>
  <c r="E49" i="6"/>
  <c r="O68" i="6"/>
  <c r="E11" i="6"/>
  <c r="AP2422" i="9"/>
  <c r="AP2377" i="9"/>
  <c r="AP2376" i="9"/>
  <c r="AP2375" i="9"/>
  <c r="AP2374" i="9"/>
  <c r="AP2373" i="9"/>
  <c r="AP2372" i="9"/>
  <c r="AP2371" i="9"/>
  <c r="AP2370" i="9"/>
  <c r="AP2369" i="9"/>
  <c r="AP2368" i="9"/>
  <c r="AP2367" i="9"/>
  <c r="AP2366" i="9"/>
  <c r="AP2365" i="9"/>
  <c r="AP2364" i="9"/>
  <c r="AP2363" i="9"/>
  <c r="AP2362" i="9"/>
  <c r="AP2361" i="9"/>
  <c r="AP2360" i="9"/>
  <c r="AP2359" i="9"/>
  <c r="AP2358" i="9"/>
  <c r="AP2357" i="9"/>
  <c r="AP2356" i="9"/>
  <c r="AP2355" i="9"/>
  <c r="AP2354" i="9"/>
  <c r="AP2353" i="9"/>
  <c r="AP2352" i="9"/>
  <c r="AP2351" i="9"/>
  <c r="AP2350" i="9"/>
  <c r="AP2349" i="9"/>
  <c r="AP2348" i="9"/>
  <c r="AP2347" i="9"/>
  <c r="AP2346" i="9"/>
  <c r="AP2345" i="9"/>
  <c r="AP2344" i="9"/>
  <c r="AP2343" i="9"/>
  <c r="AP2342" i="9"/>
  <c r="AP2341" i="9"/>
  <c r="AP2340" i="9"/>
  <c r="AP2339" i="9"/>
  <c r="AP2338" i="9"/>
  <c r="AP2337" i="9"/>
  <c r="AP2336" i="9"/>
  <c r="AP2335" i="9"/>
  <c r="AP2334" i="9"/>
  <c r="AP2333" i="9"/>
  <c r="AP2332" i="9"/>
  <c r="AP2331" i="9"/>
  <c r="AP2330" i="9"/>
  <c r="AP2329" i="9"/>
  <c r="AP2328" i="9"/>
  <c r="AP2327" i="9"/>
  <c r="AP2326" i="9"/>
  <c r="AP2325" i="9"/>
  <c r="AP2324" i="9"/>
  <c r="AP2323" i="9"/>
  <c r="AP2322" i="9"/>
  <c r="AP2321" i="9"/>
  <c r="AP2320" i="9"/>
  <c r="AP2319" i="9"/>
  <c r="AP2318" i="9"/>
  <c r="AP2317" i="9"/>
  <c r="AP2316" i="9"/>
  <c r="AP2315" i="9"/>
  <c r="AP2314" i="9"/>
  <c r="AP2313" i="9"/>
  <c r="AP2312" i="9"/>
  <c r="AP2311" i="9"/>
  <c r="AP2309" i="9"/>
  <c r="AP2308" i="9"/>
  <c r="AP2310" i="9"/>
  <c r="AP2307" i="9"/>
  <c r="AP2306" i="9"/>
  <c r="AP2305" i="9"/>
  <c r="AP2304" i="9"/>
  <c r="AP2303" i="9"/>
  <c r="AP2302" i="9"/>
  <c r="AP2301" i="9"/>
  <c r="AP2300" i="9"/>
  <c r="AP2299" i="9"/>
  <c r="AP2298" i="9"/>
  <c r="AP2297" i="9"/>
  <c r="AP2296" i="9"/>
  <c r="AP2295" i="9"/>
  <c r="AP2294" i="9"/>
  <c r="AP2293" i="9"/>
  <c r="AP2292" i="9"/>
  <c r="AP2291" i="9"/>
  <c r="AP2290" i="9"/>
  <c r="AP2289" i="9"/>
  <c r="AP2288" i="9"/>
  <c r="AP2287" i="9"/>
  <c r="AP2286" i="9"/>
  <c r="AP2284" i="9"/>
  <c r="AP2285" i="9"/>
  <c r="AP2283" i="9"/>
  <c r="AP2282" i="9"/>
  <c r="AP2281" i="9"/>
  <c r="AP2280" i="9"/>
  <c r="AP2279" i="9"/>
  <c r="AP2278" i="9"/>
  <c r="AP2277" i="9"/>
  <c r="AP2276" i="9"/>
  <c r="AP2275" i="9"/>
  <c r="AP2274" i="9"/>
  <c r="AP2273" i="9"/>
  <c r="AP2272" i="9"/>
  <c r="AP2271" i="9"/>
  <c r="AP2270" i="9"/>
  <c r="AP2269" i="9"/>
  <c r="AP2268" i="9"/>
  <c r="AP2267" i="9"/>
  <c r="AP2266" i="9"/>
  <c r="AP2265" i="9"/>
  <c r="AP2264" i="9"/>
  <c r="AP2263" i="9"/>
  <c r="AP2262" i="9"/>
  <c r="AP2261" i="9"/>
  <c r="AP2260" i="9"/>
  <c r="AP2259" i="9"/>
  <c r="AP2258" i="9"/>
  <c r="AP2257" i="9"/>
  <c r="AP2256" i="9"/>
  <c r="AP2255" i="9"/>
  <c r="AP2254" i="9"/>
  <c r="AP2253" i="9"/>
  <c r="AP2252" i="9"/>
  <c r="AP2251" i="9"/>
  <c r="AP2250" i="9"/>
  <c r="AP2249" i="9"/>
  <c r="AP2248" i="9"/>
  <c r="AP2247" i="9"/>
  <c r="AP2246" i="9"/>
  <c r="AP2245" i="9"/>
  <c r="AP2244" i="9"/>
  <c r="AP2243" i="9"/>
  <c r="AP2242" i="9"/>
  <c r="AP2241" i="9"/>
  <c r="AP2240" i="9"/>
  <c r="AP2239" i="9"/>
  <c r="AP2238" i="9"/>
  <c r="AP2237" i="9"/>
  <c r="AP2236" i="9"/>
  <c r="AP2235" i="9"/>
  <c r="AP2234" i="9"/>
  <c r="AP2233" i="9"/>
  <c r="AP2232" i="9"/>
  <c r="AP2231" i="9"/>
  <c r="AP2230" i="9"/>
  <c r="AP2229" i="9"/>
  <c r="AP2228" i="9"/>
  <c r="AP2227" i="9"/>
  <c r="AP2226" i="9"/>
  <c r="AP2225" i="9"/>
  <c r="AP2224" i="9"/>
  <c r="AP2223" i="9"/>
  <c r="AP2222" i="9"/>
  <c r="AP2221" i="9"/>
  <c r="AP2220" i="9"/>
  <c r="AP2219" i="9"/>
  <c r="AP2218" i="9"/>
  <c r="AP2217" i="9"/>
  <c r="AP2216" i="9"/>
  <c r="AP2215" i="9"/>
  <c r="AP2214" i="9"/>
  <c r="AP2213" i="9"/>
  <c r="AP2212" i="9"/>
  <c r="AP2211" i="9"/>
  <c r="AP2210" i="9"/>
  <c r="AP2209" i="9"/>
  <c r="AP2208" i="9"/>
  <c r="AP2207" i="9"/>
  <c r="AP2206" i="9"/>
  <c r="AP2205" i="9"/>
  <c r="AP2204" i="9"/>
  <c r="AP2203" i="9"/>
  <c r="AP2202" i="9"/>
  <c r="AP2201" i="9"/>
  <c r="AP2200" i="9"/>
  <c r="AP2199" i="9"/>
  <c r="AP2198" i="9"/>
  <c r="AP2197" i="9"/>
  <c r="AP2196" i="9"/>
  <c r="AP2195" i="9"/>
  <c r="AP2194" i="9"/>
  <c r="AP2193" i="9"/>
  <c r="AP2192" i="9"/>
  <c r="AP2191" i="9"/>
  <c r="AP2190" i="9"/>
  <c r="AP2189" i="9"/>
  <c r="AP2188" i="9"/>
  <c r="AP2187" i="9"/>
  <c r="AP2186" i="9"/>
  <c r="AP2185" i="9"/>
  <c r="AP2184" i="9"/>
  <c r="AP2183" i="9"/>
  <c r="AP2182" i="9"/>
  <c r="AP2181" i="9"/>
  <c r="AP2180" i="9"/>
  <c r="AP2179" i="9"/>
  <c r="AP2178" i="9"/>
  <c r="AP2177" i="9"/>
  <c r="AP2176" i="9"/>
  <c r="AP2175" i="9"/>
  <c r="AP2174" i="9"/>
  <c r="AP2173" i="9"/>
  <c r="AP2172" i="9"/>
  <c r="AP2171" i="9"/>
  <c r="AP2170" i="9"/>
  <c r="AP2169" i="9"/>
  <c r="AP2168" i="9"/>
  <c r="AP2167" i="9"/>
  <c r="AP2166" i="9"/>
  <c r="AP2165" i="9"/>
  <c r="AP2164" i="9"/>
  <c r="AP2163" i="9"/>
  <c r="AP2162" i="9"/>
  <c r="AP2161" i="9"/>
  <c r="AP2160" i="9"/>
  <c r="AP2159" i="9"/>
  <c r="AP2158" i="9"/>
  <c r="AP2157" i="9"/>
  <c r="AP2156" i="9"/>
  <c r="AP2155" i="9"/>
  <c r="AP2154" i="9"/>
  <c r="AP2153" i="9"/>
  <c r="AP2152" i="9"/>
  <c r="AP2151" i="9"/>
  <c r="AP2150" i="9"/>
  <c r="AP2149" i="9"/>
  <c r="AP2148" i="9"/>
  <c r="AP2147" i="9"/>
  <c r="AP2146" i="9"/>
  <c r="AP2145" i="9"/>
  <c r="AP2144" i="9"/>
  <c r="AP2143" i="9"/>
  <c r="AP2142" i="9"/>
  <c r="AP2141" i="9"/>
  <c r="AP2140" i="9"/>
  <c r="AP2139" i="9"/>
  <c r="AP2138" i="9"/>
  <c r="AP2137" i="9"/>
  <c r="AP2136" i="9"/>
  <c r="AP2135" i="9"/>
  <c r="AP2134" i="9"/>
  <c r="AP2133" i="9"/>
  <c r="AP2132" i="9"/>
  <c r="AP2131" i="9"/>
  <c r="AP2130" i="9"/>
  <c r="AP2129" i="9"/>
  <c r="AP2128" i="9"/>
  <c r="AP2127" i="9"/>
  <c r="AP2126" i="9"/>
  <c r="AP2125" i="9"/>
  <c r="AP2124" i="9"/>
  <c r="AP2123" i="9"/>
  <c r="AP2122" i="9"/>
  <c r="AP2121" i="9"/>
  <c r="AP2120" i="9"/>
  <c r="AP2119" i="9"/>
  <c r="AP2118" i="9"/>
  <c r="AP2117" i="9"/>
  <c r="AP2116" i="9"/>
  <c r="AP2115" i="9"/>
  <c r="AP2114" i="9"/>
  <c r="AP2113" i="9"/>
  <c r="AP2112" i="9"/>
  <c r="AP2111" i="9"/>
  <c r="AP2110" i="9"/>
  <c r="AP2109" i="9"/>
  <c r="AP2108" i="9"/>
  <c r="AP2107" i="9"/>
  <c r="AP2106" i="9"/>
  <c r="AP2105" i="9"/>
  <c r="AP2104" i="9"/>
  <c r="AP2103" i="9"/>
  <c r="AP2102" i="9"/>
  <c r="AP2101" i="9"/>
  <c r="AP2100" i="9"/>
  <c r="AP2099" i="9"/>
  <c r="AP2098" i="9"/>
  <c r="AP2097" i="9"/>
  <c r="AP2096" i="9"/>
  <c r="AP2095" i="9"/>
  <c r="AP2094" i="9"/>
  <c r="AP2093" i="9"/>
  <c r="AP2092" i="9"/>
  <c r="AP2091" i="9"/>
  <c r="AP2090" i="9"/>
  <c r="AP2089" i="9"/>
  <c r="AP2088" i="9"/>
  <c r="AP2087" i="9"/>
  <c r="AP2086" i="9"/>
  <c r="AP2085" i="9"/>
  <c r="AP2084" i="9"/>
  <c r="AP2083" i="9"/>
  <c r="AP2082" i="9"/>
  <c r="AP2081" i="9"/>
  <c r="AP2080" i="9"/>
  <c r="AP2079" i="9"/>
  <c r="AP2078" i="9"/>
  <c r="AP2077" i="9"/>
  <c r="AP2076" i="9"/>
  <c r="AP2075" i="9"/>
  <c r="AP2074" i="9"/>
  <c r="AP2073" i="9"/>
  <c r="AP2072" i="9"/>
  <c r="AP2071" i="9"/>
  <c r="AP2070" i="9"/>
  <c r="AP2069" i="9"/>
  <c r="AP2068" i="9"/>
  <c r="AP2067" i="9"/>
  <c r="AP2066" i="9"/>
  <c r="AP2065" i="9"/>
  <c r="AP2064" i="9"/>
  <c r="AP2063" i="9"/>
  <c r="AP2062" i="9"/>
  <c r="AP2061" i="9"/>
  <c r="AP2060" i="9"/>
  <c r="AP2059" i="9"/>
  <c r="AP2058" i="9"/>
  <c r="AP2057" i="9"/>
  <c r="AP2056" i="9"/>
  <c r="AP2055" i="9"/>
  <c r="AP2054" i="9"/>
  <c r="AP2053" i="9"/>
  <c r="AP2052" i="9"/>
  <c r="AP2051" i="9"/>
  <c r="AP2050" i="9"/>
  <c r="AP2049" i="9"/>
  <c r="AP2048" i="9"/>
  <c r="AP2047" i="9"/>
  <c r="AP2046" i="9"/>
  <c r="AP2045" i="9"/>
  <c r="AP2044" i="9"/>
  <c r="AP2043" i="9"/>
  <c r="AP2042" i="9"/>
  <c r="AP2041" i="9"/>
  <c r="AP2040" i="9"/>
  <c r="AP2039" i="9"/>
  <c r="AP2038" i="9"/>
  <c r="AP2037" i="9"/>
  <c r="AP2036" i="9"/>
  <c r="AP2035" i="9"/>
  <c r="AP2034" i="9"/>
  <c r="AP2033" i="9"/>
  <c r="AP2032" i="9"/>
  <c r="AP2031" i="9"/>
  <c r="AP2030" i="9"/>
  <c r="AP2029" i="9"/>
  <c r="AP2028" i="9"/>
  <c r="AP2027" i="9"/>
  <c r="AP2026" i="9"/>
  <c r="AP2025" i="9"/>
  <c r="AP2024" i="9"/>
  <c r="AP2023" i="9"/>
  <c r="AP2022" i="9"/>
  <c r="AP2021" i="9"/>
  <c r="AP2020" i="9"/>
  <c r="AP2019" i="9"/>
  <c r="AP2018" i="9"/>
  <c r="AP2017" i="9"/>
  <c r="AP2016" i="9"/>
  <c r="AP2015" i="9"/>
  <c r="AP2014" i="9"/>
  <c r="AP2013" i="9"/>
  <c r="AP2012" i="9"/>
  <c r="AP2011" i="9"/>
  <c r="AP2010" i="9"/>
  <c r="AP2009" i="9"/>
  <c r="AP2008" i="9"/>
  <c r="AP2007" i="9"/>
  <c r="AP2006" i="9"/>
  <c r="AP2005" i="9"/>
  <c r="AP2004" i="9"/>
  <c r="AP2003" i="9"/>
  <c r="AP2002" i="9"/>
  <c r="AP2001" i="9"/>
  <c r="AP2000" i="9"/>
  <c r="AP1999" i="9"/>
  <c r="AP1998" i="9"/>
  <c r="AP1997" i="9"/>
  <c r="AP1996" i="9"/>
  <c r="AP1995" i="9"/>
  <c r="AP1994" i="9"/>
  <c r="AP1993" i="9"/>
  <c r="AP1992" i="9"/>
  <c r="AP1991" i="9"/>
  <c r="AP1990" i="9"/>
  <c r="AP1989" i="9"/>
  <c r="AP1988" i="9"/>
  <c r="AP1987" i="9"/>
  <c r="AP1986" i="9"/>
  <c r="AP1985" i="9"/>
  <c r="AP1984" i="9"/>
  <c r="AP1983" i="9"/>
  <c r="AP1982" i="9"/>
  <c r="AP1981" i="9"/>
  <c r="AP1980" i="9"/>
  <c r="AP1979" i="9"/>
  <c r="AP1978" i="9"/>
  <c r="AP1977" i="9"/>
  <c r="AP1976" i="9"/>
  <c r="AP1975" i="9"/>
  <c r="AP1974" i="9"/>
  <c r="AP1973" i="9"/>
  <c r="AP1972" i="9"/>
  <c r="AP1971" i="9"/>
  <c r="AP1970" i="9"/>
  <c r="AP1969" i="9"/>
  <c r="AP1968" i="9"/>
  <c r="AP1967" i="9"/>
  <c r="AP1966" i="9"/>
  <c r="AP1965" i="9"/>
  <c r="AP1964" i="9"/>
  <c r="AP1963" i="9"/>
  <c r="AP1962" i="9"/>
  <c r="AP1961" i="9"/>
  <c r="AP1960" i="9"/>
  <c r="AP1959" i="9"/>
  <c r="AP1958" i="9"/>
  <c r="AP1957" i="9"/>
  <c r="AP1956" i="9"/>
  <c r="AP1955" i="9"/>
  <c r="AP1954" i="9"/>
  <c r="AP1953" i="9"/>
  <c r="AP1952" i="9"/>
  <c r="AP1951" i="9"/>
  <c r="AP1950" i="9"/>
  <c r="AP1949" i="9"/>
  <c r="AP1948" i="9"/>
  <c r="AP1947" i="9"/>
  <c r="AP1946" i="9"/>
  <c r="AP1945" i="9"/>
  <c r="AP1944" i="9"/>
  <c r="AP1943" i="9"/>
  <c r="AP1942" i="9"/>
  <c r="AP1941" i="9"/>
  <c r="AP1940" i="9"/>
  <c r="AP1939" i="9"/>
  <c r="AP1938" i="9"/>
  <c r="AP1937" i="9"/>
  <c r="AP1936" i="9"/>
  <c r="AP1935" i="9"/>
  <c r="AP1934" i="9"/>
  <c r="AP1933" i="9"/>
  <c r="AP1932" i="9"/>
  <c r="AP1931" i="9"/>
  <c r="AP1930" i="9"/>
  <c r="AP1929" i="9"/>
  <c r="AP1928" i="9"/>
  <c r="AP1927" i="9"/>
  <c r="AP1926" i="9"/>
  <c r="AP1925" i="9"/>
  <c r="AP1924" i="9"/>
  <c r="AP1923" i="9"/>
  <c r="AP1922" i="9"/>
  <c r="AP1921" i="9"/>
  <c r="AP1920" i="9"/>
  <c r="AP1919" i="9"/>
  <c r="AP1918" i="9"/>
  <c r="AP1917" i="9"/>
  <c r="AP1916" i="9"/>
  <c r="AP1915" i="9"/>
  <c r="AP1914" i="9"/>
  <c r="AP1913" i="9"/>
  <c r="AP1912" i="9"/>
  <c r="AP1911" i="9"/>
  <c r="AP1910" i="9"/>
  <c r="AP1909" i="9"/>
  <c r="AP1908" i="9"/>
  <c r="AP1907" i="9"/>
  <c r="AP1906" i="9"/>
  <c r="AP1905" i="9"/>
  <c r="AP1904" i="9"/>
  <c r="AP1903" i="9"/>
  <c r="AP1902" i="9"/>
  <c r="AP1901" i="9"/>
  <c r="AP1900" i="9"/>
  <c r="AP1899" i="9"/>
  <c r="AP1898" i="9"/>
  <c r="AP1897" i="9"/>
  <c r="AP1896" i="9"/>
  <c r="AP1895" i="9"/>
  <c r="AP1894" i="9"/>
  <c r="AP1893" i="9"/>
  <c r="AP1892" i="9"/>
  <c r="AP1891" i="9"/>
  <c r="AP1890" i="9"/>
  <c r="AP1889" i="9"/>
  <c r="AP1888" i="9"/>
  <c r="AP1887" i="9"/>
  <c r="AP1886" i="9"/>
  <c r="AP1885" i="9"/>
  <c r="AP1884" i="9"/>
  <c r="AP1883" i="9"/>
  <c r="AP1882" i="9"/>
  <c r="AP1881" i="9"/>
  <c r="AP1880" i="9"/>
  <c r="AP1879" i="9"/>
  <c r="AP1878" i="9"/>
  <c r="AP1877" i="9"/>
  <c r="AP1876" i="9"/>
  <c r="AP1875" i="9"/>
  <c r="AP1874" i="9"/>
  <c r="AP1873" i="9"/>
  <c r="AP1872" i="9"/>
  <c r="AP1871" i="9"/>
  <c r="AP1870" i="9"/>
  <c r="AP1869" i="9"/>
  <c r="AP1868" i="9"/>
  <c r="AP1867" i="9"/>
  <c r="AP1866" i="9"/>
  <c r="AP1865" i="9"/>
  <c r="AP1864" i="9"/>
  <c r="AP1863" i="9"/>
  <c r="AP1862" i="9"/>
  <c r="AP1861" i="9"/>
  <c r="AP1860" i="9"/>
  <c r="AP1859" i="9"/>
  <c r="AP1858" i="9"/>
  <c r="AP1857" i="9"/>
  <c r="AP1856" i="9"/>
  <c r="AP1855" i="9"/>
  <c r="AP1854" i="9"/>
  <c r="AP1853" i="9"/>
  <c r="AP1852" i="9"/>
  <c r="AP1851" i="9"/>
  <c r="AP1850" i="9"/>
  <c r="AP1849" i="9"/>
  <c r="AP1848" i="9"/>
  <c r="AP1847" i="9"/>
  <c r="AP1846" i="9"/>
  <c r="AP1845" i="9"/>
  <c r="AP1844" i="9"/>
  <c r="AP1843" i="9"/>
  <c r="AP1842" i="9"/>
  <c r="AP1841" i="9"/>
  <c r="AP1840" i="9"/>
  <c r="AP1839" i="9"/>
  <c r="AP1838" i="9"/>
  <c r="AP1837" i="9"/>
  <c r="AP1836" i="9"/>
  <c r="AP1835" i="9"/>
  <c r="AP1834" i="9"/>
  <c r="AP1833" i="9"/>
  <c r="AP1832" i="9"/>
  <c r="AP1831" i="9"/>
  <c r="AP1830" i="9"/>
  <c r="AP1829" i="9"/>
  <c r="AP1825" i="9"/>
  <c r="AP1826" i="9"/>
  <c r="AP1828" i="9"/>
  <c r="AP1827" i="9"/>
  <c r="AP1824" i="9"/>
  <c r="AP1823" i="9"/>
  <c r="AP1822" i="9"/>
  <c r="AP1821" i="9"/>
  <c r="AP1820" i="9"/>
  <c r="AP1819" i="9"/>
  <c r="AP1818" i="9"/>
  <c r="AP1817" i="9"/>
  <c r="AP1816" i="9"/>
  <c r="AP1815" i="9"/>
  <c r="AP1814" i="9"/>
  <c r="AP1813" i="9"/>
  <c r="AP1812" i="9"/>
  <c r="AP1811" i="9"/>
  <c r="AP1810" i="9"/>
  <c r="AP1809" i="9"/>
  <c r="AP1808" i="9"/>
  <c r="AP1807" i="9"/>
  <c r="AP1806" i="9"/>
  <c r="AP1805" i="9"/>
  <c r="AP1804" i="9"/>
  <c r="AP1803" i="9"/>
  <c r="AP1802" i="9"/>
  <c r="AP1801" i="9"/>
  <c r="AP1800" i="9"/>
  <c r="AP1799" i="9"/>
  <c r="AP1798" i="9"/>
  <c r="AP1797" i="9"/>
  <c r="AP1796" i="9"/>
  <c r="AP1795" i="9"/>
  <c r="AP1794" i="9"/>
  <c r="AP1793" i="9"/>
  <c r="AP1792" i="9"/>
  <c r="AP1791" i="9"/>
  <c r="AP1790" i="9"/>
  <c r="AP1789" i="9"/>
  <c r="AP1788" i="9"/>
  <c r="AP1787" i="9"/>
  <c r="AP1786" i="9"/>
  <c r="AP1785" i="9"/>
  <c r="AP1784" i="9"/>
  <c r="AP1783" i="9"/>
  <c r="AP1782" i="9"/>
  <c r="AP1781" i="9"/>
  <c r="AP1780" i="9"/>
  <c r="AP1779" i="9"/>
  <c r="AP1778" i="9"/>
  <c r="AP1777" i="9"/>
  <c r="AP1776" i="9"/>
  <c r="AP1775" i="9"/>
  <c r="AP1774" i="9"/>
  <c r="AP1773" i="9"/>
  <c r="AP1772" i="9"/>
  <c r="AP1771" i="9"/>
  <c r="AP1770" i="9"/>
  <c r="AP1769" i="9"/>
  <c r="AP1768" i="9"/>
  <c r="AP1767" i="9"/>
  <c r="AP1766" i="9"/>
  <c r="AP1765" i="9"/>
  <c r="AP1764" i="9"/>
  <c r="AP1763" i="9"/>
  <c r="AP1762" i="9"/>
  <c r="AP1761" i="9"/>
  <c r="AP1760" i="9"/>
  <c r="AP1759" i="9"/>
  <c r="AP1758" i="9"/>
  <c r="AP1757" i="9"/>
  <c r="AP1756" i="9"/>
  <c r="AP1755" i="9"/>
  <c r="AP1754" i="9"/>
  <c r="AP1753" i="9"/>
  <c r="AP1752" i="9"/>
  <c r="AP1751" i="9"/>
  <c r="AP1750" i="9"/>
  <c r="AP1749" i="9"/>
  <c r="AP1748" i="9"/>
  <c r="AP1747" i="9"/>
  <c r="AP1746" i="9"/>
  <c r="AP1745" i="9"/>
  <c r="AP1744" i="9"/>
  <c r="AP1743" i="9"/>
  <c r="AP1742" i="9"/>
  <c r="AP1741" i="9"/>
  <c r="AP1740" i="9"/>
  <c r="AP1739" i="9"/>
  <c r="AP1738" i="9"/>
  <c r="AP1737" i="9"/>
  <c r="AP1736" i="9"/>
  <c r="AP1735" i="9"/>
  <c r="AP1734" i="9"/>
  <c r="AP1733" i="9"/>
  <c r="AP1732" i="9"/>
  <c r="AP1731" i="9"/>
  <c r="AP1730" i="9"/>
  <c r="AP1729" i="9"/>
  <c r="AP1728" i="9"/>
  <c r="AP1727" i="9"/>
  <c r="AP1726" i="9"/>
  <c r="AP1725" i="9"/>
  <c r="AP1724" i="9"/>
  <c r="AP1723" i="9"/>
  <c r="AP1722" i="9"/>
  <c r="AP1721" i="9"/>
  <c r="AP1720" i="9"/>
  <c r="AP1719" i="9"/>
  <c r="AP1718" i="9"/>
  <c r="AP1717" i="9"/>
  <c r="AP1716" i="9"/>
  <c r="AP1715" i="9"/>
  <c r="AP1714" i="9"/>
  <c r="AP1713" i="9"/>
  <c r="AP1712" i="9"/>
  <c r="AP1711" i="9"/>
  <c r="AP1710" i="9"/>
  <c r="AP1709" i="9"/>
  <c r="AP1708" i="9"/>
  <c r="AP1707" i="9"/>
  <c r="AP1706" i="9"/>
  <c r="AP1705" i="9"/>
  <c r="AP1704" i="9"/>
  <c r="AP1703" i="9"/>
  <c r="AP1702" i="9"/>
  <c r="AP1701" i="9"/>
  <c r="AP1700" i="9"/>
  <c r="AP1699" i="9"/>
  <c r="AP1698" i="9"/>
  <c r="AP1697" i="9"/>
  <c r="AP1696" i="9"/>
  <c r="AP1695" i="9"/>
  <c r="AP1694" i="9"/>
  <c r="AP1693" i="9"/>
  <c r="AP1692" i="9"/>
  <c r="AP1691" i="9"/>
  <c r="AP1690" i="9"/>
  <c r="AP1689" i="9"/>
  <c r="AP1688" i="9"/>
  <c r="AP1687" i="9"/>
  <c r="AP1686" i="9"/>
  <c r="AP1685" i="9"/>
  <c r="AP1684" i="9"/>
  <c r="AP1683" i="9"/>
  <c r="AP1682" i="9"/>
  <c r="AP1681" i="9"/>
  <c r="AP1680" i="9"/>
  <c r="AP1679" i="9"/>
  <c r="AP1678" i="9"/>
  <c r="AP1677" i="9"/>
  <c r="AP1676" i="9"/>
  <c r="AP1675" i="9"/>
  <c r="AP1674" i="9"/>
  <c r="AP1673" i="9"/>
  <c r="AP1672" i="9"/>
  <c r="AP1671" i="9"/>
  <c r="AP1670" i="9"/>
  <c r="AP1669" i="9"/>
  <c r="AP1668" i="9"/>
  <c r="AP1667" i="9"/>
  <c r="AP1666" i="9"/>
  <c r="AP1665" i="9"/>
  <c r="AP1664" i="9"/>
  <c r="AP1663" i="9"/>
  <c r="AP1662" i="9"/>
  <c r="AP1661" i="9"/>
  <c r="AP1660" i="9"/>
  <c r="AP1659" i="9"/>
  <c r="AP1658" i="9"/>
  <c r="AP1657" i="9"/>
  <c r="AP1656" i="9"/>
  <c r="AP1655" i="9"/>
  <c r="AP1654" i="9"/>
  <c r="AP1653" i="9"/>
  <c r="AP1652" i="9"/>
  <c r="AP1651" i="9"/>
  <c r="AP1650" i="9"/>
  <c r="AP1649" i="9"/>
  <c r="AP1648" i="9"/>
  <c r="AP1647" i="9"/>
  <c r="AP1646" i="9"/>
  <c r="AP1645" i="9"/>
  <c r="AP1644" i="9"/>
  <c r="AP1643" i="9"/>
  <c r="AP1642" i="9"/>
  <c r="AP1641" i="9"/>
  <c r="AP1640" i="9"/>
  <c r="AP1639" i="9"/>
  <c r="AP1638" i="9"/>
  <c r="AP1637" i="9"/>
  <c r="AP1636" i="9"/>
  <c r="AP1635" i="9"/>
  <c r="AP1634" i="9"/>
  <c r="AP1633" i="9"/>
  <c r="AP1632" i="9"/>
  <c r="AP1631" i="9"/>
  <c r="AP1630" i="9"/>
  <c r="AP1629" i="9"/>
  <c r="AP1628" i="9"/>
  <c r="AP1627" i="9"/>
  <c r="AP1626" i="9"/>
  <c r="AP1625" i="9"/>
  <c r="AP1624" i="9"/>
  <c r="AP1623" i="9"/>
  <c r="AP1622" i="9"/>
  <c r="AP1621" i="9"/>
  <c r="AP1620" i="9"/>
  <c r="AP1619" i="9"/>
  <c r="AP1618" i="9"/>
  <c r="AP1617" i="9"/>
  <c r="AP1616" i="9"/>
  <c r="AP1615" i="9"/>
  <c r="AP1614" i="9"/>
  <c r="AP1613" i="9"/>
  <c r="AP1612" i="9"/>
  <c r="AP1611" i="9"/>
  <c r="AP1610" i="9"/>
  <c r="AP1609" i="9"/>
  <c r="AP1608" i="9"/>
  <c r="AP1607" i="9"/>
  <c r="AP1606" i="9"/>
  <c r="AP1605" i="9"/>
  <c r="AP1604" i="9"/>
  <c r="AP1603" i="9"/>
  <c r="AP1602" i="9"/>
  <c r="AP1601" i="9"/>
  <c r="AP1600" i="9"/>
  <c r="AP1599" i="9"/>
  <c r="E1" i="9" l="1"/>
  <c r="F1" i="9" s="1"/>
  <c r="AP7" i="9" l="1"/>
  <c r="AP8" i="9"/>
  <c r="AP9" i="9"/>
  <c r="AP10" i="9"/>
  <c r="AP11" i="9"/>
  <c r="AP12" i="9"/>
  <c r="AP13" i="9"/>
  <c r="AP14" i="9"/>
  <c r="AP15" i="9"/>
  <c r="AP16" i="9"/>
  <c r="AP17" i="9"/>
  <c r="AP18" i="9"/>
  <c r="AP19" i="9"/>
  <c r="AP20" i="9"/>
  <c r="AP21" i="9"/>
  <c r="AP22" i="9"/>
  <c r="AP23" i="9"/>
  <c r="AP24" i="9"/>
  <c r="AP25" i="9"/>
  <c r="AP26" i="9"/>
  <c r="AP27" i="9"/>
  <c r="AP28" i="9"/>
  <c r="AP29" i="9"/>
  <c r="AP30" i="9"/>
  <c r="AP31" i="9"/>
  <c r="AP32" i="9"/>
  <c r="AP33" i="9"/>
  <c r="AP34" i="9"/>
  <c r="AP35" i="9"/>
  <c r="AP36" i="9"/>
  <c r="AP37" i="9"/>
  <c r="AP38" i="9"/>
  <c r="AP39" i="9"/>
  <c r="AP40" i="9"/>
  <c r="AP41" i="9"/>
  <c r="AP42" i="9"/>
  <c r="AP43" i="9"/>
  <c r="AP44" i="9"/>
  <c r="AP45" i="9"/>
  <c r="AP46" i="9"/>
  <c r="AP47" i="9"/>
  <c r="AP48" i="9"/>
  <c r="AP49" i="9"/>
  <c r="AP50" i="9"/>
  <c r="AP51" i="9"/>
  <c r="AP52" i="9"/>
  <c r="AP53" i="9"/>
  <c r="AP54" i="9"/>
  <c r="AP55" i="9"/>
  <c r="AP56" i="9"/>
  <c r="AP57" i="9"/>
  <c r="AP58" i="9"/>
  <c r="AP59" i="9"/>
  <c r="AP60" i="9"/>
  <c r="AP61" i="9"/>
  <c r="AP62" i="9"/>
  <c r="AP63" i="9"/>
  <c r="AP64" i="9"/>
  <c r="AP65" i="9"/>
  <c r="AP66" i="9"/>
  <c r="AP67" i="9"/>
  <c r="AP68" i="9"/>
  <c r="AP69" i="9"/>
  <c r="AP70" i="9"/>
  <c r="AP71" i="9"/>
  <c r="AP72" i="9"/>
  <c r="AP73" i="9"/>
  <c r="AP74" i="9"/>
  <c r="AP75" i="9"/>
  <c r="AP76" i="9"/>
  <c r="AP77" i="9"/>
  <c r="AP78" i="9"/>
  <c r="AP79" i="9"/>
  <c r="AP80" i="9"/>
  <c r="AP81" i="9"/>
  <c r="AP82" i="9"/>
  <c r="AP83" i="9"/>
  <c r="AP84" i="9"/>
  <c r="AP85" i="9"/>
  <c r="AP86" i="9"/>
  <c r="AP87" i="9"/>
  <c r="AP88" i="9"/>
  <c r="AP89" i="9"/>
  <c r="AP90" i="9"/>
  <c r="AP91" i="9"/>
  <c r="AP92" i="9"/>
  <c r="AP93" i="9"/>
  <c r="AP94" i="9"/>
  <c r="AP95" i="9"/>
  <c r="AP96" i="9"/>
  <c r="AP97" i="9"/>
  <c r="AP98" i="9"/>
  <c r="AP99" i="9"/>
  <c r="AP100" i="9"/>
  <c r="AP101" i="9"/>
  <c r="AP102" i="9"/>
  <c r="AP103" i="9"/>
  <c r="AP104" i="9"/>
  <c r="AP105" i="9"/>
  <c r="AP106" i="9"/>
  <c r="AP107" i="9"/>
  <c r="AP108" i="9"/>
  <c r="AP109" i="9"/>
  <c r="AP110" i="9"/>
  <c r="AP111" i="9"/>
  <c r="AP112" i="9"/>
  <c r="AP113" i="9"/>
  <c r="AP114" i="9"/>
  <c r="AP115" i="9"/>
  <c r="AP116" i="9"/>
  <c r="AP117" i="9"/>
  <c r="AP118" i="9"/>
  <c r="AP119" i="9"/>
  <c r="AP121" i="9"/>
  <c r="AP120" i="9"/>
  <c r="AP122" i="9"/>
  <c r="AP123" i="9"/>
  <c r="AP124" i="9"/>
  <c r="AP125" i="9"/>
  <c r="AP126" i="9"/>
  <c r="AP127" i="9"/>
  <c r="AP128" i="9"/>
  <c r="AP129" i="9"/>
  <c r="AP130" i="9"/>
  <c r="AP131" i="9"/>
  <c r="AP132" i="9"/>
  <c r="AP133" i="9"/>
  <c r="AP134" i="9"/>
  <c r="AP135" i="9"/>
  <c r="AP136" i="9"/>
  <c r="AP137" i="9"/>
  <c r="AP138" i="9"/>
  <c r="AP139" i="9"/>
  <c r="AP140" i="9"/>
  <c r="AP141" i="9"/>
  <c r="AP142" i="9"/>
  <c r="AP143" i="9"/>
  <c r="AP144" i="9"/>
  <c r="AP145" i="9"/>
  <c r="AP146" i="9"/>
  <c r="AP147" i="9"/>
  <c r="AP148" i="9"/>
  <c r="AP149" i="9"/>
  <c r="AP150" i="9"/>
  <c r="AP151" i="9"/>
  <c r="AP152" i="9"/>
  <c r="AP153" i="9"/>
  <c r="AP154" i="9"/>
  <c r="AP155" i="9"/>
  <c r="AP156" i="9"/>
  <c r="AP157" i="9"/>
  <c r="AP158" i="9"/>
  <c r="AP159" i="9"/>
  <c r="AP160" i="9"/>
  <c r="AP161" i="9"/>
  <c r="AP162" i="9"/>
  <c r="AP163" i="9"/>
  <c r="AP164" i="9"/>
  <c r="AP165" i="9"/>
  <c r="AP166" i="9"/>
  <c r="AP167" i="9"/>
  <c r="AP168" i="9"/>
  <c r="AP169" i="9"/>
  <c r="AP170" i="9"/>
  <c r="AP171" i="9"/>
  <c r="AP173" i="9"/>
  <c r="AP174" i="9"/>
  <c r="AP172" i="9"/>
  <c r="AP175" i="9"/>
  <c r="AP176" i="9"/>
  <c r="AP177" i="9"/>
  <c r="AP178" i="9"/>
  <c r="AP179" i="9"/>
  <c r="AP180" i="9"/>
  <c r="AP181" i="9"/>
  <c r="AP182" i="9"/>
  <c r="AP183" i="9"/>
  <c r="AP184" i="9"/>
  <c r="AP185" i="9"/>
  <c r="AP186" i="9"/>
  <c r="AP187" i="9"/>
  <c r="AP188" i="9"/>
  <c r="AP189" i="9"/>
  <c r="AP190" i="9"/>
  <c r="AP191" i="9"/>
  <c r="AP192" i="9"/>
  <c r="AP193" i="9"/>
  <c r="AP194" i="9"/>
  <c r="AP195" i="9"/>
  <c r="AP196" i="9"/>
  <c r="AP197" i="9"/>
  <c r="AP198" i="9"/>
  <c r="AP199" i="9"/>
  <c r="AP200" i="9"/>
  <c r="AP201" i="9"/>
  <c r="AP202" i="9"/>
  <c r="AP203" i="9"/>
  <c r="AP204" i="9"/>
  <c r="AP205" i="9"/>
  <c r="AP206" i="9"/>
  <c r="AP207" i="9"/>
  <c r="AP208" i="9"/>
  <c r="AP209" i="9"/>
  <c r="AP210" i="9"/>
  <c r="AP211" i="9"/>
  <c r="AP212" i="9"/>
  <c r="AP213" i="9"/>
  <c r="AP214" i="9"/>
  <c r="AP215" i="9"/>
  <c r="AP216" i="9"/>
  <c r="AP217" i="9"/>
  <c r="AP484" i="9"/>
  <c r="AP485" i="9"/>
  <c r="AP486" i="9"/>
  <c r="AP487" i="9"/>
  <c r="AP488" i="9"/>
  <c r="AP489" i="9"/>
  <c r="AP490" i="9"/>
  <c r="AP491" i="9"/>
  <c r="AP492" i="9"/>
  <c r="AP493" i="9"/>
  <c r="AP494" i="9"/>
  <c r="AP495" i="9"/>
  <c r="AP496" i="9"/>
  <c r="AP497" i="9"/>
  <c r="AP498" i="9"/>
  <c r="AP499" i="9"/>
  <c r="AP500" i="9"/>
  <c r="AP218" i="9"/>
  <c r="AP219" i="9"/>
  <c r="AP220" i="9"/>
  <c r="AP221" i="9"/>
  <c r="AP222" i="9"/>
  <c r="AP223" i="9"/>
  <c r="AP224" i="9"/>
  <c r="AP225" i="9"/>
  <c r="AP226" i="9"/>
  <c r="AP227" i="9"/>
  <c r="AP228" i="9"/>
  <c r="AP229" i="9"/>
  <c r="AP230" i="9"/>
  <c r="AP231" i="9"/>
  <c r="AP232" i="9"/>
  <c r="AP233" i="9"/>
  <c r="AP234" i="9"/>
  <c r="AP235" i="9"/>
  <c r="AP236" i="9"/>
  <c r="AP237" i="9"/>
  <c r="AP238" i="9"/>
  <c r="AP239" i="9"/>
  <c r="AP240" i="9"/>
  <c r="AP241" i="9"/>
  <c r="AP242" i="9"/>
  <c r="AP243" i="9"/>
  <c r="AP244" i="9"/>
  <c r="AP245" i="9"/>
  <c r="AP246" i="9"/>
  <c r="AP247" i="9"/>
  <c r="AP248" i="9"/>
  <c r="AP249" i="9"/>
  <c r="AP250" i="9"/>
  <c r="AP251" i="9"/>
  <c r="AP252" i="9"/>
  <c r="AP253" i="9"/>
  <c r="AP254" i="9"/>
  <c r="AP255" i="9"/>
  <c r="AP256" i="9"/>
  <c r="AP257" i="9"/>
  <c r="AP258" i="9"/>
  <c r="AP259" i="9"/>
  <c r="AP260" i="9"/>
  <c r="AP261" i="9"/>
  <c r="AP262" i="9"/>
  <c r="AP263" i="9"/>
  <c r="AP264" i="9"/>
  <c r="AP265" i="9"/>
  <c r="AP266" i="9"/>
  <c r="AP267" i="9"/>
  <c r="AP268" i="9"/>
  <c r="AP269" i="9"/>
  <c r="AP270" i="9"/>
  <c r="AP271" i="9"/>
  <c r="AP272" i="9"/>
  <c r="AP273" i="9"/>
  <c r="AP274" i="9"/>
  <c r="AP275" i="9"/>
  <c r="AP276" i="9"/>
  <c r="AP277" i="9"/>
  <c r="AP278" i="9"/>
  <c r="AP279" i="9"/>
  <c r="AP280" i="9"/>
  <c r="AP281" i="9"/>
  <c r="AP282" i="9"/>
  <c r="AP283" i="9"/>
  <c r="AP284" i="9"/>
  <c r="AP285" i="9"/>
  <c r="AP286" i="9"/>
  <c r="AP287" i="9"/>
  <c r="AP288" i="9"/>
  <c r="AP289" i="9"/>
  <c r="AP290" i="9"/>
  <c r="AP291" i="9"/>
  <c r="AP292" i="9"/>
  <c r="AP293" i="9"/>
  <c r="AP294" i="9"/>
  <c r="AP295" i="9"/>
  <c r="AP296" i="9"/>
  <c r="AP297" i="9"/>
  <c r="AP298" i="9"/>
  <c r="AP299" i="9"/>
  <c r="AP300" i="9"/>
  <c r="AP301" i="9"/>
  <c r="AP302" i="9"/>
  <c r="AP303" i="9"/>
  <c r="AP304" i="9"/>
  <c r="AP305" i="9"/>
  <c r="AP306" i="9"/>
  <c r="AP307" i="9"/>
  <c r="AP308" i="9"/>
  <c r="AP309" i="9"/>
  <c r="AP310" i="9"/>
  <c r="AP311" i="9"/>
  <c r="AP312" i="9"/>
  <c r="AP313" i="9"/>
  <c r="AP314" i="9"/>
  <c r="AP315" i="9"/>
  <c r="AP316" i="9"/>
  <c r="AP317" i="9"/>
  <c r="AP318" i="9"/>
  <c r="AP319" i="9"/>
  <c r="AP320" i="9"/>
  <c r="AP321" i="9"/>
  <c r="AP322" i="9"/>
  <c r="AP323" i="9"/>
  <c r="AP324" i="9"/>
  <c r="AP325" i="9"/>
  <c r="AP326" i="9"/>
  <c r="AP327" i="9"/>
  <c r="AP328" i="9"/>
  <c r="AP329" i="9"/>
  <c r="AP330" i="9"/>
  <c r="AP331" i="9"/>
  <c r="AP332" i="9"/>
  <c r="AP333" i="9"/>
  <c r="AP334" i="9"/>
  <c r="AP335" i="9"/>
  <c r="AP336" i="9"/>
  <c r="AP337" i="9"/>
  <c r="AP338" i="9"/>
  <c r="AP339" i="9"/>
  <c r="AP340" i="9"/>
  <c r="AP341" i="9"/>
  <c r="AP342" i="9"/>
  <c r="AP343" i="9"/>
  <c r="AP344" i="9"/>
  <c r="AP345" i="9"/>
  <c r="AP346" i="9"/>
  <c r="AP347" i="9"/>
  <c r="AP348" i="9"/>
  <c r="AP349" i="9"/>
  <c r="AP350" i="9"/>
  <c r="AP351" i="9"/>
  <c r="AP352" i="9"/>
  <c r="AP353" i="9"/>
  <c r="AP354" i="9"/>
  <c r="AP355" i="9"/>
  <c r="AP356" i="9"/>
  <c r="AP357" i="9"/>
  <c r="AP358" i="9"/>
  <c r="AP359" i="9"/>
  <c r="AP360" i="9"/>
  <c r="AP361" i="9"/>
  <c r="AP362" i="9"/>
  <c r="AP363" i="9"/>
  <c r="AP364" i="9"/>
  <c r="AP365" i="9"/>
  <c r="AP366" i="9"/>
  <c r="AP367" i="9"/>
  <c r="AP368" i="9"/>
  <c r="AP369" i="9"/>
  <c r="AP370" i="9"/>
  <c r="AP371" i="9"/>
  <c r="AP372" i="9"/>
  <c r="AP373" i="9"/>
  <c r="AP374" i="9"/>
  <c r="AP375" i="9"/>
  <c r="AP376" i="9"/>
  <c r="AP377" i="9"/>
  <c r="AP378" i="9"/>
  <c r="AP379" i="9"/>
  <c r="AP380" i="9"/>
  <c r="AP381" i="9"/>
  <c r="AP382" i="9"/>
  <c r="AP383" i="9"/>
  <c r="AP384" i="9"/>
  <c r="AP385" i="9"/>
  <c r="AP386" i="9"/>
  <c r="AP387" i="9"/>
  <c r="AP388" i="9"/>
  <c r="AP389" i="9"/>
  <c r="AP390" i="9"/>
  <c r="AP391" i="9"/>
  <c r="AP392" i="9"/>
  <c r="AP393" i="9"/>
  <c r="AP394" i="9"/>
  <c r="AP395" i="9"/>
  <c r="AP396" i="9"/>
  <c r="AP397" i="9"/>
  <c r="AP398" i="9"/>
  <c r="AP399" i="9"/>
  <c r="AP400" i="9"/>
  <c r="AP401" i="9"/>
  <c r="AP402" i="9"/>
  <c r="AP414" i="9"/>
  <c r="AP415" i="9"/>
  <c r="AP403" i="9"/>
  <c r="AP404" i="9"/>
  <c r="AP405" i="9"/>
  <c r="AP406" i="9"/>
  <c r="AP407" i="9"/>
  <c r="AP408" i="9"/>
  <c r="AP409" i="9"/>
  <c r="AP410" i="9"/>
  <c r="AP411" i="9"/>
  <c r="AP412" i="9"/>
  <c r="AP413" i="9"/>
  <c r="AP416" i="9"/>
  <c r="AP417" i="9"/>
  <c r="AP418" i="9"/>
  <c r="AP419" i="9"/>
  <c r="AP420" i="9"/>
  <c r="AP421" i="9"/>
  <c r="AP422" i="9"/>
  <c r="AP423" i="9"/>
  <c r="AP424" i="9"/>
  <c r="AP425" i="9"/>
  <c r="AP426" i="9"/>
  <c r="AP427" i="9"/>
  <c r="AP428" i="9"/>
  <c r="AP429" i="9"/>
  <c r="AP430" i="9"/>
  <c r="AP431" i="9"/>
  <c r="AP432" i="9"/>
  <c r="AP433" i="9"/>
  <c r="AP434" i="9"/>
  <c r="AP435" i="9"/>
  <c r="AP436" i="9"/>
  <c r="AP437" i="9"/>
  <c r="AP438" i="9"/>
  <c r="AP439" i="9"/>
  <c r="AP440" i="9"/>
  <c r="AP441" i="9"/>
  <c r="AP442" i="9"/>
  <c r="AP443" i="9"/>
  <c r="AP444" i="9"/>
  <c r="AP445" i="9"/>
  <c r="AP446" i="9"/>
  <c r="AP447" i="9"/>
  <c r="AP448" i="9"/>
  <c r="AP449" i="9"/>
  <c r="AP450" i="9"/>
  <c r="AP451" i="9"/>
  <c r="AP452" i="9"/>
  <c r="AP453" i="9"/>
  <c r="AP454" i="9"/>
  <c r="AP455" i="9"/>
  <c r="AP456" i="9"/>
  <c r="AP457" i="9"/>
  <c r="AP458" i="9"/>
  <c r="AP459" i="9"/>
  <c r="AP460" i="9"/>
  <c r="AP461" i="9"/>
  <c r="AP462" i="9"/>
  <c r="AP463" i="9"/>
  <c r="AP464" i="9"/>
  <c r="AP465" i="9"/>
  <c r="AP466" i="9"/>
  <c r="AP467" i="9"/>
  <c r="AP468" i="9"/>
  <c r="AP469" i="9"/>
  <c r="AP470" i="9"/>
  <c r="AP471" i="9"/>
  <c r="AP472" i="9"/>
  <c r="AP473" i="9"/>
  <c r="AP474" i="9"/>
  <c r="AP475" i="9"/>
  <c r="AP476" i="9"/>
  <c r="AP477" i="9"/>
  <c r="AP478" i="9"/>
  <c r="AP479" i="9"/>
  <c r="AP480" i="9"/>
  <c r="AP481" i="9"/>
  <c r="AP482" i="9"/>
  <c r="AP483" i="9"/>
  <c r="AP501" i="9"/>
  <c r="AP502" i="9"/>
  <c r="AP503" i="9"/>
  <c r="AP504" i="9"/>
  <c r="AP565" i="9"/>
  <c r="AP505" i="9"/>
  <c r="AP506" i="9"/>
  <c r="AP507" i="9"/>
  <c r="AP508" i="9"/>
  <c r="AP509" i="9"/>
  <c r="AP510" i="9"/>
  <c r="AP511" i="9"/>
  <c r="AP512" i="9"/>
  <c r="AP513" i="9"/>
  <c r="AP514" i="9"/>
  <c r="AP515" i="9"/>
  <c r="AP516" i="9"/>
  <c r="AP517" i="9"/>
  <c r="AP518" i="9"/>
  <c r="AP519" i="9"/>
  <c r="AP520" i="9"/>
  <c r="AP521" i="9"/>
  <c r="AP522" i="9"/>
  <c r="AP523" i="9"/>
  <c r="AP538" i="9"/>
  <c r="AP539" i="9"/>
  <c r="AP541" i="9"/>
  <c r="AP524" i="9"/>
  <c r="AP525" i="9"/>
  <c r="AP526" i="9"/>
  <c r="AP527" i="9"/>
  <c r="AP528" i="9"/>
  <c r="AP529" i="9"/>
  <c r="AP530" i="9"/>
  <c r="AP531" i="9"/>
  <c r="AP532" i="9"/>
  <c r="AP533" i="9"/>
  <c r="AP534" i="9"/>
  <c r="AP535" i="9"/>
  <c r="AP536" i="9"/>
  <c r="AP537" i="9"/>
  <c r="AP540" i="9"/>
  <c r="AP542" i="9"/>
  <c r="AP543" i="9"/>
  <c r="AP544" i="9"/>
  <c r="AP545" i="9"/>
  <c r="AP546" i="9"/>
  <c r="AP547" i="9"/>
  <c r="AP548" i="9"/>
  <c r="AP549" i="9"/>
  <c r="AP550" i="9"/>
  <c r="AP551" i="9"/>
  <c r="AP552" i="9"/>
  <c r="AP553" i="9"/>
  <c r="AP554" i="9"/>
  <c r="AP555" i="9"/>
  <c r="AP556" i="9"/>
  <c r="AP557" i="9"/>
  <c r="AP558" i="9"/>
  <c r="AP559" i="9"/>
  <c r="AP560" i="9"/>
  <c r="AP561" i="9"/>
  <c r="AP562" i="9"/>
  <c r="AP563" i="9"/>
  <c r="AP564" i="9"/>
  <c r="AP566" i="9"/>
  <c r="AP567" i="9"/>
  <c r="AP568" i="9"/>
  <c r="AP569" i="9"/>
  <c r="AP570" i="9"/>
  <c r="AP571" i="9"/>
  <c r="AP572" i="9"/>
  <c r="AP573" i="9"/>
  <c r="AP574" i="9"/>
  <c r="AP575" i="9"/>
  <c r="AP576" i="9"/>
  <c r="AP577" i="9"/>
  <c r="AP601" i="9"/>
  <c r="AP578" i="9"/>
  <c r="AP579" i="9"/>
  <c r="AP580" i="9"/>
  <c r="AP581" i="9"/>
  <c r="AP582" i="9"/>
  <c r="AP583" i="9"/>
  <c r="AP584" i="9"/>
  <c r="AP585" i="9"/>
  <c r="AP586" i="9"/>
  <c r="AP587" i="9"/>
  <c r="AP588" i="9"/>
  <c r="AP589" i="9"/>
  <c r="AP590" i="9"/>
  <c r="AP591" i="9"/>
  <c r="AP592" i="9"/>
  <c r="AP593" i="9"/>
  <c r="AP594" i="9"/>
  <c r="AP595" i="9"/>
  <c r="AP596" i="9"/>
  <c r="AP597" i="9"/>
  <c r="AP598" i="9"/>
  <c r="AP599" i="9"/>
  <c r="AP600" i="9"/>
  <c r="AP602" i="9"/>
  <c r="AP603" i="9"/>
  <c r="AP604" i="9"/>
  <c r="AP605" i="9"/>
  <c r="AP606" i="9"/>
  <c r="AP607" i="9"/>
  <c r="AP608" i="9"/>
  <c r="AP609" i="9"/>
  <c r="AP610" i="9"/>
  <c r="AP611" i="9"/>
  <c r="AP612" i="9"/>
  <c r="AP613" i="9"/>
  <c r="AP614" i="9"/>
  <c r="AP615" i="9"/>
  <c r="AP616" i="9"/>
  <c r="AP617" i="9"/>
  <c r="AP618" i="9"/>
  <c r="AP619" i="9"/>
  <c r="AP620" i="9"/>
  <c r="AP621" i="9"/>
  <c r="AP622" i="9"/>
  <c r="AP623" i="9"/>
  <c r="AP624" i="9"/>
  <c r="AP625" i="9"/>
  <c r="AP626" i="9"/>
  <c r="AP627" i="9"/>
  <c r="AP628" i="9"/>
  <c r="AP629" i="9"/>
  <c r="AP630" i="9"/>
  <c r="AP631" i="9"/>
  <c r="AP632" i="9"/>
  <c r="AP633" i="9"/>
  <c r="AP634" i="9"/>
  <c r="AP635" i="9"/>
  <c r="AP636" i="9"/>
  <c r="AP637" i="9"/>
  <c r="AP638" i="9"/>
  <c r="AP639" i="9"/>
  <c r="AP640" i="9"/>
  <c r="AP641" i="9"/>
  <c r="AP642" i="9"/>
  <c r="AP643" i="9"/>
  <c r="AP644" i="9"/>
  <c r="AP645" i="9"/>
  <c r="AP646" i="9"/>
  <c r="AP647" i="9"/>
  <c r="AP648" i="9"/>
  <c r="AP649" i="9"/>
  <c r="AP650" i="9"/>
  <c r="AP651" i="9"/>
  <c r="AP652" i="9"/>
  <c r="AP653" i="9"/>
  <c r="AP654" i="9"/>
  <c r="AP655" i="9"/>
  <c r="AP656" i="9"/>
  <c r="AP657" i="9"/>
  <c r="AP658" i="9"/>
  <c r="AP659" i="9"/>
  <c r="AP660" i="9"/>
  <c r="AP661" i="9"/>
  <c r="AP662" i="9"/>
  <c r="AP663" i="9"/>
  <c r="AP664" i="9"/>
  <c r="AP665" i="9"/>
  <c r="AP666" i="9"/>
  <c r="AP667" i="9"/>
  <c r="AP668" i="9"/>
  <c r="AP669" i="9"/>
  <c r="AP670" i="9"/>
  <c r="AP671" i="9"/>
  <c r="AP672" i="9"/>
  <c r="AP673" i="9"/>
  <c r="AP674" i="9"/>
  <c r="AP675" i="9"/>
  <c r="AP676" i="9"/>
  <c r="AP677" i="9"/>
  <c r="AP678" i="9"/>
  <c r="AP679" i="9"/>
  <c r="AP680" i="9"/>
  <c r="AP682" i="9"/>
  <c r="AP681" i="9"/>
  <c r="AP683" i="9"/>
  <c r="AP684" i="9"/>
  <c r="AP685" i="9"/>
  <c r="AP686" i="9"/>
  <c r="AP687" i="9"/>
  <c r="AP688" i="9"/>
  <c r="AP689" i="9"/>
  <c r="AP690" i="9"/>
  <c r="AP691" i="9"/>
  <c r="AP692" i="9"/>
  <c r="AP693" i="9"/>
  <c r="AP694" i="9"/>
  <c r="AP695" i="9"/>
  <c r="AP696" i="9"/>
  <c r="AP698" i="9"/>
  <c r="AP699" i="9"/>
  <c r="AP697" i="9"/>
  <c r="AP700" i="9"/>
  <c r="AP701" i="9"/>
  <c r="AP702" i="9"/>
  <c r="AP703" i="9"/>
  <c r="AP704" i="9"/>
  <c r="AP705" i="9"/>
  <c r="AP706" i="9"/>
  <c r="AP707" i="9"/>
  <c r="AP708" i="9"/>
  <c r="AP709" i="9"/>
  <c r="AP710" i="9"/>
  <c r="AP711" i="9"/>
  <c r="AP712" i="9"/>
  <c r="AP713" i="9"/>
  <c r="AP714" i="9"/>
  <c r="AP715" i="9"/>
  <c r="AP716" i="9"/>
  <c r="AP717" i="9"/>
  <c r="AP718" i="9"/>
  <c r="AP719" i="9"/>
  <c r="AP720" i="9"/>
  <c r="AP721" i="9"/>
  <c r="AP722" i="9"/>
  <c r="AP723" i="9"/>
  <c r="AP724" i="9"/>
  <c r="AP725" i="9"/>
  <c r="AP726" i="9"/>
  <c r="AP727" i="9"/>
  <c r="AP728" i="9"/>
  <c r="AP729" i="9"/>
  <c r="AP730" i="9"/>
  <c r="AP731" i="9"/>
  <c r="AP732" i="9"/>
  <c r="AP733" i="9"/>
  <c r="AP734" i="9"/>
  <c r="AP735" i="9"/>
  <c r="AP736" i="9"/>
  <c r="AP737" i="9"/>
  <c r="AP738" i="9"/>
  <c r="AP739" i="9"/>
  <c r="AP740" i="9"/>
  <c r="AP741" i="9"/>
  <c r="AP742" i="9"/>
  <c r="AP743" i="9"/>
  <c r="AP744" i="9"/>
  <c r="AP745" i="9"/>
  <c r="AP746" i="9"/>
  <c r="AP747" i="9"/>
  <c r="AP748" i="9"/>
  <c r="AP749" i="9"/>
  <c r="AP750" i="9"/>
  <c r="AP751" i="9"/>
  <c r="AP752" i="9"/>
  <c r="AP753" i="9"/>
  <c r="AP754" i="9"/>
  <c r="AP755" i="9"/>
  <c r="AP756" i="9"/>
  <c r="AP757" i="9"/>
  <c r="AP758" i="9"/>
  <c r="AP759" i="9"/>
  <c r="AP760" i="9"/>
  <c r="AP761" i="9"/>
  <c r="AP762" i="9"/>
  <c r="AP763" i="9"/>
  <c r="AP764" i="9"/>
  <c r="AP765" i="9"/>
  <c r="AP766" i="9"/>
  <c r="AP767" i="9"/>
  <c r="AP768" i="9"/>
  <c r="AP769" i="9"/>
  <c r="AP770" i="9"/>
  <c r="AP771" i="9"/>
  <c r="AP772" i="9"/>
  <c r="AP773" i="9"/>
  <c r="AP774" i="9"/>
  <c r="AP775" i="9"/>
  <c r="AP776" i="9"/>
  <c r="AP777" i="9"/>
  <c r="AP778" i="9"/>
  <c r="AP779" i="9"/>
  <c r="AP780" i="9"/>
  <c r="AP781" i="9"/>
  <c r="AP782" i="9"/>
  <c r="AP783" i="9"/>
  <c r="AP784" i="9"/>
  <c r="AP785" i="9"/>
  <c r="AP786" i="9"/>
  <c r="AP787" i="9"/>
  <c r="AP788" i="9"/>
  <c r="AP789" i="9"/>
  <c r="AP790" i="9"/>
  <c r="AP791" i="9"/>
  <c r="AP792" i="9"/>
  <c r="AP793" i="9"/>
  <c r="AP794" i="9"/>
  <c r="AP795" i="9"/>
  <c r="AP796" i="9"/>
  <c r="AP797" i="9"/>
  <c r="AP798" i="9"/>
  <c r="AP800" i="9"/>
  <c r="AP799" i="9"/>
  <c r="AP801" i="9"/>
  <c r="AP804" i="9"/>
  <c r="AP802" i="9"/>
  <c r="AP803" i="9"/>
  <c r="AP805" i="9"/>
  <c r="AP806" i="9"/>
  <c r="AP807" i="9"/>
  <c r="AP808" i="9"/>
  <c r="AP809" i="9"/>
  <c r="AP810" i="9"/>
  <c r="AP811" i="9"/>
  <c r="AP812" i="9"/>
  <c r="AP813" i="9"/>
  <c r="AP814" i="9"/>
  <c r="AP815" i="9"/>
  <c r="AP816" i="9"/>
  <c r="AP817" i="9"/>
  <c r="AP818" i="9"/>
  <c r="AP819" i="9"/>
  <c r="AP820" i="9"/>
  <c r="AP821" i="9"/>
  <c r="AP822" i="9"/>
  <c r="AP823" i="9"/>
  <c r="AP824" i="9"/>
  <c r="AP825" i="9"/>
  <c r="AP826" i="9"/>
  <c r="AP827" i="9"/>
  <c r="AP828" i="9"/>
  <c r="AP829" i="9"/>
  <c r="AP830" i="9"/>
  <c r="AP831" i="9"/>
  <c r="AP832" i="9"/>
  <c r="AP833" i="9"/>
  <c r="AP834" i="9"/>
  <c r="AP835" i="9"/>
  <c r="AP836" i="9"/>
  <c r="AP837" i="9"/>
  <c r="AP838" i="9"/>
  <c r="AP839" i="9"/>
  <c r="AP840" i="9"/>
  <c r="AP841" i="9"/>
  <c r="AP842" i="9"/>
  <c r="AP843" i="9"/>
  <c r="AP844" i="9"/>
  <c r="AP845" i="9"/>
  <c r="AP846" i="9"/>
  <c r="AP847" i="9"/>
  <c r="AP848" i="9"/>
  <c r="AP849" i="9"/>
  <c r="AP850" i="9"/>
  <c r="AP851" i="9"/>
  <c r="AP852" i="9"/>
  <c r="AP853" i="9"/>
  <c r="AP854" i="9"/>
  <c r="AP855" i="9"/>
  <c r="AP856" i="9"/>
  <c r="AP857" i="9"/>
  <c r="AP858" i="9"/>
  <c r="AP859" i="9"/>
  <c r="AP860" i="9"/>
  <c r="AP861" i="9"/>
  <c r="AP862" i="9"/>
  <c r="AP863" i="9"/>
  <c r="AP864" i="9"/>
  <c r="AP865" i="9"/>
  <c r="AP866" i="9"/>
  <c r="AP867" i="9"/>
  <c r="AP868" i="9"/>
  <c r="AP869" i="9"/>
  <c r="AP870" i="9"/>
  <c r="AP871" i="9"/>
  <c r="AP872" i="9"/>
  <c r="AP873" i="9"/>
  <c r="AP874" i="9"/>
  <c r="AP875" i="9"/>
  <c r="AP876" i="9"/>
  <c r="AP877" i="9"/>
  <c r="AP878" i="9"/>
  <c r="AP879" i="9"/>
  <c r="AP880" i="9"/>
  <c r="AP881" i="9"/>
  <c r="AP882" i="9"/>
  <c r="AP883" i="9"/>
  <c r="AP884" i="9"/>
  <c r="AP885" i="9"/>
  <c r="AP886" i="9"/>
  <c r="AP887" i="9"/>
  <c r="AP888" i="9"/>
  <c r="AP889" i="9"/>
  <c r="AP890" i="9"/>
  <c r="AP891" i="9"/>
  <c r="AP892" i="9"/>
  <c r="AP893" i="9"/>
  <c r="AP894" i="9"/>
  <c r="AP895" i="9"/>
  <c r="AP896" i="9"/>
  <c r="AP897" i="9"/>
  <c r="AP898" i="9"/>
  <c r="AP899" i="9"/>
  <c r="AP900" i="9"/>
  <c r="AP901" i="9"/>
  <c r="AP902" i="9"/>
  <c r="AP903" i="9"/>
  <c r="AP904" i="9"/>
  <c r="AP905" i="9"/>
  <c r="AP906" i="9"/>
  <c r="AP907" i="9"/>
  <c r="AP908" i="9"/>
  <c r="AP909" i="9"/>
  <c r="AP910" i="9"/>
  <c r="AP911" i="9"/>
  <c r="AP912" i="9"/>
  <c r="AP913" i="9"/>
  <c r="AP914" i="9"/>
  <c r="AP915" i="9"/>
  <c r="AP916" i="9"/>
  <c r="AP917" i="9"/>
  <c r="AP918" i="9"/>
  <c r="AP919" i="9"/>
  <c r="AP921" i="9"/>
  <c r="AP920" i="9"/>
  <c r="AP922" i="9"/>
  <c r="AP923" i="9"/>
  <c r="AP924" i="9"/>
  <c r="AP925" i="9"/>
  <c r="AP926" i="9"/>
  <c r="AP927" i="9"/>
  <c r="AP928" i="9"/>
  <c r="AP929" i="9"/>
  <c r="AP930" i="9"/>
  <c r="AP931" i="9"/>
  <c r="AP932" i="9"/>
  <c r="AP933" i="9"/>
  <c r="AP934" i="9"/>
  <c r="AP935" i="9"/>
  <c r="AP936" i="9"/>
  <c r="AP937" i="9"/>
  <c r="AP938" i="9"/>
  <c r="AP939" i="9"/>
  <c r="AP940" i="9"/>
  <c r="AP941" i="9"/>
  <c r="AP942" i="9"/>
  <c r="AP943" i="9"/>
  <c r="AP944" i="9"/>
  <c r="AP945" i="9"/>
  <c r="AP946" i="9"/>
  <c r="AP947" i="9"/>
  <c r="AP948" i="9"/>
  <c r="AP949" i="9"/>
  <c r="AP950" i="9"/>
  <c r="AP951" i="9"/>
  <c r="AP952" i="9"/>
  <c r="AP953" i="9"/>
  <c r="AP954" i="9"/>
  <c r="AP955" i="9"/>
  <c r="AP956" i="9"/>
  <c r="AP957" i="9"/>
  <c r="AP958" i="9"/>
  <c r="AP959" i="9"/>
  <c r="AP960" i="9"/>
  <c r="AP961" i="9"/>
  <c r="AP962" i="9"/>
  <c r="AP963" i="9"/>
  <c r="AP964" i="9"/>
  <c r="AP965" i="9"/>
  <c r="AP966" i="9"/>
  <c r="AP967" i="9"/>
  <c r="AP968" i="9"/>
  <c r="AP969" i="9"/>
  <c r="AP970" i="9"/>
  <c r="AP971" i="9"/>
  <c r="AP972" i="9"/>
  <c r="AP973" i="9"/>
  <c r="AP974" i="9"/>
  <c r="AP975" i="9"/>
  <c r="AP976" i="9"/>
  <c r="AP1048" i="9"/>
  <c r="AP977" i="9"/>
  <c r="AP978" i="9"/>
  <c r="AP979" i="9"/>
  <c r="AP982" i="9"/>
  <c r="AP980" i="9"/>
  <c r="AP981" i="9"/>
  <c r="AP983" i="9"/>
  <c r="AP984" i="9"/>
  <c r="AP985" i="9"/>
  <c r="AP986" i="9"/>
  <c r="AP987" i="9"/>
  <c r="AP988" i="9"/>
  <c r="AP989" i="9"/>
  <c r="AP990" i="9"/>
  <c r="AP991" i="9"/>
  <c r="AP992" i="9"/>
  <c r="AP997" i="9"/>
  <c r="AP993" i="9"/>
  <c r="AP994" i="9"/>
  <c r="AP995" i="9"/>
  <c r="AP996" i="9"/>
  <c r="AP998" i="9"/>
  <c r="AP999" i="9"/>
  <c r="AP1000" i="9"/>
  <c r="AP1001" i="9"/>
  <c r="AP1002" i="9"/>
  <c r="AP1003" i="9"/>
  <c r="AP1004" i="9"/>
  <c r="AP1005" i="9"/>
  <c r="AP1006" i="9"/>
  <c r="AP1007" i="9"/>
  <c r="AP1008" i="9"/>
  <c r="AP1009" i="9"/>
  <c r="AP1010" i="9"/>
  <c r="AP1011" i="9"/>
  <c r="AP1012" i="9"/>
  <c r="AP1013" i="9"/>
  <c r="AP1014" i="9"/>
  <c r="AP1015" i="9"/>
  <c r="AP1016" i="9"/>
  <c r="AP1017" i="9"/>
  <c r="AP1018" i="9"/>
  <c r="AP1019" i="9"/>
  <c r="AP1030" i="9"/>
  <c r="AP1020" i="9"/>
  <c r="AP1021" i="9"/>
  <c r="AP1022" i="9"/>
  <c r="AP1023" i="9"/>
  <c r="AP1024" i="9"/>
  <c r="AP1025" i="9"/>
  <c r="AP1026" i="9"/>
  <c r="AP1027" i="9"/>
  <c r="AP1028" i="9"/>
  <c r="AP1029" i="9"/>
  <c r="AP1031" i="9"/>
  <c r="AP1033" i="9"/>
  <c r="AP1032" i="9"/>
  <c r="AP1034" i="9"/>
  <c r="AP1035" i="9"/>
  <c r="AP1036" i="9"/>
  <c r="AP1037" i="9"/>
  <c r="AP1038" i="9"/>
  <c r="AP1039" i="9"/>
  <c r="AP1040" i="9"/>
  <c r="AP1041" i="9"/>
  <c r="AP1042" i="9"/>
  <c r="AP1043" i="9"/>
  <c r="AP1044" i="9"/>
  <c r="AP1045" i="9"/>
  <c r="AP1046" i="9"/>
  <c r="AP1047" i="9"/>
  <c r="AP1049" i="9"/>
  <c r="AP1050" i="9"/>
  <c r="AP1051" i="9"/>
  <c r="AP1052" i="9"/>
  <c r="AP1053" i="9"/>
  <c r="AP1054" i="9"/>
  <c r="AP1055" i="9"/>
  <c r="AP1056" i="9"/>
  <c r="AP1057" i="9"/>
  <c r="AP1058" i="9"/>
  <c r="AP1059" i="9"/>
  <c r="AP1060" i="9"/>
  <c r="AP1061" i="9"/>
  <c r="AP1062" i="9"/>
  <c r="AP1063" i="9"/>
  <c r="AP1064" i="9"/>
  <c r="AP1065" i="9"/>
  <c r="AP1066" i="9"/>
  <c r="AP1067" i="9"/>
  <c r="AP1068" i="9"/>
  <c r="AP1069" i="9"/>
  <c r="AP1070" i="9"/>
  <c r="AP1071" i="9"/>
  <c r="AP1072" i="9"/>
  <c r="AP1073" i="9"/>
  <c r="AP1074" i="9"/>
  <c r="AP1075" i="9"/>
  <c r="AP1076" i="9"/>
  <c r="AP1077" i="9"/>
  <c r="AP1078" i="9"/>
  <c r="AP1079" i="9"/>
  <c r="AP1080" i="9"/>
  <c r="AP1082" i="9"/>
  <c r="AP1081" i="9"/>
  <c r="AP1083" i="9"/>
  <c r="AP1084" i="9"/>
  <c r="AP1085" i="9"/>
  <c r="AP1086" i="9"/>
  <c r="AP1087" i="9"/>
  <c r="AP1088" i="9"/>
  <c r="AP1089" i="9"/>
  <c r="AP1090" i="9"/>
  <c r="AP1091" i="9"/>
  <c r="AP1092" i="9"/>
  <c r="AP1093" i="9"/>
  <c r="AP1094" i="9"/>
  <c r="AP1095" i="9"/>
  <c r="AP1096" i="9"/>
  <c r="AP1097" i="9"/>
  <c r="AP1098" i="9"/>
  <c r="AP1099" i="9"/>
  <c r="AP1100" i="9"/>
  <c r="AP1101" i="9"/>
  <c r="AP1102" i="9"/>
  <c r="AP1103" i="9"/>
  <c r="AP1104" i="9"/>
  <c r="AP1105" i="9"/>
  <c r="AP1106" i="9"/>
  <c r="AP1107" i="9"/>
  <c r="AP1108" i="9"/>
  <c r="AP1109" i="9"/>
  <c r="AP1110" i="9"/>
  <c r="AP1111" i="9"/>
  <c r="AP1112" i="9"/>
  <c r="AP1113" i="9"/>
  <c r="AP1114" i="9"/>
  <c r="AP1115" i="9"/>
  <c r="AP1116" i="9"/>
  <c r="AP1117" i="9"/>
  <c r="AP1118" i="9"/>
  <c r="AP1119" i="9"/>
  <c r="AP1120" i="9"/>
  <c r="AP1121" i="9"/>
  <c r="AP1122" i="9"/>
  <c r="AP1123" i="9"/>
  <c r="AP1124" i="9"/>
  <c r="AP1125" i="9"/>
  <c r="AP1126" i="9"/>
  <c r="AP1127" i="9"/>
  <c r="AP1128" i="9"/>
  <c r="AP1129" i="9"/>
  <c r="AP1130" i="9"/>
  <c r="AP1131" i="9"/>
  <c r="AP1132" i="9"/>
  <c r="AP1133" i="9"/>
  <c r="AP1134" i="9"/>
  <c r="AP1135" i="9"/>
  <c r="AP1136" i="9"/>
  <c r="AP1137" i="9"/>
  <c r="AP1138" i="9"/>
  <c r="AP1139" i="9"/>
  <c r="AP1140" i="9"/>
  <c r="AP1141" i="9"/>
  <c r="AP1142" i="9"/>
  <c r="AP1143" i="9"/>
  <c r="AP1144" i="9"/>
  <c r="AP1145" i="9"/>
  <c r="AP1146" i="9"/>
  <c r="AP1147" i="9"/>
  <c r="AP1148" i="9"/>
  <c r="AP1149" i="9"/>
  <c r="AP1150" i="9"/>
  <c r="AP1151" i="9"/>
  <c r="AP1153" i="9"/>
  <c r="AP1152" i="9"/>
  <c r="AP1154" i="9"/>
  <c r="AP1155" i="9"/>
  <c r="AP1156" i="9"/>
  <c r="AP1157" i="9"/>
  <c r="AP1158" i="9"/>
  <c r="AP1159" i="9"/>
  <c r="AP1160" i="9"/>
  <c r="AP1161" i="9"/>
  <c r="AP1172" i="9"/>
  <c r="AP1173" i="9"/>
  <c r="AP1162" i="9"/>
  <c r="AP1163" i="9"/>
  <c r="AP1164" i="9"/>
  <c r="AP1165" i="9"/>
  <c r="AP1166" i="9"/>
  <c r="AP1167" i="9"/>
  <c r="AP1168" i="9"/>
  <c r="AP1169" i="9"/>
  <c r="AP1170" i="9"/>
  <c r="AP1171" i="9"/>
  <c r="AP1174" i="9"/>
  <c r="AP1175" i="9"/>
  <c r="AP1176" i="9"/>
  <c r="AP1177" i="9"/>
  <c r="AP1178" i="9"/>
  <c r="AP1179" i="9"/>
  <c r="AP1180" i="9"/>
  <c r="AP1181" i="9"/>
  <c r="AP1182" i="9"/>
  <c r="AP1183" i="9"/>
  <c r="AP1184" i="9"/>
  <c r="AP1185" i="9"/>
  <c r="AP1186" i="9"/>
  <c r="AP1187" i="9"/>
  <c r="AP1188" i="9"/>
  <c r="AP1189" i="9"/>
  <c r="AP1190" i="9"/>
  <c r="AP1191" i="9"/>
  <c r="AP1192" i="9"/>
  <c r="AP1193" i="9"/>
  <c r="AP1194" i="9"/>
  <c r="AP1195" i="9"/>
  <c r="AP1196" i="9"/>
  <c r="AP1197" i="9"/>
  <c r="AP1198" i="9"/>
  <c r="AP1199" i="9"/>
  <c r="AP1200" i="9"/>
  <c r="AP1201" i="9"/>
  <c r="AP1202" i="9"/>
  <c r="AP1203" i="9"/>
  <c r="AP1204" i="9"/>
  <c r="AP1205" i="9"/>
  <c r="AP1206" i="9"/>
  <c r="AP1207" i="9"/>
  <c r="AP1208" i="9"/>
  <c r="AP1209" i="9"/>
  <c r="AP1210" i="9"/>
  <c r="AP1211" i="9"/>
  <c r="AP1212" i="9"/>
  <c r="AP1213" i="9"/>
  <c r="AP1214" i="9"/>
  <c r="AP1215" i="9"/>
  <c r="AP1216" i="9"/>
  <c r="AP1217" i="9"/>
  <c r="AP1218" i="9"/>
  <c r="AP1220" i="9"/>
  <c r="AP1219" i="9"/>
  <c r="AP1221" i="9"/>
  <c r="AP1222" i="9"/>
  <c r="AP1223" i="9"/>
  <c r="AP1224" i="9"/>
  <c r="AP1225" i="9"/>
  <c r="AP1226" i="9"/>
  <c r="AP1227" i="9"/>
  <c r="AP1228" i="9"/>
  <c r="AP1229" i="9"/>
  <c r="AP1230" i="9"/>
  <c r="AP1231" i="9"/>
  <c r="AP1232" i="9"/>
  <c r="AP1233" i="9"/>
  <c r="AP1234" i="9"/>
  <c r="AP1235" i="9"/>
  <c r="AP1236" i="9"/>
  <c r="AP1237" i="9"/>
  <c r="AP1238" i="9"/>
  <c r="AP1239" i="9"/>
  <c r="AP1240" i="9"/>
  <c r="AP1241" i="9"/>
  <c r="AP1242" i="9"/>
  <c r="AP1243" i="9"/>
  <c r="AP1244" i="9"/>
  <c r="AP1245" i="9"/>
  <c r="AP1246" i="9"/>
  <c r="AP1247" i="9"/>
  <c r="AP1248" i="9"/>
  <c r="AP1249" i="9"/>
  <c r="AP1250" i="9"/>
  <c r="AP1251" i="9"/>
  <c r="AP1252" i="9"/>
  <c r="AP1253" i="9"/>
  <c r="AP1254" i="9"/>
  <c r="AP1255" i="9"/>
  <c r="AP1256" i="9"/>
  <c r="AP1257" i="9"/>
  <c r="AP1258" i="9"/>
  <c r="AP1259" i="9"/>
  <c r="AP1260" i="9"/>
  <c r="AP1261" i="9"/>
  <c r="AP1262" i="9"/>
  <c r="AP1263" i="9"/>
  <c r="AP1264" i="9"/>
  <c r="AP1265" i="9"/>
  <c r="AP1266" i="9"/>
  <c r="AP1300" i="9"/>
  <c r="AP1267" i="9"/>
  <c r="AP1268" i="9"/>
  <c r="AP1269" i="9"/>
  <c r="AP1270" i="9"/>
  <c r="AP1271" i="9"/>
  <c r="AP1272" i="9"/>
  <c r="AP1273" i="9"/>
  <c r="AP1274" i="9"/>
  <c r="AP1275" i="9"/>
  <c r="AP1276" i="9"/>
  <c r="AP1277" i="9"/>
  <c r="AP1278" i="9"/>
  <c r="AP1279" i="9"/>
  <c r="AP1280" i="9"/>
  <c r="AP1281" i="9"/>
  <c r="AP1282" i="9"/>
  <c r="AP1283" i="9"/>
  <c r="AP1284" i="9"/>
  <c r="AP1285" i="9"/>
  <c r="AP1286" i="9"/>
  <c r="AP1287" i="9"/>
  <c r="AP1288" i="9"/>
  <c r="AP1289" i="9"/>
  <c r="AP1290" i="9"/>
  <c r="AP1291" i="9"/>
  <c r="AP1292" i="9"/>
  <c r="AP1293" i="9"/>
  <c r="AP1295" i="9"/>
  <c r="AP1294" i="9"/>
  <c r="AP1296" i="9"/>
  <c r="AP1297" i="9"/>
  <c r="AP1298" i="9"/>
  <c r="AP1299" i="9"/>
  <c r="AP1301" i="9"/>
  <c r="AP1302" i="9"/>
  <c r="AP1303" i="9"/>
  <c r="AP1304" i="9"/>
  <c r="AP1305" i="9"/>
  <c r="AP1306" i="9"/>
  <c r="AP1307" i="9"/>
  <c r="AP1308" i="9"/>
  <c r="AP1309" i="9"/>
  <c r="AP1310" i="9"/>
  <c r="AP1311" i="9"/>
  <c r="AP1312" i="9"/>
  <c r="AP1313" i="9"/>
  <c r="AP1314" i="9"/>
  <c r="AP1315" i="9"/>
  <c r="AP1316" i="9"/>
  <c r="AP1317" i="9"/>
  <c r="AP1318" i="9"/>
  <c r="AP1319" i="9"/>
  <c r="AP1320" i="9"/>
  <c r="AP1321" i="9"/>
  <c r="AP1322" i="9"/>
  <c r="AP1323" i="9"/>
  <c r="AP1324" i="9"/>
  <c r="AP1325" i="9"/>
  <c r="AP1326" i="9"/>
  <c r="AP1327" i="9"/>
  <c r="AP1328" i="9"/>
  <c r="AP1329" i="9"/>
  <c r="AP1330" i="9"/>
  <c r="AP1331" i="9"/>
  <c r="AP1332" i="9"/>
  <c r="AP1363" i="9"/>
  <c r="AP1333" i="9"/>
  <c r="AP1334" i="9"/>
  <c r="AP1335" i="9"/>
  <c r="AP1336" i="9"/>
  <c r="AP1337" i="9"/>
  <c r="AP1338" i="9"/>
  <c r="AP1339" i="9"/>
  <c r="AP1340" i="9"/>
  <c r="AP1341" i="9"/>
  <c r="AP1342" i="9"/>
  <c r="AP1343" i="9"/>
  <c r="AP1344" i="9"/>
  <c r="AP1345" i="9"/>
  <c r="AP1346" i="9"/>
  <c r="AP1347" i="9"/>
  <c r="AP1348" i="9"/>
  <c r="AP1349" i="9"/>
  <c r="AP1350" i="9"/>
  <c r="AP1351" i="9"/>
  <c r="AP1352" i="9"/>
  <c r="AP1353" i="9"/>
  <c r="AP1354" i="9"/>
  <c r="AP1355" i="9"/>
  <c r="AP1356" i="9"/>
  <c r="AP1357" i="9"/>
  <c r="AP1358" i="9"/>
  <c r="AP1359" i="9"/>
  <c r="AP1360" i="9"/>
  <c r="AP1361" i="9"/>
  <c r="AP1362" i="9"/>
  <c r="AP1364" i="9"/>
  <c r="AP1365" i="9"/>
  <c r="AP1366" i="9"/>
  <c r="AP1367" i="9"/>
  <c r="AP1368" i="9"/>
  <c r="AP1369" i="9"/>
  <c r="AP1370" i="9"/>
  <c r="AP1371" i="9"/>
  <c r="AP1372" i="9"/>
  <c r="AP1373" i="9"/>
  <c r="AP1374" i="9"/>
  <c r="AP1381" i="9"/>
  <c r="AP1375" i="9"/>
  <c r="AP1376" i="9"/>
  <c r="AP1377" i="9"/>
  <c r="AP1378" i="9"/>
  <c r="AP1379" i="9"/>
  <c r="AP1380" i="9"/>
  <c r="AP1382" i="9"/>
  <c r="AP1383" i="9"/>
  <c r="AP1384" i="9"/>
  <c r="AP1385" i="9"/>
  <c r="AP1386" i="9"/>
  <c r="AP1387" i="9"/>
  <c r="AP1388" i="9"/>
  <c r="AP1389" i="9"/>
  <c r="AP1390" i="9"/>
  <c r="AP1391" i="9"/>
  <c r="AP1392" i="9"/>
  <c r="AP1393" i="9"/>
  <c r="AP1394" i="9"/>
  <c r="AP1395" i="9"/>
  <c r="AP1396" i="9"/>
  <c r="AP1397" i="9"/>
  <c r="AP1398" i="9"/>
  <c r="AP1399" i="9"/>
  <c r="AP1400" i="9"/>
  <c r="AP1401" i="9"/>
  <c r="AP1402" i="9"/>
  <c r="AP1403" i="9"/>
  <c r="AP1404" i="9"/>
  <c r="AP1405" i="9"/>
  <c r="AP1406" i="9"/>
  <c r="AP1407" i="9"/>
  <c r="AP1408" i="9"/>
  <c r="AP1409" i="9"/>
  <c r="AP1410" i="9"/>
  <c r="AP1411" i="9"/>
  <c r="AP1412" i="9"/>
  <c r="AP1413" i="9"/>
  <c r="AP1414" i="9"/>
  <c r="AP1415" i="9"/>
  <c r="AP1416" i="9"/>
  <c r="AP1417" i="9"/>
  <c r="AP1418" i="9"/>
  <c r="AP1419" i="9"/>
  <c r="AP1420" i="9"/>
  <c r="AP1421" i="9"/>
  <c r="AP1422" i="9"/>
  <c r="AP1423" i="9"/>
  <c r="AP1424" i="9"/>
  <c r="AP1425" i="9"/>
  <c r="AP1426" i="9"/>
  <c r="AP1427" i="9"/>
  <c r="AP1428" i="9"/>
  <c r="AP1429" i="9"/>
  <c r="AP1430" i="9"/>
  <c r="AP1431" i="9"/>
  <c r="AP1432" i="9"/>
  <c r="AP1433" i="9"/>
  <c r="AP1434" i="9"/>
  <c r="AP1435" i="9"/>
  <c r="AP1436" i="9"/>
  <c r="AP1437" i="9"/>
  <c r="AP1438" i="9"/>
  <c r="AP1439" i="9"/>
  <c r="AP1440" i="9"/>
  <c r="AP1441" i="9"/>
  <c r="AP1442" i="9"/>
  <c r="AP1443" i="9"/>
  <c r="AP1444" i="9"/>
  <c r="AP1445" i="9"/>
  <c r="AP1446" i="9"/>
  <c r="AP1447" i="9"/>
  <c r="AP1448" i="9"/>
  <c r="AP1449" i="9"/>
  <c r="AP1450" i="9"/>
  <c r="AP1451" i="9"/>
  <c r="AP1452" i="9"/>
  <c r="AP1453" i="9"/>
  <c r="AP1454" i="9"/>
  <c r="AP1455" i="9"/>
  <c r="AP1456" i="9"/>
  <c r="AP1457" i="9"/>
  <c r="AP1458" i="9"/>
  <c r="AP1459" i="9"/>
  <c r="AP1460" i="9"/>
  <c r="AP1461" i="9"/>
  <c r="AP1462" i="9"/>
  <c r="AP1463" i="9"/>
  <c r="AP1464" i="9"/>
  <c r="AP1465" i="9"/>
  <c r="AP1466" i="9"/>
  <c r="AP1467" i="9"/>
  <c r="AP1468" i="9"/>
  <c r="AP1469" i="9"/>
  <c r="AP1470" i="9"/>
  <c r="AP1471" i="9"/>
  <c r="AP1472" i="9"/>
  <c r="AP1473" i="9"/>
  <c r="AP1474" i="9"/>
  <c r="AP1475" i="9"/>
  <c r="AP1476" i="9"/>
  <c r="AP1477" i="9"/>
  <c r="AP1478" i="9"/>
  <c r="AP1479" i="9"/>
  <c r="AP1480" i="9"/>
  <c r="AP1481" i="9"/>
  <c r="AP1482" i="9"/>
  <c r="AP1483" i="9"/>
  <c r="AP1484" i="9"/>
  <c r="AP1485" i="9"/>
  <c r="AP1486" i="9"/>
  <c r="AP1487" i="9"/>
  <c r="AP1488" i="9"/>
  <c r="AP1489" i="9"/>
  <c r="AP1490" i="9"/>
  <c r="AP1491" i="9"/>
  <c r="AP1492" i="9"/>
  <c r="AP1493" i="9"/>
  <c r="AP1494" i="9"/>
  <c r="AP1495" i="9"/>
  <c r="AP1496" i="9"/>
  <c r="AP1497" i="9"/>
  <c r="AP1498" i="9"/>
  <c r="AP1499" i="9"/>
  <c r="AP1500" i="9"/>
  <c r="AP1501" i="9"/>
  <c r="AP1502" i="9"/>
  <c r="AP1503" i="9"/>
  <c r="AP1504" i="9"/>
  <c r="AP1505" i="9"/>
  <c r="AP1506" i="9"/>
  <c r="AP1507" i="9"/>
  <c r="AP1508" i="9"/>
  <c r="AP1509" i="9"/>
  <c r="AP1510" i="9"/>
  <c r="AP1511" i="9"/>
  <c r="AP1512" i="9"/>
  <c r="AP1513" i="9"/>
  <c r="AP1514" i="9"/>
  <c r="AP1515" i="9"/>
  <c r="AP1516" i="9"/>
  <c r="AP1517" i="9"/>
  <c r="AP1518" i="9"/>
  <c r="AP1519" i="9"/>
  <c r="AP1520" i="9"/>
  <c r="AP1521" i="9"/>
  <c r="AP1522" i="9"/>
  <c r="AP1523" i="9"/>
  <c r="AP1524" i="9"/>
  <c r="AP1525" i="9"/>
  <c r="AP1526" i="9"/>
  <c r="AP1527" i="9"/>
  <c r="AP1528" i="9"/>
  <c r="AP1529" i="9"/>
  <c r="AP1530" i="9"/>
  <c r="AP1531" i="9"/>
  <c r="AP1532" i="9"/>
  <c r="AP1533" i="9"/>
  <c r="AP1534" i="9"/>
  <c r="AP1535" i="9"/>
  <c r="AP1536" i="9"/>
  <c r="AP1537" i="9"/>
  <c r="AP1538" i="9"/>
  <c r="AP1539" i="9"/>
  <c r="AP1540" i="9"/>
  <c r="AP1541" i="9"/>
  <c r="AP1542" i="9"/>
  <c r="AP1543" i="9"/>
  <c r="AP1544" i="9"/>
  <c r="AP1545" i="9"/>
  <c r="AP1546" i="9"/>
  <c r="AP1547" i="9"/>
  <c r="AP1548" i="9"/>
  <c r="AP1549" i="9"/>
  <c r="AP1550" i="9"/>
  <c r="AP1551" i="9"/>
  <c r="AP1552" i="9"/>
  <c r="AP1553" i="9"/>
  <c r="AP1554" i="9"/>
  <c r="AP1555" i="9"/>
  <c r="AP1556" i="9"/>
  <c r="AP1557" i="9"/>
  <c r="AP1558" i="9"/>
  <c r="AP1559" i="9"/>
  <c r="AP1560" i="9"/>
  <c r="AP1561" i="9"/>
  <c r="AP1562" i="9"/>
  <c r="AP1563" i="9"/>
  <c r="AP1564" i="9"/>
  <c r="AP1565" i="9"/>
  <c r="AP1566" i="9"/>
  <c r="AP1567" i="9"/>
  <c r="AP1568" i="9"/>
  <c r="AP1569" i="9"/>
  <c r="AP1570" i="9"/>
  <c r="AP1571" i="9"/>
  <c r="AP1572" i="9"/>
  <c r="AP1573" i="9"/>
  <c r="AP1574" i="9"/>
  <c r="AP1575" i="9"/>
  <c r="AP1576" i="9"/>
  <c r="AP1577" i="9"/>
  <c r="AP1578" i="9"/>
  <c r="AP1579" i="9"/>
  <c r="AP1580" i="9"/>
  <c r="AP1581" i="9"/>
  <c r="AP1582" i="9"/>
  <c r="AP1583" i="9"/>
  <c r="AP1584" i="9"/>
  <c r="AP1585" i="9"/>
  <c r="AP1586" i="9"/>
  <c r="AP1587" i="9"/>
  <c r="AP1588" i="9"/>
  <c r="AP1589" i="9"/>
  <c r="AP1590" i="9"/>
  <c r="AP1591" i="9"/>
  <c r="AP1592" i="9"/>
  <c r="AP1593" i="9"/>
  <c r="AP1594" i="9"/>
  <c r="AP1595" i="9"/>
  <c r="AP1596" i="9"/>
  <c r="AP1597" i="9"/>
  <c r="AP1598" i="9"/>
  <c r="AP6" i="9"/>
  <c r="E50" i="6" l="1"/>
  <c r="D130" i="6"/>
  <c r="M109" i="6"/>
  <c r="F111" i="6"/>
  <c r="F131" i="6"/>
  <c r="D110" i="6"/>
  <c r="N88" i="6"/>
  <c r="F88" i="6"/>
  <c r="O51" i="6"/>
  <c r="M50" i="6"/>
  <c r="E69" i="6"/>
  <c r="E51" i="6"/>
  <c r="N31" i="6"/>
  <c r="E32" i="6"/>
  <c r="E31" i="6"/>
  <c r="N11" i="6"/>
  <c r="N12" i="6"/>
  <c r="N13" i="6"/>
  <c r="E13" i="6"/>
  <c r="E12" i="6"/>
  <c r="G129" i="6" l="1"/>
  <c r="N108" i="6"/>
  <c r="E129" i="6"/>
  <c r="G109" i="6"/>
  <c r="N49" i="6"/>
  <c r="P49" i="6" s="1"/>
  <c r="O87" i="6"/>
  <c r="F68" i="6"/>
  <c r="E109" i="6"/>
  <c r="E87" i="6"/>
  <c r="O10" i="6"/>
  <c r="F49" i="6"/>
  <c r="F30" i="6"/>
  <c r="M30" i="6"/>
  <c r="N68" i="6"/>
  <c r="F10" i="6"/>
  <c r="L20" i="18"/>
  <c r="L21" i="18"/>
  <c r="F11" i="6"/>
  <c r="N109" i="6"/>
  <c r="O88" i="6"/>
  <c r="F32" i="6"/>
  <c r="O13" i="6"/>
  <c r="F69" i="6"/>
  <c r="G111" i="6"/>
  <c r="E88" i="6"/>
  <c r="F51" i="6"/>
  <c r="F31" i="6"/>
  <c r="F13" i="6"/>
  <c r="G131" i="6"/>
  <c r="P51" i="6"/>
  <c r="F50" i="6"/>
  <c r="O11" i="6"/>
  <c r="F12" i="6"/>
  <c r="N50" i="6"/>
  <c r="M31" i="6"/>
  <c r="O12" i="6"/>
  <c r="O70" i="6"/>
  <c r="O69" i="6" s="1"/>
  <c r="P27" i="18" l="1"/>
  <c r="P29" i="18" s="1"/>
  <c r="P30" i="18" s="1"/>
  <c r="P19" i="18"/>
  <c r="P22" i="18" s="1"/>
  <c r="P23" i="18" s="1"/>
  <c r="P39" i="18"/>
  <c r="Q39" i="18"/>
  <c r="E130" i="6"/>
  <c r="L43" i="2"/>
  <c r="H11" i="17" s="1"/>
  <c r="E110" i="6"/>
  <c r="L25" i="2"/>
  <c r="H12" i="14" s="1"/>
  <c r="L26" i="2"/>
  <c r="H34" i="14" s="1"/>
  <c r="L27" i="2"/>
  <c r="H48" i="14" s="1"/>
  <c r="L54" i="2"/>
  <c r="L24" i="2"/>
  <c r="H11" i="14" s="1"/>
  <c r="L46" i="2"/>
  <c r="H12" i="17" s="1"/>
  <c r="L44" i="2"/>
  <c r="H35" i="17" s="1"/>
  <c r="L29" i="2"/>
  <c r="H23" i="14" s="1"/>
  <c r="L30" i="2"/>
  <c r="H24" i="14" s="1"/>
  <c r="L35" i="2"/>
  <c r="H24" i="16" s="1"/>
  <c r="L20" i="2"/>
  <c r="L34" i="2"/>
  <c r="H11" i="16" s="1"/>
  <c r="L48" i="2"/>
  <c r="H22" i="17" s="1"/>
  <c r="L11" i="2"/>
  <c r="L19" i="2"/>
  <c r="L10" i="2"/>
  <c r="L17" i="2"/>
  <c r="L15" i="2"/>
  <c r="L16" i="2"/>
  <c r="L14" i="2"/>
  <c r="N70" i="6"/>
  <c r="N69" i="6" s="1"/>
  <c r="G42" i="10" l="1"/>
  <c r="Q41" i="18"/>
  <c r="G42" i="18"/>
  <c r="G23" i="18"/>
  <c r="G23" i="10"/>
  <c r="G14" i="18"/>
  <c r="G14" i="10"/>
  <c r="L18" i="10"/>
  <c r="G31" i="10" s="1"/>
  <c r="L17" i="10"/>
  <c r="G20" i="10" s="1"/>
  <c r="H41" i="13"/>
  <c r="H31" i="13"/>
  <c r="H30" i="13"/>
  <c r="H21" i="13"/>
  <c r="H23" i="13"/>
  <c r="H22" i="13"/>
  <c r="H12" i="13"/>
  <c r="H13" i="13"/>
  <c r="G44" i="18" l="1"/>
  <c r="G44" i="10"/>
</calcChain>
</file>

<file path=xl/sharedStrings.xml><?xml version="1.0" encoding="utf-8"?>
<sst xmlns="http://schemas.openxmlformats.org/spreadsheetml/2006/main" count="10174" uniqueCount="4272">
  <si>
    <t>DEFINITION</t>
  </si>
  <si>
    <t>Spending per FTE student</t>
  </si>
  <si>
    <t>Compensation spending per FTE employee</t>
  </si>
  <si>
    <t>Compensation share of total spending</t>
  </si>
  <si>
    <r>
      <t>Total undergraduate and graduate credit hours (including contact hours converted to credit hours)/FTE faculty</t>
    </r>
    <r>
      <rPr>
        <vertAlign val="superscript"/>
        <sz val="11"/>
        <color theme="1"/>
        <rFont val="Calibri"/>
        <family val="2"/>
        <scheme val="minor"/>
      </rPr>
      <t>(2)</t>
    </r>
  </si>
  <si>
    <t>Total spending (E&amp;R)/total completions (degrees, certificates, and other awards)</t>
  </si>
  <si>
    <t xml:space="preserve">Completions per $100,000 of total spending </t>
  </si>
  <si>
    <t>Total completions (degrees, certificates, and other awards)/Total spending (E&amp;R) * 100,000</t>
  </si>
  <si>
    <t>Completions per 100 FTE</t>
  </si>
  <si>
    <t>Student credit hours per completion</t>
  </si>
  <si>
    <t>Undergraduate student credit hours/total undergraduate completions (degrees and other awards)</t>
  </si>
  <si>
    <t>Notes:</t>
  </si>
  <si>
    <t>2. Full-time equivalent (FTE) employees are calculated as the sum of all full-time employees and part-time employees divided by 3; calculation of FTE faculty follows a similar formula.</t>
  </si>
  <si>
    <t>3. Benefits include: institutional contributions to retirement plans, social security taxes, medical/dental plans, guaranteed disability income protection pans, tuition plans, housing plans, unemployment compensation insurance, group life insurance plans, worker's compensation plans, and other benefits in-kind with cash options.</t>
  </si>
  <si>
    <t>Johnson County Community College</t>
  </si>
  <si>
    <t>University of Central Missouri</t>
  </si>
  <si>
    <t>Identify Sector</t>
  </si>
  <si>
    <t>Revenue per FTE student</t>
  </si>
  <si>
    <t>OUTCOME METRICS</t>
  </si>
  <si>
    <t>REVENUE AND SPENDING METRICS</t>
  </si>
  <si>
    <t>Spending per credit hour</t>
  </si>
  <si>
    <t>Faculty throughput</t>
  </si>
  <si>
    <t>BENCHMARK AVERAGE</t>
  </si>
  <si>
    <t>Public Research University</t>
  </si>
  <si>
    <t>Public Community College</t>
  </si>
  <si>
    <t>Public Master's University</t>
  </si>
  <si>
    <t>Public Bachelor's College</t>
  </si>
  <si>
    <t>REVENUE and SPENDING METRICS</t>
  </si>
  <si>
    <t>Net tuition and fees revenue/total E&amp;R spending</t>
  </si>
  <si>
    <t>Change in net revenue from a 1% change in:</t>
  </si>
  <si>
    <t>Average student credit hour load</t>
  </si>
  <si>
    <t>Student retention (fall to fall)</t>
  </si>
  <si>
    <t xml:space="preserve">Indicates how reliant the college is on student tuition revenue and whether it should look to expand other revenue streams. </t>
  </si>
  <si>
    <t>Above average compensation spending indicates colleges should examine their staffing and compensation patterns to identify cost drivers.</t>
  </si>
  <si>
    <t>Indicates whether compensation accounts for a reasonable portion of overall spending.</t>
  </si>
  <si>
    <t>Student-to-faculty ratio</t>
  </si>
  <si>
    <t>Illustrates the potential net revenue that could be generated from an increase in student performance.</t>
  </si>
  <si>
    <t>Spending per completion</t>
  </si>
  <si>
    <t>Higher than average performance on this measure could signal high levels of spending because of higher cost programs/degrees or indirect costs, or high attrition.</t>
  </si>
  <si>
    <t>A higher than average outcome on this measure could signal higher cost programs/degrees or indirect costs, or academic program inefficiencies (e.g., low enrollment programs, courses, sections).</t>
  </si>
  <si>
    <t>Above average performance on this metric is an indication of efficient degree/certificate production.</t>
  </si>
  <si>
    <t>Degree and certification production measure that shows whether productivity is above/below average.</t>
  </si>
  <si>
    <t>Indicates efficiency around the instructional production process, and identifies whether institutions are producing "unproductive" credits that do not translate into outcomes.</t>
  </si>
  <si>
    <t>Net income ratio</t>
  </si>
  <si>
    <t>Return on net assets ratio</t>
  </si>
  <si>
    <t>This ratio measures whether colleges are profitable, or operating safely within the bounds of available resources. The threshold value for this ratio is between 2% and 4%.</t>
  </si>
  <si>
    <t>This metric indicates whether colleges total assets are increasing or decreasing, signaling whether the wealth of the institution is increasing and able to set aside resources for future needs. The threshold for this ratio is 3%-4% (above inflation).</t>
  </si>
  <si>
    <t>VLOOKUP COLUMN NUMBER</t>
  </si>
  <si>
    <t>share of student spending</t>
  </si>
  <si>
    <t>x</t>
  </si>
  <si>
    <t>Tuition financed share of education-related spending</t>
  </si>
  <si>
    <t>comp_share_tot_spend</t>
  </si>
  <si>
    <t>net_asset_ratio</t>
  </si>
  <si>
    <t>N</t>
  </si>
  <si>
    <t>groupid</t>
  </si>
  <si>
    <t>unitid</t>
  </si>
  <si>
    <t>city</t>
  </si>
  <si>
    <t>state</t>
  </si>
  <si>
    <t>Abilene Christian University</t>
  </si>
  <si>
    <t>Abilene</t>
  </si>
  <si>
    <t>TX</t>
  </si>
  <si>
    <t>Abraham Baldwin Agricultural College</t>
  </si>
  <si>
    <t>Tifton</t>
  </si>
  <si>
    <t>GA</t>
  </si>
  <si>
    <t>Adams State University</t>
  </si>
  <si>
    <t>Alamosa</t>
  </si>
  <si>
    <t>CO</t>
  </si>
  <si>
    <t>Adelphi University</t>
  </si>
  <si>
    <t>Garden City</t>
  </si>
  <si>
    <t>NY</t>
  </si>
  <si>
    <t>Adirondack Community College</t>
  </si>
  <si>
    <t>Queensbury</t>
  </si>
  <si>
    <t>Adrian College</t>
  </si>
  <si>
    <t>Adrian</t>
  </si>
  <si>
    <t>MI</t>
  </si>
  <si>
    <t>Agnes Scott College</t>
  </si>
  <si>
    <t>Decatur</t>
  </si>
  <si>
    <t>Aiken Technical College</t>
  </si>
  <si>
    <t>Graniteville</t>
  </si>
  <si>
    <t>SC</t>
  </si>
  <si>
    <t>Aims Community College</t>
  </si>
  <si>
    <t>Greeley</t>
  </si>
  <si>
    <t>OH</t>
  </si>
  <si>
    <t>Alabama A &amp; M University</t>
  </si>
  <si>
    <t>Normal</t>
  </si>
  <si>
    <t>AL</t>
  </si>
  <si>
    <t>Alabama State University</t>
  </si>
  <si>
    <t>Montgomery</t>
  </si>
  <si>
    <t>Alamance Community College</t>
  </si>
  <si>
    <t>Graham</t>
  </si>
  <si>
    <t>NC</t>
  </si>
  <si>
    <t>Alaska Pacific University</t>
  </si>
  <si>
    <t>Anchorage</t>
  </si>
  <si>
    <t>AK</t>
  </si>
  <si>
    <t>Albany State University</t>
  </si>
  <si>
    <t>Albany</t>
  </si>
  <si>
    <t>Albany Technical College</t>
  </si>
  <si>
    <t>Albertus Magnus College</t>
  </si>
  <si>
    <t>New Haven</t>
  </si>
  <si>
    <t>CT</t>
  </si>
  <si>
    <t>Albion College</t>
  </si>
  <si>
    <t>Albion</t>
  </si>
  <si>
    <t>Albright College</t>
  </si>
  <si>
    <t>Reading</t>
  </si>
  <si>
    <t>PA</t>
  </si>
  <si>
    <t>Alcorn State University</t>
  </si>
  <si>
    <t>Alcorn State</t>
  </si>
  <si>
    <t>MS</t>
  </si>
  <si>
    <t>Alderson Broaddus University</t>
  </si>
  <si>
    <t>Philippi</t>
  </si>
  <si>
    <t>WV</t>
  </si>
  <si>
    <t>Alexandria Technical &amp; Community College</t>
  </si>
  <si>
    <t>Alexandria</t>
  </si>
  <si>
    <t>MN</t>
  </si>
  <si>
    <t>Alfred University</t>
  </si>
  <si>
    <t>Alfred</t>
  </si>
  <si>
    <t>Alice Lloyd College</t>
  </si>
  <si>
    <t>Pippa Passes</t>
  </si>
  <si>
    <t>KY</t>
  </si>
  <si>
    <t>Allan Hancock College</t>
  </si>
  <si>
    <t>Santa Maria</t>
  </si>
  <si>
    <t>CA</t>
  </si>
  <si>
    <t>Allegany College of Maryland</t>
  </si>
  <si>
    <t>Cumberland</t>
  </si>
  <si>
    <t>MD</t>
  </si>
  <si>
    <t>Allegheny College</t>
  </si>
  <si>
    <t>Meadville</t>
  </si>
  <si>
    <t>Allen County Community College</t>
  </si>
  <si>
    <t>Iola</t>
  </si>
  <si>
    <t>KS</t>
  </si>
  <si>
    <t>Allen University</t>
  </si>
  <si>
    <t>Columbia</t>
  </si>
  <si>
    <t>Alma College</t>
  </si>
  <si>
    <t>Alma</t>
  </si>
  <si>
    <t>Alpena Community College</t>
  </si>
  <si>
    <t>Alpena</t>
  </si>
  <si>
    <t>Alvernia University</t>
  </si>
  <si>
    <t>Alverno College</t>
  </si>
  <si>
    <t>Milwaukee</t>
  </si>
  <si>
    <t>WI</t>
  </si>
  <si>
    <t>Alvin Community College</t>
  </si>
  <si>
    <t>Alvin</t>
  </si>
  <si>
    <t>Amarillo College</t>
  </si>
  <si>
    <t>Amarillo</t>
  </si>
  <si>
    <t>Amberton University</t>
  </si>
  <si>
    <t>Garland</t>
  </si>
  <si>
    <t>Phoenix</t>
  </si>
  <si>
    <t>AZ</t>
  </si>
  <si>
    <t>American International College</t>
  </si>
  <si>
    <t>Springfield</t>
  </si>
  <si>
    <t>MA</t>
  </si>
  <si>
    <t>American Jewish University</t>
  </si>
  <si>
    <t>Los Angeles</t>
  </si>
  <si>
    <t>Sacramento</t>
  </si>
  <si>
    <t>American University</t>
  </si>
  <si>
    <t>Washington</t>
  </si>
  <si>
    <t>DC</t>
  </si>
  <si>
    <t>Amherst College</t>
  </si>
  <si>
    <t>Amherst</t>
  </si>
  <si>
    <t>Amridge University</t>
  </si>
  <si>
    <t>Anderson</t>
  </si>
  <si>
    <t>IN</t>
  </si>
  <si>
    <t>Andrews University</t>
  </si>
  <si>
    <t>Berrien Springs</t>
  </si>
  <si>
    <t>Angelina College</t>
  </si>
  <si>
    <t>Lufkin</t>
  </si>
  <si>
    <t>Angelo State University</t>
  </si>
  <si>
    <t>San Angelo</t>
  </si>
  <si>
    <t>Anna Maria College</t>
  </si>
  <si>
    <t>Paxton</t>
  </si>
  <si>
    <t>Anne Arundel Community College</t>
  </si>
  <si>
    <t>Arnold</t>
  </si>
  <si>
    <t>Anoka Technical College</t>
  </si>
  <si>
    <t>Anoka</t>
  </si>
  <si>
    <t>Anoka-Ramsey Community College</t>
  </si>
  <si>
    <t>Coon Rapids</t>
  </si>
  <si>
    <t>Antelope Valley College</t>
  </si>
  <si>
    <t>Lancaster</t>
  </si>
  <si>
    <t>Keene</t>
  </si>
  <si>
    <t>NH</t>
  </si>
  <si>
    <t>Santa Barbara</t>
  </si>
  <si>
    <t>Seattle</t>
  </si>
  <si>
    <t>WA</t>
  </si>
  <si>
    <t>Appalachian State University</t>
  </si>
  <si>
    <t>Boone</t>
  </si>
  <si>
    <t>Aquinas College</t>
  </si>
  <si>
    <t>Grand Rapids</t>
  </si>
  <si>
    <t>Arapahoe Community College</t>
  </si>
  <si>
    <t>Littleton</t>
  </si>
  <si>
    <t>Arcadia University</t>
  </si>
  <si>
    <t>Glenside</t>
  </si>
  <si>
    <t>Arizona Christian University</t>
  </si>
  <si>
    <t>Mesa</t>
  </si>
  <si>
    <t>Scottsdale</t>
  </si>
  <si>
    <t>Tempe</t>
  </si>
  <si>
    <t>Glendale</t>
  </si>
  <si>
    <t>Arizona Western College</t>
  </si>
  <si>
    <t>Yuma</t>
  </si>
  <si>
    <t>Arkansas Baptist College</t>
  </si>
  <si>
    <t>Little Rock</t>
  </si>
  <si>
    <t>AR</t>
  </si>
  <si>
    <t>Arkansas Northeastern College</t>
  </si>
  <si>
    <t>Blytheville</t>
  </si>
  <si>
    <t>Arkansas State University Mid-South</t>
  </si>
  <si>
    <t>West Memphis</t>
  </si>
  <si>
    <t>Arkansas State University-Beebe</t>
  </si>
  <si>
    <t>Beebe</t>
  </si>
  <si>
    <t>Arkansas State University-Main Campus</t>
  </si>
  <si>
    <t>Jonesboro</t>
  </si>
  <si>
    <t>Arkansas State University-Mountain Home</t>
  </si>
  <si>
    <t>Mountain Home</t>
  </si>
  <si>
    <t>Arkansas State University-Newport</t>
  </si>
  <si>
    <t>Newport</t>
  </si>
  <si>
    <t>Arkansas Tech University</t>
  </si>
  <si>
    <t>Russellville</t>
  </si>
  <si>
    <t>Savannah</t>
  </si>
  <si>
    <t>Asbury University</t>
  </si>
  <si>
    <t>Wilmore</t>
  </si>
  <si>
    <t>Asheville-Buncombe Technical Community College</t>
  </si>
  <si>
    <t>Asheville</t>
  </si>
  <si>
    <t>Ashland</t>
  </si>
  <si>
    <t>Ashland University</t>
  </si>
  <si>
    <t>Asnuntuck Community College</t>
  </si>
  <si>
    <t>Enfield</t>
  </si>
  <si>
    <t>Assumption College</t>
  </si>
  <si>
    <t>Worcester</t>
  </si>
  <si>
    <t>Athens State University</t>
  </si>
  <si>
    <t>Athens</t>
  </si>
  <si>
    <t>Athens Technical College</t>
  </si>
  <si>
    <t>Atlanta Metropolitan State College</t>
  </si>
  <si>
    <t>Atlanta</t>
  </si>
  <si>
    <t>Atlanta Technical College</t>
  </si>
  <si>
    <t>Atlantic Cape Community College</t>
  </si>
  <si>
    <t>Mays Landing</t>
  </si>
  <si>
    <t>NJ</t>
  </si>
  <si>
    <t>Auburn University</t>
  </si>
  <si>
    <t>Auburn</t>
  </si>
  <si>
    <t>Auburn University at Montgomery</t>
  </si>
  <si>
    <t>Minneapolis</t>
  </si>
  <si>
    <t>Augusta Technical College</t>
  </si>
  <si>
    <t>Augusta</t>
  </si>
  <si>
    <t>Augustana College</t>
  </si>
  <si>
    <t>Rock Island</t>
  </si>
  <si>
    <t>IL</t>
  </si>
  <si>
    <t>Augustana University</t>
  </si>
  <si>
    <t>Sioux Falls</t>
  </si>
  <si>
    <t>SD</t>
  </si>
  <si>
    <t>Aurora University</t>
  </si>
  <si>
    <t>Aurora</t>
  </si>
  <si>
    <t>Austin College</t>
  </si>
  <si>
    <t>Sherman</t>
  </si>
  <si>
    <t>Austin Community College District</t>
  </si>
  <si>
    <t>Austin</t>
  </si>
  <si>
    <t>Austin Peay State University</t>
  </si>
  <si>
    <t>Clarksville</t>
  </si>
  <si>
    <t>TN</t>
  </si>
  <si>
    <t>Ave Maria University</t>
  </si>
  <si>
    <t>Ave Maria</t>
  </si>
  <si>
    <t>FL</t>
  </si>
  <si>
    <t>Averett University</t>
  </si>
  <si>
    <t>Danville</t>
  </si>
  <si>
    <t>VA</t>
  </si>
  <si>
    <t>Avila University</t>
  </si>
  <si>
    <t>Kansas City</t>
  </si>
  <si>
    <t>MO</t>
  </si>
  <si>
    <t>Azusa Pacific University</t>
  </si>
  <si>
    <t>Azusa</t>
  </si>
  <si>
    <t>Azusa Pacific University College</t>
  </si>
  <si>
    <t>San Dimas</t>
  </si>
  <si>
    <t>Bacone College</t>
  </si>
  <si>
    <t>Muskogee</t>
  </si>
  <si>
    <t>OK</t>
  </si>
  <si>
    <t>Flint</t>
  </si>
  <si>
    <t>Jackson</t>
  </si>
  <si>
    <t>Muskegon</t>
  </si>
  <si>
    <t>Port Huron</t>
  </si>
  <si>
    <t>Baker University</t>
  </si>
  <si>
    <t>Baldwin City</t>
  </si>
  <si>
    <t>Bakersfield</t>
  </si>
  <si>
    <t>Baldwin Wallace University</t>
  </si>
  <si>
    <t>Berea</t>
  </si>
  <si>
    <t>Ball State University</t>
  </si>
  <si>
    <t>Muncie</t>
  </si>
  <si>
    <t>Baltimore City Community College</t>
  </si>
  <si>
    <t>Baltimore</t>
  </si>
  <si>
    <t>Bard College</t>
  </si>
  <si>
    <t>Annandale-On-Hudson</t>
  </si>
  <si>
    <t>Bard College at Simon's Rock</t>
  </si>
  <si>
    <t>Great Barrington</t>
  </si>
  <si>
    <t>Barnard College</t>
  </si>
  <si>
    <t>New York</t>
  </si>
  <si>
    <t>Barry University</t>
  </si>
  <si>
    <t>Miami</t>
  </si>
  <si>
    <t>Barstow Community College</t>
  </si>
  <si>
    <t>Barstow</t>
  </si>
  <si>
    <t>Barton College</t>
  </si>
  <si>
    <t>Wilson</t>
  </si>
  <si>
    <t>Barton County Community College</t>
  </si>
  <si>
    <t>Great Bend</t>
  </si>
  <si>
    <t>Bates College</t>
  </si>
  <si>
    <t>Lewiston</t>
  </si>
  <si>
    <t>ME</t>
  </si>
  <si>
    <t>Bates Technical College</t>
  </si>
  <si>
    <t>Tacoma</t>
  </si>
  <si>
    <t>Baton Rouge Community College</t>
  </si>
  <si>
    <t>Baton Rouge</t>
  </si>
  <si>
    <t>LA</t>
  </si>
  <si>
    <t>Bay Path University</t>
  </si>
  <si>
    <t>Longmeadow</t>
  </si>
  <si>
    <t>Bay de Noc Community College</t>
  </si>
  <si>
    <t>Escanaba</t>
  </si>
  <si>
    <t>Baylor University</t>
  </si>
  <si>
    <t>Waco</t>
  </si>
  <si>
    <t>Beacon College</t>
  </si>
  <si>
    <t>Leesburg</t>
  </si>
  <si>
    <t>Beaufort County Community College</t>
  </si>
  <si>
    <t>Becker College</t>
  </si>
  <si>
    <t>Belhaven University</t>
  </si>
  <si>
    <t>Bellarmine University</t>
  </si>
  <si>
    <t>Louisville</t>
  </si>
  <si>
    <t>Bellevue College</t>
  </si>
  <si>
    <t>Bellevue</t>
  </si>
  <si>
    <t>Bellevue University</t>
  </si>
  <si>
    <t>NE</t>
  </si>
  <si>
    <t>Bellingham Technical College</t>
  </si>
  <si>
    <t>Bellingham</t>
  </si>
  <si>
    <t>Belmont Abbey College</t>
  </si>
  <si>
    <t>Belmont</t>
  </si>
  <si>
    <t>Belmont College</t>
  </si>
  <si>
    <t>Saint Clairsville</t>
  </si>
  <si>
    <t>Belmont University</t>
  </si>
  <si>
    <t>Nashville</t>
  </si>
  <si>
    <t>Beloit College</t>
  </si>
  <si>
    <t>Beloit</t>
  </si>
  <si>
    <t>Bemidji State University</t>
  </si>
  <si>
    <t>Bemidji</t>
  </si>
  <si>
    <t>Benedict College</t>
  </si>
  <si>
    <t>Benedictine College</t>
  </si>
  <si>
    <t>Atchison</t>
  </si>
  <si>
    <t>Benedictine University</t>
  </si>
  <si>
    <t>Lisle</t>
  </si>
  <si>
    <t>Bennett College</t>
  </si>
  <si>
    <t>Greensboro</t>
  </si>
  <si>
    <t>Bennington College</t>
  </si>
  <si>
    <t>Bennington</t>
  </si>
  <si>
    <t>VT</t>
  </si>
  <si>
    <t>Bentley University</t>
  </si>
  <si>
    <t>Waltham</t>
  </si>
  <si>
    <t>Berea College</t>
  </si>
  <si>
    <t>Bergen Community College</t>
  </si>
  <si>
    <t>Paramus</t>
  </si>
  <si>
    <t>Bergin University of Canine Studies</t>
  </si>
  <si>
    <t>Rohnert Park</t>
  </si>
  <si>
    <t>Berkeley</t>
  </si>
  <si>
    <t>Berkshire Community College</t>
  </si>
  <si>
    <t>Pittsfield</t>
  </si>
  <si>
    <t>Berry College</t>
  </si>
  <si>
    <t>Mount Berry</t>
  </si>
  <si>
    <t>Lindsborg</t>
  </si>
  <si>
    <t>Bethany</t>
  </si>
  <si>
    <t>Bethany Lutheran College</t>
  </si>
  <si>
    <t>Mankato</t>
  </si>
  <si>
    <t>Bethel College-Indiana</t>
  </si>
  <si>
    <t>Mishawaka</t>
  </si>
  <si>
    <t>Bethel College-North Newton</t>
  </si>
  <si>
    <t>North Newton</t>
  </si>
  <si>
    <t>Saint Paul</t>
  </si>
  <si>
    <t>McKenzie</t>
  </si>
  <si>
    <t>Bethune-Cookman University</t>
  </si>
  <si>
    <t>Daytona Beach</t>
  </si>
  <si>
    <t>Bevill State Community College</t>
  </si>
  <si>
    <t>Jasper</t>
  </si>
  <si>
    <t>Big Bend Community College</t>
  </si>
  <si>
    <t>Moses Lake</t>
  </si>
  <si>
    <t>Biola University</t>
  </si>
  <si>
    <t>La Mirada</t>
  </si>
  <si>
    <t>Birmingham Southern College</t>
  </si>
  <si>
    <t>Birmingham</t>
  </si>
  <si>
    <t>Bishop State Community College</t>
  </si>
  <si>
    <t>Mobile</t>
  </si>
  <si>
    <t>Bismarck State College</t>
  </si>
  <si>
    <t>Bismarck</t>
  </si>
  <si>
    <t>ND</t>
  </si>
  <si>
    <t>Black Hawk College</t>
  </si>
  <si>
    <t>Moline</t>
  </si>
  <si>
    <t>Black Hills State University</t>
  </si>
  <si>
    <t>Spearfish</t>
  </si>
  <si>
    <t>Black River Technical College</t>
  </si>
  <si>
    <t>Pocahontas</t>
  </si>
  <si>
    <t>Blackburn College</t>
  </si>
  <si>
    <t>Carlinville</t>
  </si>
  <si>
    <t>Blackhawk Technical College</t>
  </si>
  <si>
    <t>Janesville</t>
  </si>
  <si>
    <t>Bladen Community College</t>
  </si>
  <si>
    <t>Dublin</t>
  </si>
  <si>
    <t>Blinn College</t>
  </si>
  <si>
    <t>Brenham</t>
  </si>
  <si>
    <t>Bloomfield College</t>
  </si>
  <si>
    <t>Bloomfield</t>
  </si>
  <si>
    <t>Bloomsburg University of Pennsylvania</t>
  </si>
  <si>
    <t>Bloomsburg</t>
  </si>
  <si>
    <t>Blue Mountain College</t>
  </si>
  <si>
    <t>Blue Mountain</t>
  </si>
  <si>
    <t>Blue Mountain Community College</t>
  </si>
  <si>
    <t>Pendleton</t>
  </si>
  <si>
    <t>OR</t>
  </si>
  <si>
    <t>Flat Rock</t>
  </si>
  <si>
    <t>Weyers Cave</t>
  </si>
  <si>
    <t>Blue Ridge Community and Technical College</t>
  </si>
  <si>
    <t>Martinsburg</t>
  </si>
  <si>
    <t>Bluefield College</t>
  </si>
  <si>
    <t>Bluefield</t>
  </si>
  <si>
    <t>Bluefield State College</t>
  </si>
  <si>
    <t>Lexington</t>
  </si>
  <si>
    <t>Bluffton University</t>
  </si>
  <si>
    <t>Bluffton</t>
  </si>
  <si>
    <t>Boise State University</t>
  </si>
  <si>
    <t>Boise</t>
  </si>
  <si>
    <t>ID</t>
  </si>
  <si>
    <t>Boricua College</t>
  </si>
  <si>
    <t>Bossier Parish Community College</t>
  </si>
  <si>
    <t>Bossier City</t>
  </si>
  <si>
    <t>Boston College</t>
  </si>
  <si>
    <t>Chestnut Hill</t>
  </si>
  <si>
    <t>Boston University</t>
  </si>
  <si>
    <t>Boston</t>
  </si>
  <si>
    <t>Bowdoin College</t>
  </si>
  <si>
    <t>Brunswick</t>
  </si>
  <si>
    <t>Bowie State University</t>
  </si>
  <si>
    <t>Bowie</t>
  </si>
  <si>
    <t>Bowling Green</t>
  </si>
  <si>
    <t>Bradley University</t>
  </si>
  <si>
    <t>Peoria</t>
  </si>
  <si>
    <t>Brandeis University</t>
  </si>
  <si>
    <t>Irvine</t>
  </si>
  <si>
    <t>Brazosport College</t>
  </si>
  <si>
    <t>Lake Jackson</t>
  </si>
  <si>
    <t>Brenau University</t>
  </si>
  <si>
    <t>Gainesville</t>
  </si>
  <si>
    <t>Brescia University</t>
  </si>
  <si>
    <t>Owensboro</t>
  </si>
  <si>
    <t>Brevard College</t>
  </si>
  <si>
    <t>Brevard</t>
  </si>
  <si>
    <t>Brewton-Parker College</t>
  </si>
  <si>
    <t>Mount Vernon</t>
  </si>
  <si>
    <t>Briar Cliff University</t>
  </si>
  <si>
    <t>Sioux City</t>
  </si>
  <si>
    <t>IA</t>
  </si>
  <si>
    <t>Bridgewater College</t>
  </si>
  <si>
    <t>Bridgewater</t>
  </si>
  <si>
    <t>Bridgewater State University</t>
  </si>
  <si>
    <t>Brigham Young University-Hawaii</t>
  </si>
  <si>
    <t>Laie</t>
  </si>
  <si>
    <t>HI</t>
  </si>
  <si>
    <t>Brigham Young University-Idaho</t>
  </si>
  <si>
    <t>Rexburg</t>
  </si>
  <si>
    <t>Brigham Young University-Provo</t>
  </si>
  <si>
    <t>Provo</t>
  </si>
  <si>
    <t>UT</t>
  </si>
  <si>
    <t>Bristol Community College</t>
  </si>
  <si>
    <t>Fall River</t>
  </si>
  <si>
    <t>Brookdale Community College</t>
  </si>
  <si>
    <t>Lincroft</t>
  </si>
  <si>
    <t>Brookhaven College</t>
  </si>
  <si>
    <t>Farmers Branch</t>
  </si>
  <si>
    <t>Broward College</t>
  </si>
  <si>
    <t>Fort Lauderdale</t>
  </si>
  <si>
    <t>Brown University</t>
  </si>
  <si>
    <t>Providence</t>
  </si>
  <si>
    <t>RI</t>
  </si>
  <si>
    <t>Brunswick Community College</t>
  </si>
  <si>
    <t>Bolivia</t>
  </si>
  <si>
    <t>Bryan College-Dayton</t>
  </si>
  <si>
    <t>Dayton</t>
  </si>
  <si>
    <t>Bryant University</t>
  </si>
  <si>
    <t>Smithfield</t>
  </si>
  <si>
    <t>Bryn Athyn College of the New Church</t>
  </si>
  <si>
    <t>Bryn Athyn</t>
  </si>
  <si>
    <t>Bryn Mawr College</t>
  </si>
  <si>
    <t>Bryn Mawr</t>
  </si>
  <si>
    <t>Bucknell University</t>
  </si>
  <si>
    <t>Lewisburg</t>
  </si>
  <si>
    <t>Bucks County Community College</t>
  </si>
  <si>
    <t>Newtown</t>
  </si>
  <si>
    <t>Buena Vista University</t>
  </si>
  <si>
    <t>Storm Lake</t>
  </si>
  <si>
    <t>Bunker Hill Community College</t>
  </si>
  <si>
    <t>Burlington</t>
  </si>
  <si>
    <t>Butler Community College</t>
  </si>
  <si>
    <t>El Dorado</t>
  </si>
  <si>
    <t>Butler County Community College</t>
  </si>
  <si>
    <t>Butler</t>
  </si>
  <si>
    <t>Butler University</t>
  </si>
  <si>
    <t>Indianapolis</t>
  </si>
  <si>
    <t>Butte College</t>
  </si>
  <si>
    <t>Oroville</t>
  </si>
  <si>
    <t>CUNY Bernard M Baruch College</t>
  </si>
  <si>
    <t>CUNY Borough of Manhattan Community College</t>
  </si>
  <si>
    <t>CUNY Bronx Community College</t>
  </si>
  <si>
    <t>Bronx</t>
  </si>
  <si>
    <t>CUNY Brooklyn College</t>
  </si>
  <si>
    <t>Brooklyn</t>
  </si>
  <si>
    <t>CUNY City College</t>
  </si>
  <si>
    <t>CUNY Graduate School and University Center</t>
  </si>
  <si>
    <t>CUNY Hostos Community College</t>
  </si>
  <si>
    <t>CUNY Hunter College</t>
  </si>
  <si>
    <t>CUNY John Jay College of Criminal Justice</t>
  </si>
  <si>
    <t>CUNY Kingsborough Community College</t>
  </si>
  <si>
    <t>CUNY LaGuardia Community College</t>
  </si>
  <si>
    <t>Long Island City</t>
  </si>
  <si>
    <t>CUNY Lehman College</t>
  </si>
  <si>
    <t>CUNY Medgar Evers College</t>
  </si>
  <si>
    <t>CUNY New York City College of Technology</t>
  </si>
  <si>
    <t>CUNY Queens College</t>
  </si>
  <si>
    <t>Queens</t>
  </si>
  <si>
    <t>CUNY Queensborough Community College</t>
  </si>
  <si>
    <t>Bayside</t>
  </si>
  <si>
    <t>CUNY York College</t>
  </si>
  <si>
    <t>Jamaica</t>
  </si>
  <si>
    <t>Cabrillo College</t>
  </si>
  <si>
    <t>Aptos</t>
  </si>
  <si>
    <t>Cabrini University</t>
  </si>
  <si>
    <t>Radnor</t>
  </si>
  <si>
    <t>Langhorne</t>
  </si>
  <si>
    <t>Caldwell Community College and Technical Institute</t>
  </si>
  <si>
    <t>Hudson</t>
  </si>
  <si>
    <t>Caldwell University</t>
  </si>
  <si>
    <t>Caldwell</t>
  </si>
  <si>
    <t>California Baptist University</t>
  </si>
  <si>
    <t>Riverside</t>
  </si>
  <si>
    <t>San Francisco</t>
  </si>
  <si>
    <t>California Institute of Technology</t>
  </si>
  <si>
    <t>Pasadena</t>
  </si>
  <si>
    <t>Thousand Oaks</t>
  </si>
  <si>
    <t>California Polytechnic State University-San Luis Obispo</t>
  </si>
  <si>
    <t>San Luis Obispo</t>
  </si>
  <si>
    <t>California State Polytechnic University-Pomona</t>
  </si>
  <si>
    <t>Pomona</t>
  </si>
  <si>
    <t>California State University-Bakersfield</t>
  </si>
  <si>
    <t>California State University-Channel Islands</t>
  </si>
  <si>
    <t>Camarillo</t>
  </si>
  <si>
    <t>California State University-Chico</t>
  </si>
  <si>
    <t>Chico</t>
  </si>
  <si>
    <t>California State University-Dominguez Hills</t>
  </si>
  <si>
    <t>Carson</t>
  </si>
  <si>
    <t>California State University-East Bay</t>
  </si>
  <si>
    <t>Hayward</t>
  </si>
  <si>
    <t>California State University-Fresno</t>
  </si>
  <si>
    <t>Fresno</t>
  </si>
  <si>
    <t>California State University-Fullerton</t>
  </si>
  <si>
    <t>Fullerton</t>
  </si>
  <si>
    <t>California State University-Long Beach</t>
  </si>
  <si>
    <t>Long Beach</t>
  </si>
  <si>
    <t>California State University-Los Angeles</t>
  </si>
  <si>
    <t>California State University-Monterey Bay</t>
  </si>
  <si>
    <t>Seaside</t>
  </si>
  <si>
    <t>California State University-Northridge</t>
  </si>
  <si>
    <t>Northridge</t>
  </si>
  <si>
    <t>California State University-Sacramento</t>
  </si>
  <si>
    <t>California State University-San Bernardino</t>
  </si>
  <si>
    <t>San Bernardino</t>
  </si>
  <si>
    <t>California State University-San Marcos</t>
  </si>
  <si>
    <t>San Marcos</t>
  </si>
  <si>
    <t>California State University-Stanislaus</t>
  </si>
  <si>
    <t>Turlock</t>
  </si>
  <si>
    <t>California University of Management and Sciences</t>
  </si>
  <si>
    <t>Anaheim</t>
  </si>
  <si>
    <t>California University of Pennsylvania</t>
  </si>
  <si>
    <t>California</t>
  </si>
  <si>
    <t>Calumet College of Saint Joseph</t>
  </si>
  <si>
    <t>Whiting</t>
  </si>
  <si>
    <t>Calvin College</t>
  </si>
  <si>
    <t>Cambridge College</t>
  </si>
  <si>
    <t>Cambridge</t>
  </si>
  <si>
    <t>Camden County College</t>
  </si>
  <si>
    <t>Blackwood</t>
  </si>
  <si>
    <t>Cameron University</t>
  </si>
  <si>
    <t>Lawton</t>
  </si>
  <si>
    <t>Campbell University</t>
  </si>
  <si>
    <t>Buies Creek</t>
  </si>
  <si>
    <t>Campbellsville University</t>
  </si>
  <si>
    <t>Campbellsville</t>
  </si>
  <si>
    <t>Canada College</t>
  </si>
  <si>
    <t>Redwood City</t>
  </si>
  <si>
    <t>Canisius College</t>
  </si>
  <si>
    <t>Buffalo</t>
  </si>
  <si>
    <t>Cape Cod Community College</t>
  </si>
  <si>
    <t>West Barnstable</t>
  </si>
  <si>
    <t>Cape Fear Community College</t>
  </si>
  <si>
    <t>Wilmington</t>
  </si>
  <si>
    <t>Capital Community College</t>
  </si>
  <si>
    <t>Hartford</t>
  </si>
  <si>
    <t>Capital University</t>
  </si>
  <si>
    <t>Columbus</t>
  </si>
  <si>
    <t>Cardinal Stritch University</t>
  </si>
  <si>
    <t>Carl Albert State College</t>
  </si>
  <si>
    <t>Poteau</t>
  </si>
  <si>
    <t>Carl Sandburg College</t>
  </si>
  <si>
    <t>Galesburg</t>
  </si>
  <si>
    <t>Carleton College</t>
  </si>
  <si>
    <t>Northfield</t>
  </si>
  <si>
    <t>Carlow University</t>
  </si>
  <si>
    <t>Pittsburgh</t>
  </si>
  <si>
    <t>Carnegie Mellon University</t>
  </si>
  <si>
    <t>Carolinas College of Health Sciences</t>
  </si>
  <si>
    <t>Charlotte</t>
  </si>
  <si>
    <t>Carroll College</t>
  </si>
  <si>
    <t>Helena</t>
  </si>
  <si>
    <t>MT</t>
  </si>
  <si>
    <t>Carroll Community College</t>
  </si>
  <si>
    <t>Westminster</t>
  </si>
  <si>
    <t>Carroll University</t>
  </si>
  <si>
    <t>Waukesha</t>
  </si>
  <si>
    <t>Carson-Newman University</t>
  </si>
  <si>
    <t>Jefferson City</t>
  </si>
  <si>
    <t>Carteret Community College</t>
  </si>
  <si>
    <t>Morehead City</t>
  </si>
  <si>
    <t>Carthage College</t>
  </si>
  <si>
    <t>Kenosha</t>
  </si>
  <si>
    <t>Carver Career Center</t>
  </si>
  <si>
    <t>Charleston</t>
  </si>
  <si>
    <t>Cascadia College</t>
  </si>
  <si>
    <t>Bothell</t>
  </si>
  <si>
    <t>Case Western Reserve University</t>
  </si>
  <si>
    <t>Cleveland</t>
  </si>
  <si>
    <t>Casper College</t>
  </si>
  <si>
    <t>Casper</t>
  </si>
  <si>
    <t>WY</t>
  </si>
  <si>
    <t>Catawba College</t>
  </si>
  <si>
    <t>Salisbury</t>
  </si>
  <si>
    <t>Catawba Valley Community College</t>
  </si>
  <si>
    <t>Hickory</t>
  </si>
  <si>
    <t>Catholic University of America</t>
  </si>
  <si>
    <t>Cayuga County Community College</t>
  </si>
  <si>
    <t>Cazenovia College</t>
  </si>
  <si>
    <t>Cazenovia</t>
  </si>
  <si>
    <t>Cecil College</t>
  </si>
  <si>
    <t>North East</t>
  </si>
  <si>
    <t>Cedar Crest College</t>
  </si>
  <si>
    <t>Allentown</t>
  </si>
  <si>
    <t>Cedar Valley College</t>
  </si>
  <si>
    <t>Cedarville University</t>
  </si>
  <si>
    <t>Cedarville</t>
  </si>
  <si>
    <t>Hackettstown</t>
  </si>
  <si>
    <t>Centenary College of Louisiana</t>
  </si>
  <si>
    <t>Shreveport</t>
  </si>
  <si>
    <t>Central Alabama Community College</t>
  </si>
  <si>
    <t>Alexander City</t>
  </si>
  <si>
    <t>Central Arizona College</t>
  </si>
  <si>
    <t>Coolidge</t>
  </si>
  <si>
    <t>Central Baptist College</t>
  </si>
  <si>
    <t>Conway</t>
  </si>
  <si>
    <t>Central Carolina Community College</t>
  </si>
  <si>
    <t>Sanford</t>
  </si>
  <si>
    <t>Central Carolina Technical College</t>
  </si>
  <si>
    <t>Sumter</t>
  </si>
  <si>
    <t>Central Christian College of Kansas</t>
  </si>
  <si>
    <t>McPherson</t>
  </si>
  <si>
    <t>Central College</t>
  </si>
  <si>
    <t>Pella</t>
  </si>
  <si>
    <t>Central Community College</t>
  </si>
  <si>
    <t>Grand Island</t>
  </si>
  <si>
    <t>Central Connecticut State University</t>
  </si>
  <si>
    <t>New Britain</t>
  </si>
  <si>
    <t>Central Georgia Technical College</t>
  </si>
  <si>
    <t>Warner Robins</t>
  </si>
  <si>
    <t>Central Lakes College-Brainerd</t>
  </si>
  <si>
    <t>Brainerd</t>
  </si>
  <si>
    <t>Central Maine Community College</t>
  </si>
  <si>
    <t>Fayette</t>
  </si>
  <si>
    <t>Central Michigan University</t>
  </si>
  <si>
    <t>Mount Pleasant</t>
  </si>
  <si>
    <t>Central New Mexico Community College</t>
  </si>
  <si>
    <t>Albuquerque</t>
  </si>
  <si>
    <t>NM</t>
  </si>
  <si>
    <t>Central Ohio Technical College</t>
  </si>
  <si>
    <t>Newark</t>
  </si>
  <si>
    <t>Central Oregon Community College</t>
  </si>
  <si>
    <t>Bend</t>
  </si>
  <si>
    <t>Central Piedmont Community College</t>
  </si>
  <si>
    <t>Central State University</t>
  </si>
  <si>
    <t>Wilberforce</t>
  </si>
  <si>
    <t>Central Texas College</t>
  </si>
  <si>
    <t>Killeen</t>
  </si>
  <si>
    <t>Central Virginia Community College</t>
  </si>
  <si>
    <t>Lynchburg</t>
  </si>
  <si>
    <t>Central Washington University</t>
  </si>
  <si>
    <t>Ellensburg</t>
  </si>
  <si>
    <t>Central Wyoming College</t>
  </si>
  <si>
    <t>Riverton</t>
  </si>
  <si>
    <t>Centralia College</t>
  </si>
  <si>
    <t>Centralia</t>
  </si>
  <si>
    <t>Centre College</t>
  </si>
  <si>
    <t>Century College</t>
  </si>
  <si>
    <t>White Bear Lake</t>
  </si>
  <si>
    <t>Cerritos College</t>
  </si>
  <si>
    <t>Norwalk</t>
  </si>
  <si>
    <t>Chabot College</t>
  </si>
  <si>
    <t>Chadron State College</t>
  </si>
  <si>
    <t>Chadron</t>
  </si>
  <si>
    <t>Chaffey College</t>
  </si>
  <si>
    <t>Rancho Cucamonga</t>
  </si>
  <si>
    <t>Chaminade University of Honolulu</t>
  </si>
  <si>
    <t>Honolulu</t>
  </si>
  <si>
    <t>Champlain College</t>
  </si>
  <si>
    <t>Chandler-Gilbert Community College</t>
  </si>
  <si>
    <t>Chandler</t>
  </si>
  <si>
    <t>Orange</t>
  </si>
  <si>
    <t>Charleston Southern University</t>
  </si>
  <si>
    <t>Charter Oak State College</t>
  </si>
  <si>
    <t>Chatham University</t>
  </si>
  <si>
    <t>Marietta</t>
  </si>
  <si>
    <t>Chattahoochee Valley Community College</t>
  </si>
  <si>
    <t>Phenix City</t>
  </si>
  <si>
    <t>Chattanooga State Community College</t>
  </si>
  <si>
    <t>Chattanooga</t>
  </si>
  <si>
    <t>Chemeketa Community College</t>
  </si>
  <si>
    <t>Salem</t>
  </si>
  <si>
    <t>Chesapeake College</t>
  </si>
  <si>
    <t>Wye Mills</t>
  </si>
  <si>
    <t>Chestnut Hill College</t>
  </si>
  <si>
    <t>Philadelphia</t>
  </si>
  <si>
    <t>Cheyney University of Pennsylvania</t>
  </si>
  <si>
    <t>Cheyney</t>
  </si>
  <si>
    <t>Chicago State University</t>
  </si>
  <si>
    <t>Chicago</t>
  </si>
  <si>
    <t>Chipola College</t>
  </si>
  <si>
    <t>Marianna</t>
  </si>
  <si>
    <t>Chippewa Valley Technical College</t>
  </si>
  <si>
    <t>Eau Claire</t>
  </si>
  <si>
    <t>Chowan University</t>
  </si>
  <si>
    <t>Murfreesboro</t>
  </si>
  <si>
    <t>Christian Brothers University</t>
  </si>
  <si>
    <t>Memphis</t>
  </si>
  <si>
    <t>Christopher Newport University</t>
  </si>
  <si>
    <t>Newport News</t>
  </si>
  <si>
    <t>Cincinnati State Technical and Community College</t>
  </si>
  <si>
    <t>Cincinnati</t>
  </si>
  <si>
    <t>Cisco College</t>
  </si>
  <si>
    <t>Cisco</t>
  </si>
  <si>
    <t>Citadel Military College of South Carolina</t>
  </si>
  <si>
    <t>Citrus College</t>
  </si>
  <si>
    <t>Glendora</t>
  </si>
  <si>
    <t>City College of San Francisco</t>
  </si>
  <si>
    <t>City University of Seattle</t>
  </si>
  <si>
    <t>City Vision University</t>
  </si>
  <si>
    <t>Clackamas Community College</t>
  </si>
  <si>
    <t>Oregon City</t>
  </si>
  <si>
    <t>Claflin University</t>
  </si>
  <si>
    <t>Orangeburg</t>
  </si>
  <si>
    <t>Claremont Graduate University</t>
  </si>
  <si>
    <t>Claremont</t>
  </si>
  <si>
    <t>Claremont McKenna College</t>
  </si>
  <si>
    <t>Clarendon College</t>
  </si>
  <si>
    <t>Clarendon</t>
  </si>
  <si>
    <t>Clarion University of Pennsylvania</t>
  </si>
  <si>
    <t>Clarion</t>
  </si>
  <si>
    <t>Clark Atlanta University</t>
  </si>
  <si>
    <t>Clark College</t>
  </si>
  <si>
    <t>Vancouver</t>
  </si>
  <si>
    <t>Clark State Community College</t>
  </si>
  <si>
    <t>Clark University</t>
  </si>
  <si>
    <t>Clarke University</t>
  </si>
  <si>
    <t>Dubuque</t>
  </si>
  <si>
    <t>Clarkson University</t>
  </si>
  <si>
    <t>Potsdam</t>
  </si>
  <si>
    <t>Clatsop Community College</t>
  </si>
  <si>
    <t>Astoria</t>
  </si>
  <si>
    <t>Clayton  State University</t>
  </si>
  <si>
    <t>Morrow</t>
  </si>
  <si>
    <t>Clearwater</t>
  </si>
  <si>
    <t>Clemson University</t>
  </si>
  <si>
    <t>Clemson</t>
  </si>
  <si>
    <t>Cleveland Community College</t>
  </si>
  <si>
    <t>Shelby</t>
  </si>
  <si>
    <t>Cleveland State Community College</t>
  </si>
  <si>
    <t>Cleveland State University</t>
  </si>
  <si>
    <t>Clinton College</t>
  </si>
  <si>
    <t>Rock Hill</t>
  </si>
  <si>
    <t>Clinton Community College</t>
  </si>
  <si>
    <t>Plattsburgh</t>
  </si>
  <si>
    <t>Cloud County Community College</t>
  </si>
  <si>
    <t>Concordia</t>
  </si>
  <si>
    <t>Clover Park Technical College</t>
  </si>
  <si>
    <t>Lakewood</t>
  </si>
  <si>
    <t>Clovis Community College</t>
  </si>
  <si>
    <t>Clovis</t>
  </si>
  <si>
    <t>Coahoma Community College</t>
  </si>
  <si>
    <t>Clarksdale</t>
  </si>
  <si>
    <t>Coastal Bend College</t>
  </si>
  <si>
    <t>Beeville</t>
  </si>
  <si>
    <t>Coastal Carolina Community College</t>
  </si>
  <si>
    <t>Jacksonville</t>
  </si>
  <si>
    <t>Coastal Carolina University</t>
  </si>
  <si>
    <t>Coastal Pines Technical College</t>
  </si>
  <si>
    <t>Waycross</t>
  </si>
  <si>
    <t>Coastline Community College</t>
  </si>
  <si>
    <t>Fountain Valley</t>
  </si>
  <si>
    <t>Cochise County Community College District</t>
  </si>
  <si>
    <t>Douglas</t>
  </si>
  <si>
    <t>Coconino Community College</t>
  </si>
  <si>
    <t>Flagstaff</t>
  </si>
  <si>
    <t>Coe College</t>
  </si>
  <si>
    <t>Cedar Rapids</t>
  </si>
  <si>
    <t>Coffeyville Community College</t>
  </si>
  <si>
    <t>Coffeyville</t>
  </si>
  <si>
    <t>Coker College</t>
  </si>
  <si>
    <t>Hartsville</t>
  </si>
  <si>
    <t>Colby College</t>
  </si>
  <si>
    <t>Waterville</t>
  </si>
  <si>
    <t>Colby Community College</t>
  </si>
  <si>
    <t>Colby</t>
  </si>
  <si>
    <t>Colby-Sawyer College</t>
  </si>
  <si>
    <t>New London</t>
  </si>
  <si>
    <t>Colgate University</t>
  </si>
  <si>
    <t>Hamilton</t>
  </si>
  <si>
    <t>Alameda</t>
  </si>
  <si>
    <t>College of Central Florida</t>
  </si>
  <si>
    <t>Ocala</t>
  </si>
  <si>
    <t>College of Charleston</t>
  </si>
  <si>
    <t>College of Coastal Georgia</t>
  </si>
  <si>
    <t>College of DuPage</t>
  </si>
  <si>
    <t>Glen Ellyn</t>
  </si>
  <si>
    <t>College of Lake County</t>
  </si>
  <si>
    <t>Grayslake</t>
  </si>
  <si>
    <t>College of Marin</t>
  </si>
  <si>
    <t>Kentfield</t>
  </si>
  <si>
    <t>College of Mount Saint Vincent</t>
  </si>
  <si>
    <t>College of Our Lady of the Elms</t>
  </si>
  <si>
    <t>Chicopee</t>
  </si>
  <si>
    <t>College of Saint Benedict</t>
  </si>
  <si>
    <t>Saint Joseph</t>
  </si>
  <si>
    <t>College of Saint Elizabeth</t>
  </si>
  <si>
    <t>Morristown</t>
  </si>
  <si>
    <t>College of Saint Mary</t>
  </si>
  <si>
    <t>Omaha</t>
  </si>
  <si>
    <t>College of San Mateo</t>
  </si>
  <si>
    <t>San Mateo</t>
  </si>
  <si>
    <t>College of Southern Idaho</t>
  </si>
  <si>
    <t>Twin Falls</t>
  </si>
  <si>
    <t>College of Southern Maryland</t>
  </si>
  <si>
    <t>La Plata</t>
  </si>
  <si>
    <t>College of Southern Nevada</t>
  </si>
  <si>
    <t>Las Vegas</t>
  </si>
  <si>
    <t>NV</t>
  </si>
  <si>
    <t>College of St Joseph</t>
  </si>
  <si>
    <t>Rutland</t>
  </si>
  <si>
    <t>College of Staten Island CUNY</t>
  </si>
  <si>
    <t>Staten Island</t>
  </si>
  <si>
    <t>College of Western Idaho</t>
  </si>
  <si>
    <t>Nampa</t>
  </si>
  <si>
    <t>College of William and Mary</t>
  </si>
  <si>
    <t>Williamsburg</t>
  </si>
  <si>
    <t>College of the Albemarle</t>
  </si>
  <si>
    <t>Elizabeth City</t>
  </si>
  <si>
    <t>College of the Atlantic</t>
  </si>
  <si>
    <t>Bar Harbor</t>
  </si>
  <si>
    <t>College of the Canyons</t>
  </si>
  <si>
    <t>Santa Clarita</t>
  </si>
  <si>
    <t>College of the Desert</t>
  </si>
  <si>
    <t>Palm Desert</t>
  </si>
  <si>
    <t>College of the Holy Cross</t>
  </si>
  <si>
    <t>College of the Mainland</t>
  </si>
  <si>
    <t>Texas City</t>
  </si>
  <si>
    <t>College of the Ouachitas</t>
  </si>
  <si>
    <t>Malvern</t>
  </si>
  <si>
    <t>College of the Ozarks</t>
  </si>
  <si>
    <t>Point Lookout</t>
  </si>
  <si>
    <t>College of the Redwoods</t>
  </si>
  <si>
    <t>Eureka</t>
  </si>
  <si>
    <t>College of the Sequoias</t>
  </si>
  <si>
    <t>Visalia</t>
  </si>
  <si>
    <t>College of the Siskiyous</t>
  </si>
  <si>
    <t>Weed</t>
  </si>
  <si>
    <t>Cheyenne</t>
  </si>
  <si>
    <t>CollegeAmerica-Colorado Springs</t>
  </si>
  <si>
    <t>Colorado Springs</t>
  </si>
  <si>
    <t>Collin County Community College District</t>
  </si>
  <si>
    <t>McKinney</t>
  </si>
  <si>
    <t>Colorado Christian University</t>
  </si>
  <si>
    <t>Colorado College</t>
  </si>
  <si>
    <t>Colorado Mesa University</t>
  </si>
  <si>
    <t>Grand Junction</t>
  </si>
  <si>
    <t>Colorado Mountain College</t>
  </si>
  <si>
    <t>Glenwood Springs</t>
  </si>
  <si>
    <t>Colorado Northwestern Community College</t>
  </si>
  <si>
    <t>Rangely</t>
  </si>
  <si>
    <t>Colorado School of Mines</t>
  </si>
  <si>
    <t>Golden</t>
  </si>
  <si>
    <t>Colorado State University-Fort Collins</t>
  </si>
  <si>
    <t>Fort Collins</t>
  </si>
  <si>
    <t>Colorado State University-Global Campus</t>
  </si>
  <si>
    <t>Greenwood Village</t>
  </si>
  <si>
    <t>Colorado State University-Pueblo</t>
  </si>
  <si>
    <t>Pueblo</t>
  </si>
  <si>
    <t>Columbia Basin College</t>
  </si>
  <si>
    <t>Pasco</t>
  </si>
  <si>
    <t>Sonora</t>
  </si>
  <si>
    <t>Columbia Gorge Community College</t>
  </si>
  <si>
    <t>The Dalles</t>
  </si>
  <si>
    <t>Columbia International University</t>
  </si>
  <si>
    <t>Columbia State Community College</t>
  </si>
  <si>
    <t>Columbia University in the City of New York</t>
  </si>
  <si>
    <t>Columbia-Greene Community College</t>
  </si>
  <si>
    <t>Columbus State Community College</t>
  </si>
  <si>
    <t>Columbus State University</t>
  </si>
  <si>
    <t>Columbus Technical College</t>
  </si>
  <si>
    <t>Community College of Allegheny County</t>
  </si>
  <si>
    <t>Community College of Aurora</t>
  </si>
  <si>
    <t>Community College of Beaver County</t>
  </si>
  <si>
    <t>Monaca</t>
  </si>
  <si>
    <t>Community College of Denver</t>
  </si>
  <si>
    <t>Denver</t>
  </si>
  <si>
    <t>Community College of Philadelphia</t>
  </si>
  <si>
    <t>Community College of Rhode Island</t>
  </si>
  <si>
    <t>Warwick</t>
  </si>
  <si>
    <t>Concord University</t>
  </si>
  <si>
    <t>Selma</t>
  </si>
  <si>
    <t>Concordia College at Moorhead</t>
  </si>
  <si>
    <t>Moorhead</t>
  </si>
  <si>
    <t>Concordia College-New York</t>
  </si>
  <si>
    <t>Bronxville</t>
  </si>
  <si>
    <t>Concordia University-Ann Arbor</t>
  </si>
  <si>
    <t>Ann Arbor</t>
  </si>
  <si>
    <t>Concordia University-Irvine</t>
  </si>
  <si>
    <t>Concordia University-Nebraska</t>
  </si>
  <si>
    <t>Seward</t>
  </si>
  <si>
    <t>Concordia University-Saint Paul</t>
  </si>
  <si>
    <t>Concordia University-Wisconsin</t>
  </si>
  <si>
    <t>Mequon</t>
  </si>
  <si>
    <t>Connecticut College</t>
  </si>
  <si>
    <t>Connors State College</t>
  </si>
  <si>
    <t>Warner</t>
  </si>
  <si>
    <t>San Pablo</t>
  </si>
  <si>
    <t>Converse College</t>
  </si>
  <si>
    <t>Spartanburg</t>
  </si>
  <si>
    <t>Cooper Union for the Advancement of Science and Art</t>
  </si>
  <si>
    <t>Wesson</t>
  </si>
  <si>
    <t>Copper Mountain Community College</t>
  </si>
  <si>
    <t>Joshua Tree</t>
  </si>
  <si>
    <t>Coppin State University</t>
  </si>
  <si>
    <t>Corban University</t>
  </si>
  <si>
    <t>Cornell College</t>
  </si>
  <si>
    <t>Cornell University</t>
  </si>
  <si>
    <t>Ithaca</t>
  </si>
  <si>
    <t>Cornerstone University</t>
  </si>
  <si>
    <t>Corning Community College</t>
  </si>
  <si>
    <t>Corning</t>
  </si>
  <si>
    <t>Cossatot Community College of the University of Arkansas</t>
  </si>
  <si>
    <t>De Queen</t>
  </si>
  <si>
    <t>Cottey College</t>
  </si>
  <si>
    <t>Nevada</t>
  </si>
  <si>
    <t>County College of Morris</t>
  </si>
  <si>
    <t>Randolph</t>
  </si>
  <si>
    <t>Covenant College</t>
  </si>
  <si>
    <t>Lookout Mountain</t>
  </si>
  <si>
    <t>Cowley County Community College</t>
  </si>
  <si>
    <t>Arkansas City</t>
  </si>
  <si>
    <t>Craven Community College</t>
  </si>
  <si>
    <t>New Bern</t>
  </si>
  <si>
    <t>Creighton University</t>
  </si>
  <si>
    <t>Crowder College</t>
  </si>
  <si>
    <t>Neosho</t>
  </si>
  <si>
    <t>Crowley's Ridge College</t>
  </si>
  <si>
    <t>Paragould</t>
  </si>
  <si>
    <t>Crown College</t>
  </si>
  <si>
    <t>Saint Bonifacius</t>
  </si>
  <si>
    <t>Cuesta College</t>
  </si>
  <si>
    <t>Culver-Stockton College</t>
  </si>
  <si>
    <t>Canton</t>
  </si>
  <si>
    <t>Cumberland County College</t>
  </si>
  <si>
    <t>Vineland</t>
  </si>
  <si>
    <t>Cumberland University</t>
  </si>
  <si>
    <t>Lebanon</t>
  </si>
  <si>
    <t>Curry College</t>
  </si>
  <si>
    <t>Milton</t>
  </si>
  <si>
    <t>Cuyahoga Community College District</t>
  </si>
  <si>
    <t>El Cajon</t>
  </si>
  <si>
    <t>Cypress</t>
  </si>
  <si>
    <t>D'Youville College</t>
  </si>
  <si>
    <t>Dabney S Lancaster Community College</t>
  </si>
  <si>
    <t>Clifton Forge</t>
  </si>
  <si>
    <t>Daemen College</t>
  </si>
  <si>
    <t>Dakota College at Bottineau</t>
  </si>
  <si>
    <t>Bottineau</t>
  </si>
  <si>
    <t>Dakota County Technical College</t>
  </si>
  <si>
    <t>Rosemount</t>
  </si>
  <si>
    <t>Dakota State University</t>
  </si>
  <si>
    <t>Madison</t>
  </si>
  <si>
    <t>Dakota Wesleyan University</t>
  </si>
  <si>
    <t>Mitchell</t>
  </si>
  <si>
    <t>Dallas Baptist University</t>
  </si>
  <si>
    <t>Dallas</t>
  </si>
  <si>
    <t>Dalton State College</t>
  </si>
  <si>
    <t>Dalton</t>
  </si>
  <si>
    <t>Danville Area Community College</t>
  </si>
  <si>
    <t>Danville Community College</t>
  </si>
  <si>
    <t>Dartmouth College</t>
  </si>
  <si>
    <t>Hanover</t>
  </si>
  <si>
    <t>Davenport University</t>
  </si>
  <si>
    <t>Davidson College</t>
  </si>
  <si>
    <t>Davidson</t>
  </si>
  <si>
    <t>Davidson County Community College</t>
  </si>
  <si>
    <t>Thomasville</t>
  </si>
  <si>
    <t>Davis &amp; Elkins College</t>
  </si>
  <si>
    <t>Elkins</t>
  </si>
  <si>
    <t>Dawson Community College</t>
  </si>
  <si>
    <t>Glendive</t>
  </si>
  <si>
    <t>Daytona State College</t>
  </si>
  <si>
    <t>Cupertino</t>
  </si>
  <si>
    <t>DePaul University</t>
  </si>
  <si>
    <t>DePauw University</t>
  </si>
  <si>
    <t>Greencastle</t>
  </si>
  <si>
    <t>DeSales University</t>
  </si>
  <si>
    <t>Center Valley</t>
  </si>
  <si>
    <t>Dean College</t>
  </si>
  <si>
    <t>Franklin</t>
  </si>
  <si>
    <t>Defiance College</t>
  </si>
  <si>
    <t>Defiance</t>
  </si>
  <si>
    <t>Del Mar College</t>
  </si>
  <si>
    <t>Corpus Christi</t>
  </si>
  <si>
    <t>Delaware County Community College</t>
  </si>
  <si>
    <t>Media</t>
  </si>
  <si>
    <t>Delaware State University</t>
  </si>
  <si>
    <t>Dover</t>
  </si>
  <si>
    <t>DE</t>
  </si>
  <si>
    <t>Georgetown</t>
  </si>
  <si>
    <t>Delaware Technical Community College-Terry</t>
  </si>
  <si>
    <t>Delaware Valley University</t>
  </si>
  <si>
    <t>Doylestown</t>
  </si>
  <si>
    <t>Delgado Community College</t>
  </si>
  <si>
    <t>New Orleans</t>
  </si>
  <si>
    <t>Delta College</t>
  </si>
  <si>
    <t>University Center</t>
  </si>
  <si>
    <t>Delta State University</t>
  </si>
  <si>
    <t>Denison University</t>
  </si>
  <si>
    <t>Granville</t>
  </si>
  <si>
    <t>Denmark Technical College</t>
  </si>
  <si>
    <t>Denmark</t>
  </si>
  <si>
    <t>Des Moines Area Community College</t>
  </si>
  <si>
    <t>Ankeny</t>
  </si>
  <si>
    <t>Pleasant Hill</t>
  </si>
  <si>
    <t>Dickinson College</t>
  </si>
  <si>
    <t>Carlisle</t>
  </si>
  <si>
    <t>Dickinson State University</t>
  </si>
  <si>
    <t>Dickinson</t>
  </si>
  <si>
    <t>Dillard University</t>
  </si>
  <si>
    <t>Dixie State University</t>
  </si>
  <si>
    <t>Saint George</t>
  </si>
  <si>
    <t>Doane University-Arts &amp; Sciences</t>
  </si>
  <si>
    <t>Crete</t>
  </si>
  <si>
    <t>Doane University-Graduate and Professional Studies</t>
  </si>
  <si>
    <t>Lincoln</t>
  </si>
  <si>
    <t>Dodge City Community College</t>
  </si>
  <si>
    <t>Dodge City</t>
  </si>
  <si>
    <t>Dominican College of Blauvelt</t>
  </si>
  <si>
    <t>Dominican University</t>
  </si>
  <si>
    <t>River Forest</t>
  </si>
  <si>
    <t>Dominican University of California</t>
  </si>
  <si>
    <t>San Rafael</t>
  </si>
  <si>
    <t>Donnelly College</t>
  </si>
  <si>
    <t>Dordt College</t>
  </si>
  <si>
    <t>Sioux Center</t>
  </si>
  <si>
    <t>Drake University</t>
  </si>
  <si>
    <t>Des Moines</t>
  </si>
  <si>
    <t>Drew University</t>
  </si>
  <si>
    <t>Drexel University</t>
  </si>
  <si>
    <t>Drury University</t>
  </si>
  <si>
    <t>Duke University</t>
  </si>
  <si>
    <t>Durham</t>
  </si>
  <si>
    <t>Dunwoody College of Technology</t>
  </si>
  <si>
    <t>Duquesne University</t>
  </si>
  <si>
    <t>Durham Technical Community College</t>
  </si>
  <si>
    <t>Dutchess Community College</t>
  </si>
  <si>
    <t>Poughkeepsie</t>
  </si>
  <si>
    <t>Dyersburg State Community College</t>
  </si>
  <si>
    <t>Dyersburg</t>
  </si>
  <si>
    <t>Earlham College</t>
  </si>
  <si>
    <t>Richmond</t>
  </si>
  <si>
    <t>East Arkansas Community College</t>
  </si>
  <si>
    <t>Forrest City</t>
  </si>
  <si>
    <t>East Carolina University</t>
  </si>
  <si>
    <t>Greenville</t>
  </si>
  <si>
    <t>East Central College</t>
  </si>
  <si>
    <t>Union</t>
  </si>
  <si>
    <t>East Central Community College</t>
  </si>
  <si>
    <t>East Central University</t>
  </si>
  <si>
    <t>Ada</t>
  </si>
  <si>
    <t>East Georgia State College</t>
  </si>
  <si>
    <t>Swainsboro</t>
  </si>
  <si>
    <t>East Mississippi Community College</t>
  </si>
  <si>
    <t>Scooba</t>
  </si>
  <si>
    <t>East San Gabriel Valley Regional Occupational Program</t>
  </si>
  <si>
    <t>West Covina</t>
  </si>
  <si>
    <t>East Stroudsburg University of Pennsylvania</t>
  </si>
  <si>
    <t>East Stroudsburg</t>
  </si>
  <si>
    <t>East Tennessee State University</t>
  </si>
  <si>
    <t>Johnson City</t>
  </si>
  <si>
    <t>East Texas Baptist University</t>
  </si>
  <si>
    <t>Marshall</t>
  </si>
  <si>
    <t>East-West University</t>
  </si>
  <si>
    <t>Eastern Arizona College</t>
  </si>
  <si>
    <t>Thatcher</t>
  </si>
  <si>
    <t>Eastern Connecticut State University</t>
  </si>
  <si>
    <t>Willimantic</t>
  </si>
  <si>
    <t>Eastern Florida State College</t>
  </si>
  <si>
    <t>Cocoa</t>
  </si>
  <si>
    <t>Eastern Gateway Community College</t>
  </si>
  <si>
    <t>Steubenville</t>
  </si>
  <si>
    <t>Idaho Falls</t>
  </si>
  <si>
    <t>Eastern Illinois University</t>
  </si>
  <si>
    <t>Eastern Iowa Community College District</t>
  </si>
  <si>
    <t>Davenport</t>
  </si>
  <si>
    <t>Eastern Kentucky University</t>
  </si>
  <si>
    <t>Eastern Maine Community College</t>
  </si>
  <si>
    <t>Bangor</t>
  </si>
  <si>
    <t>Eastern Mennonite University</t>
  </si>
  <si>
    <t>Harrisonburg</t>
  </si>
  <si>
    <t>Eastern Michigan University</t>
  </si>
  <si>
    <t>Ypsilanti</t>
  </si>
  <si>
    <t>Eastern Nazarene College</t>
  </si>
  <si>
    <t>Quincy</t>
  </si>
  <si>
    <t>Eastern New Mexico University-Main Campus</t>
  </si>
  <si>
    <t>Portales</t>
  </si>
  <si>
    <t>Eastern New Mexico University-Roswell Campus</t>
  </si>
  <si>
    <t>Roswell</t>
  </si>
  <si>
    <t>Eastern New Mexico University-Ruidoso Campus</t>
  </si>
  <si>
    <t>Ruidoso</t>
  </si>
  <si>
    <t>Eastern Oklahoma State College</t>
  </si>
  <si>
    <t>Wilburton</t>
  </si>
  <si>
    <t>Eastern Oregon University</t>
  </si>
  <si>
    <t>La Grande</t>
  </si>
  <si>
    <t>Eastern Shore Community College</t>
  </si>
  <si>
    <t>Melfa</t>
  </si>
  <si>
    <t>Eastern University</t>
  </si>
  <si>
    <t>Saint Davids</t>
  </si>
  <si>
    <t>Eastern Washington University</t>
  </si>
  <si>
    <t>Cheney</t>
  </si>
  <si>
    <t>Eastern West Virginia Community and Technical College</t>
  </si>
  <si>
    <t>Moorefield</t>
  </si>
  <si>
    <t>Eastern Wyoming College</t>
  </si>
  <si>
    <t>Torrington</t>
  </si>
  <si>
    <t>Eastfield College</t>
  </si>
  <si>
    <t>Mesquite</t>
  </si>
  <si>
    <t>Eckerd College</t>
  </si>
  <si>
    <t>Saint Petersburg</t>
  </si>
  <si>
    <t>Edgecombe Community College</t>
  </si>
  <si>
    <t>Tarboro</t>
  </si>
  <si>
    <t>Edgewood College</t>
  </si>
  <si>
    <t>Edinboro University of Pennsylvania</t>
  </si>
  <si>
    <t>Edinboro</t>
  </si>
  <si>
    <t>Edison State Community College</t>
  </si>
  <si>
    <t>Piqua</t>
  </si>
  <si>
    <t>Edmonds Community College</t>
  </si>
  <si>
    <t>Lynnwood</t>
  </si>
  <si>
    <t>Edward Waters College</t>
  </si>
  <si>
    <t>El Camino College-Compton Center</t>
  </si>
  <si>
    <t>Compton</t>
  </si>
  <si>
    <t>El Camino Community College District</t>
  </si>
  <si>
    <t>Torrance</t>
  </si>
  <si>
    <t>El Centro College</t>
  </si>
  <si>
    <t>El Paso Community College</t>
  </si>
  <si>
    <t>El Paso</t>
  </si>
  <si>
    <t>Elgin Community College</t>
  </si>
  <si>
    <t>Elgin</t>
  </si>
  <si>
    <t>Elizabeth City State University</t>
  </si>
  <si>
    <t>Elizabethtown</t>
  </si>
  <si>
    <t>Ellsworth Community College</t>
  </si>
  <si>
    <t>Iowa Falls</t>
  </si>
  <si>
    <t>Elmhurst College</t>
  </si>
  <si>
    <t>Elmhurst</t>
  </si>
  <si>
    <t>Elmira College</t>
  </si>
  <si>
    <t>Elmira</t>
  </si>
  <si>
    <t>Elon University</t>
  </si>
  <si>
    <t>Elon</t>
  </si>
  <si>
    <t>Prescott</t>
  </si>
  <si>
    <t>Emerson College</t>
  </si>
  <si>
    <t>Franklin Springs</t>
  </si>
  <si>
    <t>Emory &amp; Henry College</t>
  </si>
  <si>
    <t>Emory</t>
  </si>
  <si>
    <t>Emory University</t>
  </si>
  <si>
    <t>Emporia State University</t>
  </si>
  <si>
    <t>Emporia</t>
  </si>
  <si>
    <t>Endicott College</t>
  </si>
  <si>
    <t>Beverly</t>
  </si>
  <si>
    <t>Enterprise State Community College</t>
  </si>
  <si>
    <t>Enterprise</t>
  </si>
  <si>
    <t>Erie Community College</t>
  </si>
  <si>
    <t>Erskine College</t>
  </si>
  <si>
    <t>Due West</t>
  </si>
  <si>
    <t>Essex County College</t>
  </si>
  <si>
    <t>Avondale</t>
  </si>
  <si>
    <t>Eureka College</t>
  </si>
  <si>
    <t>Evangel University</t>
  </si>
  <si>
    <t>Tampa</t>
  </si>
  <si>
    <t>Lakeland</t>
  </si>
  <si>
    <t>Largo</t>
  </si>
  <si>
    <t>Melbourne</t>
  </si>
  <si>
    <t>Orlando</t>
  </si>
  <si>
    <t>Everett Community College</t>
  </si>
  <si>
    <t>Everett</t>
  </si>
  <si>
    <t>Everglades University</t>
  </si>
  <si>
    <t>Boca Raton</t>
  </si>
  <si>
    <t>San Jose</t>
  </si>
  <si>
    <t>Excelsior College</t>
  </si>
  <si>
    <t>Fairfield University</t>
  </si>
  <si>
    <t>Fairfield</t>
  </si>
  <si>
    <t>Teaneck</t>
  </si>
  <si>
    <t>Fairmont</t>
  </si>
  <si>
    <t>Farmingdale State College</t>
  </si>
  <si>
    <t>Farmingdale</t>
  </si>
  <si>
    <t>Fashion Institute of Technology</t>
  </si>
  <si>
    <t>Faulkner University</t>
  </si>
  <si>
    <t>Fayetteville State University</t>
  </si>
  <si>
    <t>Fayetteville</t>
  </si>
  <si>
    <t>Fayetteville Technical Community College</t>
  </si>
  <si>
    <t>Feather River Community College District</t>
  </si>
  <si>
    <t>Felician University</t>
  </si>
  <si>
    <t>Lodi</t>
  </si>
  <si>
    <t>Ferris State University</t>
  </si>
  <si>
    <t>Big Rapids</t>
  </si>
  <si>
    <t>Ferrum College</t>
  </si>
  <si>
    <t>Ferrum</t>
  </si>
  <si>
    <t>Fielding Graduate University</t>
  </si>
  <si>
    <t>Finger Lakes Community College</t>
  </si>
  <si>
    <t>Canandaigua</t>
  </si>
  <si>
    <t>Finlandia University</t>
  </si>
  <si>
    <t>Hancock</t>
  </si>
  <si>
    <t>Fisher College</t>
  </si>
  <si>
    <t>Fisk University</t>
  </si>
  <si>
    <t>Fitchburg State University</t>
  </si>
  <si>
    <t>Fitchburg</t>
  </si>
  <si>
    <t>Saint Augustine</t>
  </si>
  <si>
    <t>Flathead Valley Community College</t>
  </si>
  <si>
    <t>Kalispell</t>
  </si>
  <si>
    <t>Flint Hills Technical College</t>
  </si>
  <si>
    <t>Florence-Darlington Technical College</t>
  </si>
  <si>
    <t>Florence</t>
  </si>
  <si>
    <t>Florida Agricultural and Mechanical University</t>
  </si>
  <si>
    <t>Tallahassee</t>
  </si>
  <si>
    <t>Florida Atlantic University</t>
  </si>
  <si>
    <t>Florida College</t>
  </si>
  <si>
    <t>Temple Terrace</t>
  </si>
  <si>
    <t>Florida Gateway College</t>
  </si>
  <si>
    <t>Lake City</t>
  </si>
  <si>
    <t>Florida Gulf Coast University</t>
  </si>
  <si>
    <t>Fort Myers</t>
  </si>
  <si>
    <t>Florida Institute of Technology</t>
  </si>
  <si>
    <t>Florida Institute of Technology-Online</t>
  </si>
  <si>
    <t>Florida International University</t>
  </si>
  <si>
    <t>Florida Keys Community College</t>
  </si>
  <si>
    <t>Key West</t>
  </si>
  <si>
    <t>Florida Memorial University</t>
  </si>
  <si>
    <t>Miami Gardens</t>
  </si>
  <si>
    <t>Florida SouthWestern State College</t>
  </si>
  <si>
    <t>Florida Southern College</t>
  </si>
  <si>
    <t>Florida State College at Jacksonville</t>
  </si>
  <si>
    <t>Florida State University</t>
  </si>
  <si>
    <t>Fontbonne University</t>
  </si>
  <si>
    <t>Saint Louis</t>
  </si>
  <si>
    <t>Fordham University</t>
  </si>
  <si>
    <t>Forsyth Technical Community College</t>
  </si>
  <si>
    <t>Winston-Salem</t>
  </si>
  <si>
    <t>Fort Hays State University</t>
  </si>
  <si>
    <t>Hays</t>
  </si>
  <si>
    <t>Fort Lewis College</t>
  </si>
  <si>
    <t>Durango</t>
  </si>
  <si>
    <t>Fort Scott Community College</t>
  </si>
  <si>
    <t>Fort Scott</t>
  </si>
  <si>
    <t>Fort Valley State University</t>
  </si>
  <si>
    <t>Fort Valley</t>
  </si>
  <si>
    <t>Fox Valley Technical College</t>
  </si>
  <si>
    <t>Appleton</t>
  </si>
  <si>
    <t>Framingham State University</t>
  </si>
  <si>
    <t>Framingham</t>
  </si>
  <si>
    <t>Francis Marion University</t>
  </si>
  <si>
    <t>Franciscan University of Steubenville</t>
  </si>
  <si>
    <t>Frank Phillips College</t>
  </si>
  <si>
    <t>Borger</t>
  </si>
  <si>
    <t>Franklin College</t>
  </si>
  <si>
    <t>Franklin Pierce University</t>
  </si>
  <si>
    <t>Rindge</t>
  </si>
  <si>
    <t>Franklin and Marshall College</t>
  </si>
  <si>
    <t>Frederick Community College</t>
  </si>
  <si>
    <t>Frederick</t>
  </si>
  <si>
    <t>Freed-Hardeman University</t>
  </si>
  <si>
    <t>Henderson</t>
  </si>
  <si>
    <t>Fresno Pacific University</t>
  </si>
  <si>
    <t>Friends University</t>
  </si>
  <si>
    <t>Wichita</t>
  </si>
  <si>
    <t>Front Range Community College</t>
  </si>
  <si>
    <t>Frontier Community College</t>
  </si>
  <si>
    <t>Frostburg State University</t>
  </si>
  <si>
    <t>Frostburg</t>
  </si>
  <si>
    <t>Fulton-Montgomery Community College</t>
  </si>
  <si>
    <t>Johnstown</t>
  </si>
  <si>
    <t>Gadsden State Community College</t>
  </si>
  <si>
    <t>Gadsden</t>
  </si>
  <si>
    <t>Gallaudet University</t>
  </si>
  <si>
    <t>Galveston College</t>
  </si>
  <si>
    <t>Galveston</t>
  </si>
  <si>
    <t>Gannon University</t>
  </si>
  <si>
    <t>Erie</t>
  </si>
  <si>
    <t>Garden City Community College</t>
  </si>
  <si>
    <t>Gardner-Webb University</t>
  </si>
  <si>
    <t>Boiling Springs</t>
  </si>
  <si>
    <t>Garrett College</t>
  </si>
  <si>
    <t>McHenry</t>
  </si>
  <si>
    <t>Gaston College</t>
  </si>
  <si>
    <t>Gavilan College</t>
  </si>
  <si>
    <t>Gilroy</t>
  </si>
  <si>
    <t>Genesee Community College</t>
  </si>
  <si>
    <t>Batavia</t>
  </si>
  <si>
    <t>Geneva College</t>
  </si>
  <si>
    <t>Beaver Falls</t>
  </si>
  <si>
    <t>Dothan</t>
  </si>
  <si>
    <t>George C Wallace State Community College-Hanceville</t>
  </si>
  <si>
    <t>Hanceville</t>
  </si>
  <si>
    <t>George C Wallace State Community College-Selma</t>
  </si>
  <si>
    <t>George Fox University</t>
  </si>
  <si>
    <t>Newberg</t>
  </si>
  <si>
    <t>George Mason University</t>
  </si>
  <si>
    <t>Fairfax</t>
  </si>
  <si>
    <t>George Washington University</t>
  </si>
  <si>
    <t>Georgetown College</t>
  </si>
  <si>
    <t>Georgetown University</t>
  </si>
  <si>
    <t>Milledgeville</t>
  </si>
  <si>
    <t>Georgia Gwinnett College</t>
  </si>
  <si>
    <t>Lawrenceville</t>
  </si>
  <si>
    <t>Georgia Highlands College</t>
  </si>
  <si>
    <t>Rome</t>
  </si>
  <si>
    <t>Georgia Institute of Technology-Main Campus</t>
  </si>
  <si>
    <t>Georgia Military College</t>
  </si>
  <si>
    <t>Georgia Piedmont Technical College</t>
  </si>
  <si>
    <t>Clarkston</t>
  </si>
  <si>
    <t>Statesboro</t>
  </si>
  <si>
    <t>Georgia Southwestern State University</t>
  </si>
  <si>
    <t>Americus</t>
  </si>
  <si>
    <t>Georgia State University</t>
  </si>
  <si>
    <t>Georgian Court University</t>
  </si>
  <si>
    <t>Germanna Community College</t>
  </si>
  <si>
    <t>Locust Grove</t>
  </si>
  <si>
    <t>Gettysburg College</t>
  </si>
  <si>
    <t>Gettysburg</t>
  </si>
  <si>
    <t>Glen Oaks Community College</t>
  </si>
  <si>
    <t>Centreville</t>
  </si>
  <si>
    <t>Glenville State College</t>
  </si>
  <si>
    <t>Glenville</t>
  </si>
  <si>
    <t>Goddard College</t>
  </si>
  <si>
    <t>Plainfield</t>
  </si>
  <si>
    <t>Gogebic Community College</t>
  </si>
  <si>
    <t>Ironwood</t>
  </si>
  <si>
    <t>Golden Gate University-San Francisco</t>
  </si>
  <si>
    <t>Golden West College</t>
  </si>
  <si>
    <t>Huntington Beach</t>
  </si>
  <si>
    <t>Gonzaga University</t>
  </si>
  <si>
    <t>Spokane</t>
  </si>
  <si>
    <t>Gordon College</t>
  </si>
  <si>
    <t>Wenham</t>
  </si>
  <si>
    <t>Gordon State College</t>
  </si>
  <si>
    <t>Barnesville</t>
  </si>
  <si>
    <t>Goshen College</t>
  </si>
  <si>
    <t>Goshen</t>
  </si>
  <si>
    <t>Goucher College</t>
  </si>
  <si>
    <t>Governors State University</t>
  </si>
  <si>
    <t>University Park</t>
  </si>
  <si>
    <t>Grace Bible College</t>
  </si>
  <si>
    <t>Wyoming</t>
  </si>
  <si>
    <t>Grace College and Theological Seminary</t>
  </si>
  <si>
    <t>Winona Lake</t>
  </si>
  <si>
    <t>Graceland University-Lamoni</t>
  </si>
  <si>
    <t>Lamoni</t>
  </si>
  <si>
    <t>Grambling State University</t>
  </si>
  <si>
    <t>Grambling</t>
  </si>
  <si>
    <t>Grand Rapids Community College</t>
  </si>
  <si>
    <t>Grand Valley State University</t>
  </si>
  <si>
    <t>Allendale</t>
  </si>
  <si>
    <t>Grand View University</t>
  </si>
  <si>
    <t>Granite State College</t>
  </si>
  <si>
    <t>Concord</t>
  </si>
  <si>
    <t>Grays Harbor College</t>
  </si>
  <si>
    <t>Aberdeen</t>
  </si>
  <si>
    <t>Grayson College</t>
  </si>
  <si>
    <t>Denison</t>
  </si>
  <si>
    <t>Great Basin College</t>
  </si>
  <si>
    <t>Elko</t>
  </si>
  <si>
    <t>Great Bay Community College</t>
  </si>
  <si>
    <t>Portsmouth</t>
  </si>
  <si>
    <t>Great Falls College Montana State University</t>
  </si>
  <si>
    <t>Great Falls</t>
  </si>
  <si>
    <t>Green Mountain College</t>
  </si>
  <si>
    <t>Poultney</t>
  </si>
  <si>
    <t>Green River College</t>
  </si>
  <si>
    <t>Greenfield Community College</t>
  </si>
  <si>
    <t>Greenfield</t>
  </si>
  <si>
    <t>Greensboro College</t>
  </si>
  <si>
    <t>Greenville Technical College</t>
  </si>
  <si>
    <t>Grinnell College</t>
  </si>
  <si>
    <t>Grinnell</t>
  </si>
  <si>
    <t>Grove City College</t>
  </si>
  <si>
    <t>Grove City</t>
  </si>
  <si>
    <t>Guilford College</t>
  </si>
  <si>
    <t>Guilford Technical Community College</t>
  </si>
  <si>
    <t>Jamestown</t>
  </si>
  <si>
    <t>Gulf Coast State College</t>
  </si>
  <si>
    <t>Panama City</t>
  </si>
  <si>
    <t>Gustavus Adolphus College</t>
  </si>
  <si>
    <t>Saint Peter</t>
  </si>
  <si>
    <t>Gwinnett Technical College</t>
  </si>
  <si>
    <t>Gwynedd Mercy University</t>
  </si>
  <si>
    <t>Gwynedd Valley</t>
  </si>
  <si>
    <t>H Councill Trenholm State Community College</t>
  </si>
  <si>
    <t>Hagerstown Community College</t>
  </si>
  <si>
    <t>Hagerstown</t>
  </si>
  <si>
    <t>Halifax Community College</t>
  </si>
  <si>
    <t>Weldon</t>
  </si>
  <si>
    <t>Hamilton College</t>
  </si>
  <si>
    <t>Clinton</t>
  </si>
  <si>
    <t>Hamline University</t>
  </si>
  <si>
    <t>Hampden-Sydney College</t>
  </si>
  <si>
    <t>Hampden-Sydney</t>
  </si>
  <si>
    <t>Hampshire College</t>
  </si>
  <si>
    <t>Hampton University</t>
  </si>
  <si>
    <t>Hampton</t>
  </si>
  <si>
    <t>Hannibal-LaGrange University</t>
  </si>
  <si>
    <t>Hannibal</t>
  </si>
  <si>
    <t>Hanover College</t>
  </si>
  <si>
    <t>Hardin-Simmons University</t>
  </si>
  <si>
    <t>Harding University</t>
  </si>
  <si>
    <t>Searcy</t>
  </si>
  <si>
    <t>Harford Community College</t>
  </si>
  <si>
    <t>Bel Air</t>
  </si>
  <si>
    <t>Harris-Stowe State University</t>
  </si>
  <si>
    <t>Harrisburg</t>
  </si>
  <si>
    <t>Harrisburg University of Science and Technology</t>
  </si>
  <si>
    <t>Hartnell College</t>
  </si>
  <si>
    <t>Salinas</t>
  </si>
  <si>
    <t>Hartwick College</t>
  </si>
  <si>
    <t>Oneonta</t>
  </si>
  <si>
    <t>Harvard University</t>
  </si>
  <si>
    <t>Harvey Mudd College</t>
  </si>
  <si>
    <t>Hastings College</t>
  </si>
  <si>
    <t>Hastings</t>
  </si>
  <si>
    <t>Haverford College</t>
  </si>
  <si>
    <t>Haverford</t>
  </si>
  <si>
    <t>Hawaii Community College</t>
  </si>
  <si>
    <t>Hilo</t>
  </si>
  <si>
    <t>Hawaii Pacific University</t>
  </si>
  <si>
    <t>Hawkeye Community College</t>
  </si>
  <si>
    <t>Waterloo</t>
  </si>
  <si>
    <t>Haywood Community College</t>
  </si>
  <si>
    <t>Clyde</t>
  </si>
  <si>
    <t>Heartland Community College</t>
  </si>
  <si>
    <t>Heidelberg University</t>
  </si>
  <si>
    <t>Tiffin</t>
  </si>
  <si>
    <t>Helena College University of Montana</t>
  </si>
  <si>
    <t>Henderson State University</t>
  </si>
  <si>
    <t>Arkadelphia</t>
  </si>
  <si>
    <t>Hendrix College</t>
  </si>
  <si>
    <t>Hennepin Technical College</t>
  </si>
  <si>
    <t>Brooklyn Park</t>
  </si>
  <si>
    <t>Henry Ford College</t>
  </si>
  <si>
    <t>Dearborn</t>
  </si>
  <si>
    <t>Heritage University</t>
  </si>
  <si>
    <t>Toppenish</t>
  </si>
  <si>
    <t>Herkimer County Community College</t>
  </si>
  <si>
    <t>Herkimer</t>
  </si>
  <si>
    <t>Hibbing Community College</t>
  </si>
  <si>
    <t>Hibbing</t>
  </si>
  <si>
    <t>High Point University</t>
  </si>
  <si>
    <t>High Point</t>
  </si>
  <si>
    <t>Freeport</t>
  </si>
  <si>
    <t>Highland</t>
  </si>
  <si>
    <t>Butte</t>
  </si>
  <si>
    <t>Highline College</t>
  </si>
  <si>
    <t>Hilbert College</t>
  </si>
  <si>
    <t>Hamburg</t>
  </si>
  <si>
    <t>Hill College</t>
  </si>
  <si>
    <t>Hillsboro</t>
  </si>
  <si>
    <t>Hillsborough Community College</t>
  </si>
  <si>
    <t>Hillsdale College</t>
  </si>
  <si>
    <t>Hillsdale</t>
  </si>
  <si>
    <t>Hinds Community College</t>
  </si>
  <si>
    <t>Raymond</t>
  </si>
  <si>
    <t>Hiram College</t>
  </si>
  <si>
    <t>Hiram</t>
  </si>
  <si>
    <t>Hiwassee College</t>
  </si>
  <si>
    <t>Madisonville</t>
  </si>
  <si>
    <t>Hobart William Smith Colleges</t>
  </si>
  <si>
    <t>Geneva</t>
  </si>
  <si>
    <t>Hocking College</t>
  </si>
  <si>
    <t>Nelsonville</t>
  </si>
  <si>
    <t>Hodges University</t>
  </si>
  <si>
    <t>Naples</t>
  </si>
  <si>
    <t>Hofstra University</t>
  </si>
  <si>
    <t>Hempstead</t>
  </si>
  <si>
    <t>Hollins University</t>
  </si>
  <si>
    <t>Roanoke</t>
  </si>
  <si>
    <t>Holmes Community College</t>
  </si>
  <si>
    <t>Goodman</t>
  </si>
  <si>
    <t>Holy Cross College</t>
  </si>
  <si>
    <t>Notre Dame</t>
  </si>
  <si>
    <t>Holy Family University</t>
  </si>
  <si>
    <t>Holy Names University</t>
  </si>
  <si>
    <t>Oakland</t>
  </si>
  <si>
    <t>Holyoke Community College</t>
  </si>
  <si>
    <t>Holyoke</t>
  </si>
  <si>
    <t>Honolulu Community College</t>
  </si>
  <si>
    <t>Hood College</t>
  </si>
  <si>
    <t>Hope College</t>
  </si>
  <si>
    <t>Holland</t>
  </si>
  <si>
    <t>Hope International University</t>
  </si>
  <si>
    <t>Horry-Georgetown Technical College</t>
  </si>
  <si>
    <t>Houghton College</t>
  </si>
  <si>
    <t>Houghton</t>
  </si>
  <si>
    <t>Housatonic Community College</t>
  </si>
  <si>
    <t>Bridgeport</t>
  </si>
  <si>
    <t>Houston Baptist University</t>
  </si>
  <si>
    <t>Houston</t>
  </si>
  <si>
    <t>Houston Community College</t>
  </si>
  <si>
    <t>Big Spring</t>
  </si>
  <si>
    <t>Howard Community College</t>
  </si>
  <si>
    <t>Howard Payne University</t>
  </si>
  <si>
    <t>Brownwood</t>
  </si>
  <si>
    <t>Howard University</t>
  </si>
  <si>
    <t>Hudson County Community College</t>
  </si>
  <si>
    <t>Jersey City</t>
  </si>
  <si>
    <t>Hudson Valley Community College</t>
  </si>
  <si>
    <t>Troy</t>
  </si>
  <si>
    <t>Humboldt State University</t>
  </si>
  <si>
    <t>Arcata</t>
  </si>
  <si>
    <t>Stockton</t>
  </si>
  <si>
    <t>Huntingdon College</t>
  </si>
  <si>
    <t>Huntington University</t>
  </si>
  <si>
    <t>Huntington</t>
  </si>
  <si>
    <t>Huston-Tillotson University</t>
  </si>
  <si>
    <t>Hutchinson Community College</t>
  </si>
  <si>
    <t>Hutchinson</t>
  </si>
  <si>
    <t>Idaho State University</t>
  </si>
  <si>
    <t>Pocatello</t>
  </si>
  <si>
    <t>Illinois Central College</t>
  </si>
  <si>
    <t>East Peoria</t>
  </si>
  <si>
    <t>Illinois College</t>
  </si>
  <si>
    <t>Illinois Institute of Technology</t>
  </si>
  <si>
    <t>Illinois State University</t>
  </si>
  <si>
    <t>Illinois Valley Community College</t>
  </si>
  <si>
    <t>Oglesby</t>
  </si>
  <si>
    <t>Illinois Wesleyan University</t>
  </si>
  <si>
    <t>Bloomington</t>
  </si>
  <si>
    <t>Immaculata University</t>
  </si>
  <si>
    <t>Immaculata</t>
  </si>
  <si>
    <t>Imperial Valley College</t>
  </si>
  <si>
    <t>Imperial</t>
  </si>
  <si>
    <t>Independence Community College</t>
  </si>
  <si>
    <t>Independence</t>
  </si>
  <si>
    <t>Indian Hills Community College</t>
  </si>
  <si>
    <t>Ottumwa</t>
  </si>
  <si>
    <t>Indian River State College</t>
  </si>
  <si>
    <t>Fort Pierce</t>
  </si>
  <si>
    <t>Indiana State University</t>
  </si>
  <si>
    <t>Terre Haute</t>
  </si>
  <si>
    <t>Indiana University of Pennsylvania-Main Campus</t>
  </si>
  <si>
    <t>Indiana</t>
  </si>
  <si>
    <t>Indiana University-Bloomington</t>
  </si>
  <si>
    <t>Indiana University-East</t>
  </si>
  <si>
    <t>Indiana University-Kokomo</t>
  </si>
  <si>
    <t>Kokomo</t>
  </si>
  <si>
    <t>Indiana University-Northwest</t>
  </si>
  <si>
    <t>Gary</t>
  </si>
  <si>
    <t>Indiana University-Purdue University-Fort Wayne</t>
  </si>
  <si>
    <t>Fort Wayne</t>
  </si>
  <si>
    <t>Indiana University-Purdue University-Indianapolis</t>
  </si>
  <si>
    <t>Indiana University-South Bend</t>
  </si>
  <si>
    <t>South Bend</t>
  </si>
  <si>
    <t>Indiana University-Southeast</t>
  </si>
  <si>
    <t>New Albany</t>
  </si>
  <si>
    <t>Marion</t>
  </si>
  <si>
    <t>Institute for Doctoral Studies in the Visual Arts</t>
  </si>
  <si>
    <t>Portland</t>
  </si>
  <si>
    <t>International Technological University</t>
  </si>
  <si>
    <t>Inver Hills Community College</t>
  </si>
  <si>
    <t>Inver Grove Heights</t>
  </si>
  <si>
    <t>Iona College</t>
  </si>
  <si>
    <t>New Rochelle</t>
  </si>
  <si>
    <t>Iowa Central Community College</t>
  </si>
  <si>
    <t>Fort Dodge</t>
  </si>
  <si>
    <t>Iowa Lakes Community College</t>
  </si>
  <si>
    <t>Estherville</t>
  </si>
  <si>
    <t>Iowa State University</t>
  </si>
  <si>
    <t>Ames</t>
  </si>
  <si>
    <t>Iowa Wesleyan University</t>
  </si>
  <si>
    <t>Iowa Western Community College</t>
  </si>
  <si>
    <t>Council Bluffs</t>
  </si>
  <si>
    <t>Isothermal Community College</t>
  </si>
  <si>
    <t>Spindale</t>
  </si>
  <si>
    <t>Itasca Community College</t>
  </si>
  <si>
    <t>Itawamba Community College</t>
  </si>
  <si>
    <t>Fulton</t>
  </si>
  <si>
    <t>Ithaca College</t>
  </si>
  <si>
    <t>Ivy Tech Community College</t>
  </si>
  <si>
    <t>Huntsville</t>
  </si>
  <si>
    <t>J F Ingram State Technical College</t>
  </si>
  <si>
    <t>Deatsville</t>
  </si>
  <si>
    <t>J Sargeant Reynolds Community College</t>
  </si>
  <si>
    <t>Jackson College</t>
  </si>
  <si>
    <t>Jackson State Community College</t>
  </si>
  <si>
    <t>Jackson State University</t>
  </si>
  <si>
    <t>Jacksonville State University</t>
  </si>
  <si>
    <t>Jacksonville University</t>
  </si>
  <si>
    <t>James A Rhodes State College</t>
  </si>
  <si>
    <t>Lima</t>
  </si>
  <si>
    <t>Bay Minette</t>
  </si>
  <si>
    <t>James Madison University</t>
  </si>
  <si>
    <t>James Sprunt Community College</t>
  </si>
  <si>
    <t>Kenansville</t>
  </si>
  <si>
    <t>Jamestown Community College</t>
  </si>
  <si>
    <t>Jarvis Christian College</t>
  </si>
  <si>
    <t>Hawkins</t>
  </si>
  <si>
    <t>Jefferson College</t>
  </si>
  <si>
    <t>Jefferson Community College</t>
  </si>
  <si>
    <t>Watertown</t>
  </si>
  <si>
    <t>Jefferson State Community College</t>
  </si>
  <si>
    <t>John A Logan College</t>
  </si>
  <si>
    <t>Carterville</t>
  </si>
  <si>
    <t>John Brown University</t>
  </si>
  <si>
    <t>Siloam Springs</t>
  </si>
  <si>
    <t>John C Calhoun State Community College</t>
  </si>
  <si>
    <t>Tanner</t>
  </si>
  <si>
    <t>John Carroll University</t>
  </si>
  <si>
    <t>University Heights</t>
  </si>
  <si>
    <t>John F. Kennedy University</t>
  </si>
  <si>
    <t>John Paul the Great Catholic University</t>
  </si>
  <si>
    <t>Escondido</t>
  </si>
  <si>
    <t>John Tyler Community College</t>
  </si>
  <si>
    <t>Chester</t>
  </si>
  <si>
    <t>John Wood Community College</t>
  </si>
  <si>
    <t>Johns Hopkins University</t>
  </si>
  <si>
    <t>Johnson C Smith University</t>
  </si>
  <si>
    <t>Overland Park</t>
  </si>
  <si>
    <t>Johnston Community College</t>
  </si>
  <si>
    <t>Joliet Junior College</t>
  </si>
  <si>
    <t>Joliet</t>
  </si>
  <si>
    <t>Jones County Junior College</t>
  </si>
  <si>
    <t>Ellisville</t>
  </si>
  <si>
    <t>Judson College</t>
  </si>
  <si>
    <t>Judson University</t>
  </si>
  <si>
    <t>Juniata College</t>
  </si>
  <si>
    <t>Huntingdon</t>
  </si>
  <si>
    <t>Kalamazoo College</t>
  </si>
  <si>
    <t>Kalamazoo</t>
  </si>
  <si>
    <t>Kalamazoo Valley Community College</t>
  </si>
  <si>
    <t>Kankakee Community College</t>
  </si>
  <si>
    <t>Kankakee</t>
  </si>
  <si>
    <t>Kansas City Kansas Community College</t>
  </si>
  <si>
    <t>Kansas State University</t>
  </si>
  <si>
    <t>Manhattan</t>
  </si>
  <si>
    <t>Kansas Wesleyan University</t>
  </si>
  <si>
    <t>Salina</t>
  </si>
  <si>
    <t>Kapiolani Community College</t>
  </si>
  <si>
    <t>Kaskaskia College</t>
  </si>
  <si>
    <t>Kauai Community College</t>
  </si>
  <si>
    <t>Lihue</t>
  </si>
  <si>
    <t>Kean University</t>
  </si>
  <si>
    <t>Keck Graduate Institute</t>
  </si>
  <si>
    <t>Keene State College</t>
  </si>
  <si>
    <t>Keiser University-Ft Lauderdale</t>
  </si>
  <si>
    <t>Kellogg Community College</t>
  </si>
  <si>
    <t>Battle Creek</t>
  </si>
  <si>
    <t>Kennebec Valley Community College</t>
  </si>
  <si>
    <t>Kennesaw</t>
  </si>
  <si>
    <t>Kent</t>
  </si>
  <si>
    <t>Warren</t>
  </si>
  <si>
    <t>Kentucky Christian University</t>
  </si>
  <si>
    <t>Grayson</t>
  </si>
  <si>
    <t>Kentucky State University</t>
  </si>
  <si>
    <t>Frankfort</t>
  </si>
  <si>
    <t>Kentucky Wesleyan College</t>
  </si>
  <si>
    <t>Kenyon College</t>
  </si>
  <si>
    <t>Gambier</t>
  </si>
  <si>
    <t>Kettering University</t>
  </si>
  <si>
    <t>Keuka College</t>
  </si>
  <si>
    <t>Keuka Park</t>
  </si>
  <si>
    <t>Keystone College</t>
  </si>
  <si>
    <t>La Plume</t>
  </si>
  <si>
    <t>Kilgore College</t>
  </si>
  <si>
    <t>Kilgore</t>
  </si>
  <si>
    <t>King University</t>
  </si>
  <si>
    <t>Bristol</t>
  </si>
  <si>
    <t>King's College</t>
  </si>
  <si>
    <t>Wilkes-Barre</t>
  </si>
  <si>
    <t>Kirkwood Community College</t>
  </si>
  <si>
    <t>Kirtland Community College</t>
  </si>
  <si>
    <t>Roscommon</t>
  </si>
  <si>
    <t>Kishwaukee College</t>
  </si>
  <si>
    <t>Malta</t>
  </si>
  <si>
    <t>Klamath Community College</t>
  </si>
  <si>
    <t>Klamath Falls</t>
  </si>
  <si>
    <t>Knox College</t>
  </si>
  <si>
    <t>Kutztown University of Pennsylvania</t>
  </si>
  <si>
    <t>Kutztown</t>
  </si>
  <si>
    <t>Kuyper College</t>
  </si>
  <si>
    <t>Brookville</t>
  </si>
  <si>
    <t>La Roche College</t>
  </si>
  <si>
    <t>La Salle University</t>
  </si>
  <si>
    <t>La Sierra University</t>
  </si>
  <si>
    <t>LaGrange College</t>
  </si>
  <si>
    <t>Lagrange</t>
  </si>
  <si>
    <t>Labette Community College</t>
  </si>
  <si>
    <t>Parsons</t>
  </si>
  <si>
    <t>Lafayette College</t>
  </si>
  <si>
    <t>Easton</t>
  </si>
  <si>
    <t>Lake Area Technical Institute</t>
  </si>
  <si>
    <t>Lake Erie College</t>
  </si>
  <si>
    <t>Painesville</t>
  </si>
  <si>
    <t>Lake Forest College</t>
  </si>
  <si>
    <t>Lake Forest</t>
  </si>
  <si>
    <t>Lake Land College</t>
  </si>
  <si>
    <t>Mattoon</t>
  </si>
  <si>
    <t>Lake Michigan College</t>
  </si>
  <si>
    <t>Benton Harbor</t>
  </si>
  <si>
    <t>Lake Region State College</t>
  </si>
  <si>
    <t>Devils Lake</t>
  </si>
  <si>
    <t>Lake Superior College</t>
  </si>
  <si>
    <t>Duluth</t>
  </si>
  <si>
    <t>Lake Superior State University</t>
  </si>
  <si>
    <t>Sault Ste Marie</t>
  </si>
  <si>
    <t>Lake Tahoe Community College</t>
  </si>
  <si>
    <t>South Lake Tahoe</t>
  </si>
  <si>
    <t>Lake Washington Institute of Technology</t>
  </si>
  <si>
    <t>Kirkland</t>
  </si>
  <si>
    <t>Lake-Sumter State College</t>
  </si>
  <si>
    <t>Plymouth</t>
  </si>
  <si>
    <t>Lakeland Community College</t>
  </si>
  <si>
    <t>Kirtland</t>
  </si>
  <si>
    <t>Lakes Region Community College</t>
  </si>
  <si>
    <t>Laconia</t>
  </si>
  <si>
    <t>Lakeshore Technical College</t>
  </si>
  <si>
    <t>Lamar Community College</t>
  </si>
  <si>
    <t>Lamar</t>
  </si>
  <si>
    <t>Lamar Institute of Technology</t>
  </si>
  <si>
    <t>Beaumont</t>
  </si>
  <si>
    <t>Lamar State College-Orange</t>
  </si>
  <si>
    <t>Lamar State College-Port Arthur</t>
  </si>
  <si>
    <t>Port Arthur</t>
  </si>
  <si>
    <t>Lamar University</t>
  </si>
  <si>
    <t>Lancaster County Career and Technology Center</t>
  </si>
  <si>
    <t>Willow Street</t>
  </si>
  <si>
    <t>Lander University</t>
  </si>
  <si>
    <t>Greenwood</t>
  </si>
  <si>
    <t>Lane College</t>
  </si>
  <si>
    <t>Lane Community College</t>
  </si>
  <si>
    <t>Eugene</t>
  </si>
  <si>
    <t>Langston University</t>
  </si>
  <si>
    <t>Langston</t>
  </si>
  <si>
    <t>Lanier Technical College</t>
  </si>
  <si>
    <t>Oakwood</t>
  </si>
  <si>
    <t>Lansing Community College</t>
  </si>
  <si>
    <t>Lansing</t>
  </si>
  <si>
    <t>Laramie County Community College</t>
  </si>
  <si>
    <t>Laredo Community College</t>
  </si>
  <si>
    <t>Laredo</t>
  </si>
  <si>
    <t>Las Positas College</t>
  </si>
  <si>
    <t>Livermore</t>
  </si>
  <si>
    <t>Lasell College</t>
  </si>
  <si>
    <t>Newton</t>
  </si>
  <si>
    <t>Lassen Community College</t>
  </si>
  <si>
    <t>Susanville</t>
  </si>
  <si>
    <t>Lawrence Technological University</t>
  </si>
  <si>
    <t>Southfield</t>
  </si>
  <si>
    <t>Lawrence University</t>
  </si>
  <si>
    <t>Lawson State Community College-Birmingham Campus</t>
  </si>
  <si>
    <t>Le Moyne College</t>
  </si>
  <si>
    <t>Syracuse</t>
  </si>
  <si>
    <t>Le Moyne-Owen College</t>
  </si>
  <si>
    <t>LeTourneau University</t>
  </si>
  <si>
    <t>Longview</t>
  </si>
  <si>
    <t>Lebanon Valley College</t>
  </si>
  <si>
    <t>Annville</t>
  </si>
  <si>
    <t>Lee College</t>
  </si>
  <si>
    <t>Baytown</t>
  </si>
  <si>
    <t>Lee University</t>
  </si>
  <si>
    <t>Lees-McRae College</t>
  </si>
  <si>
    <t>Banner Elk</t>
  </si>
  <si>
    <t>Leeward Community College</t>
  </si>
  <si>
    <t>Pearl City</t>
  </si>
  <si>
    <t>Lehigh Carbon Community College</t>
  </si>
  <si>
    <t>Schnecksville</t>
  </si>
  <si>
    <t>Lehigh University</t>
  </si>
  <si>
    <t>Bethlehem</t>
  </si>
  <si>
    <t>Lenoir Community College</t>
  </si>
  <si>
    <t>Kinston</t>
  </si>
  <si>
    <t>Lenoir-Rhyne University</t>
  </si>
  <si>
    <t>Lesley University</t>
  </si>
  <si>
    <t>Lewis &amp; Clark College</t>
  </si>
  <si>
    <t>Lewis University</t>
  </si>
  <si>
    <t>Romeoville</t>
  </si>
  <si>
    <t>Lewis and Clark Community College</t>
  </si>
  <si>
    <t>Godfrey</t>
  </si>
  <si>
    <t>Lewis-Clark State College</t>
  </si>
  <si>
    <t>Liberty University</t>
  </si>
  <si>
    <t>Limestone College</t>
  </si>
  <si>
    <t>Gaffney</t>
  </si>
  <si>
    <t>Lincoln College</t>
  </si>
  <si>
    <t>Lincoln Land Community College</t>
  </si>
  <si>
    <t>Lincoln Memorial University</t>
  </si>
  <si>
    <t>Harrogate</t>
  </si>
  <si>
    <t>Lincoln Trail College</t>
  </si>
  <si>
    <t>Robinson</t>
  </si>
  <si>
    <t>Lincoln University</t>
  </si>
  <si>
    <t>Lindenwood University</t>
  </si>
  <si>
    <t>Saint Charles</t>
  </si>
  <si>
    <t>Lindsey Wilson College</t>
  </si>
  <si>
    <t>McMinnville</t>
  </si>
  <si>
    <t>Linn-Benton Community College</t>
  </si>
  <si>
    <t>Lipscomb University</t>
  </si>
  <si>
    <t>Livingstone College</t>
  </si>
  <si>
    <t>Lock Haven University</t>
  </si>
  <si>
    <t>Lock Haven</t>
  </si>
  <si>
    <t>Lone Star College System</t>
  </si>
  <si>
    <t>The Woodlands</t>
  </si>
  <si>
    <t>Long Beach City College</t>
  </si>
  <si>
    <t>Longwood University</t>
  </si>
  <si>
    <t>Farmville</t>
  </si>
  <si>
    <t>Lorain County Community College</t>
  </si>
  <si>
    <t>Elyria</t>
  </si>
  <si>
    <t>Loras College</t>
  </si>
  <si>
    <t>Lord Fairfax Community College</t>
  </si>
  <si>
    <t>Middletown</t>
  </si>
  <si>
    <t>Los Angeles County College of Nursing and Allied Health</t>
  </si>
  <si>
    <t>Pittsburg</t>
  </si>
  <si>
    <t>Louisiana College</t>
  </si>
  <si>
    <t>Pineville</t>
  </si>
  <si>
    <t>Louisiana Delta Community College</t>
  </si>
  <si>
    <t>Monroe</t>
  </si>
  <si>
    <t>Louisiana State University-Alexandria</t>
  </si>
  <si>
    <t>Louisiana State University-Eunice</t>
  </si>
  <si>
    <t>Eunice</t>
  </si>
  <si>
    <t>Louisiana State University-Shreveport</t>
  </si>
  <si>
    <t>Louisiana Tech University</t>
  </si>
  <si>
    <t>Ruston</t>
  </si>
  <si>
    <t>Lourdes University</t>
  </si>
  <si>
    <t>Sylvania</t>
  </si>
  <si>
    <t>Lower Columbia College</t>
  </si>
  <si>
    <t>Loyola Marymount University</t>
  </si>
  <si>
    <t>Loyola University Chicago</t>
  </si>
  <si>
    <t>Loyola University Maryland</t>
  </si>
  <si>
    <t>Loyola University New Orleans</t>
  </si>
  <si>
    <t>Lubbock Christian University</t>
  </si>
  <si>
    <t>Lubbock</t>
  </si>
  <si>
    <t>Luna Community College</t>
  </si>
  <si>
    <t>Lurleen B Wallace Community College</t>
  </si>
  <si>
    <t>Andalusia</t>
  </si>
  <si>
    <t>Luther College</t>
  </si>
  <si>
    <t>Decorah</t>
  </si>
  <si>
    <t>Luzerne County Community College</t>
  </si>
  <si>
    <t>Nanticoke</t>
  </si>
  <si>
    <t>Lycoming College</t>
  </si>
  <si>
    <t>Williamsport</t>
  </si>
  <si>
    <t>Lynn University</t>
  </si>
  <si>
    <t>Lyon College</t>
  </si>
  <si>
    <t>Batesville</t>
  </si>
  <si>
    <t>MacMurray College</t>
  </si>
  <si>
    <t>Macalester College</t>
  </si>
  <si>
    <t>Macomb Community College</t>
  </si>
  <si>
    <t>Madison Area Technical College</t>
  </si>
  <si>
    <t>Madonna University</t>
  </si>
  <si>
    <t>Livonia</t>
  </si>
  <si>
    <t>Maharishi University of Management</t>
  </si>
  <si>
    <t>Maine Maritime Academy</t>
  </si>
  <si>
    <t>Castine</t>
  </si>
  <si>
    <t>Malone University</t>
  </si>
  <si>
    <t>Manchester</t>
  </si>
  <si>
    <t>Manchester University</t>
  </si>
  <si>
    <t>North Manchester</t>
  </si>
  <si>
    <t>Manhattan Area Technical College</t>
  </si>
  <si>
    <t>Manhattan College</t>
  </si>
  <si>
    <t>Riverdale</t>
  </si>
  <si>
    <t>Manhattanville College</t>
  </si>
  <si>
    <t>Purchase</t>
  </si>
  <si>
    <t>Mansfield University of Pennsylvania</t>
  </si>
  <si>
    <t>Mansfield</t>
  </si>
  <si>
    <t>Maranatha Baptist University</t>
  </si>
  <si>
    <t>Fond Du Lac</t>
  </si>
  <si>
    <t>Marietta College</t>
  </si>
  <si>
    <t>Marion Military Institute</t>
  </si>
  <si>
    <t>Marion Technical College</t>
  </si>
  <si>
    <t>Marist College</t>
  </si>
  <si>
    <t>Marlboro</t>
  </si>
  <si>
    <t>Marquette University</t>
  </si>
  <si>
    <t>Mars Hill University</t>
  </si>
  <si>
    <t>Mars Hill</t>
  </si>
  <si>
    <t>Marshall University</t>
  </si>
  <si>
    <t>Marshalltown Community College</t>
  </si>
  <si>
    <t>Marshalltown</t>
  </si>
  <si>
    <t>Martin Community College</t>
  </si>
  <si>
    <t>Williamston</t>
  </si>
  <si>
    <t>Martin Methodist College</t>
  </si>
  <si>
    <t>Pulaski</t>
  </si>
  <si>
    <t>Martin University</t>
  </si>
  <si>
    <t>Staunton</t>
  </si>
  <si>
    <t>Marygrove College</t>
  </si>
  <si>
    <t>Detroit</t>
  </si>
  <si>
    <t>Marymount California University</t>
  </si>
  <si>
    <t>Rancho Palos Verdes</t>
  </si>
  <si>
    <t>Marymount Manhattan College</t>
  </si>
  <si>
    <t>Marymount University</t>
  </si>
  <si>
    <t>Arlington</t>
  </si>
  <si>
    <t>Maryville College</t>
  </si>
  <si>
    <t>Maryville</t>
  </si>
  <si>
    <t>Maryville University of Saint Louis</t>
  </si>
  <si>
    <t>Marywood University</t>
  </si>
  <si>
    <t>Scranton</t>
  </si>
  <si>
    <t>Massachusetts Bay Community College</t>
  </si>
  <si>
    <t>Wellesley Hills</t>
  </si>
  <si>
    <t>Massachusetts College of Liberal Arts</t>
  </si>
  <si>
    <t>North Adams</t>
  </si>
  <si>
    <t>Massachusetts Institute of Technology</t>
  </si>
  <si>
    <t>Massachusetts Maritime Academy</t>
  </si>
  <si>
    <t>Buzzards Bay</t>
  </si>
  <si>
    <t>Massasoit Community College</t>
  </si>
  <si>
    <t>Brockton</t>
  </si>
  <si>
    <t>Mayland Community College</t>
  </si>
  <si>
    <t>Spruce Pine</t>
  </si>
  <si>
    <t>Rochester</t>
  </si>
  <si>
    <t>Mayville State University</t>
  </si>
  <si>
    <t>Mayville</t>
  </si>
  <si>
    <t>McDaniel College</t>
  </si>
  <si>
    <t>McDowell Technical Community College</t>
  </si>
  <si>
    <t>McHenry County College</t>
  </si>
  <si>
    <t>Crystal Lake</t>
  </si>
  <si>
    <t>McKendree University</t>
  </si>
  <si>
    <t>McLennan Community College</t>
  </si>
  <si>
    <t>McMurry University</t>
  </si>
  <si>
    <t>McNeese State University</t>
  </si>
  <si>
    <t>Lake Charles</t>
  </si>
  <si>
    <t>McPherson College</t>
  </si>
  <si>
    <t>Medaille College</t>
  </si>
  <si>
    <t>Mendocino College</t>
  </si>
  <si>
    <t>Ukiah</t>
  </si>
  <si>
    <t>Merced College</t>
  </si>
  <si>
    <t>Merced</t>
  </si>
  <si>
    <t>Mercer County Community College</t>
  </si>
  <si>
    <t>West Windsor</t>
  </si>
  <si>
    <t>Mercer University</t>
  </si>
  <si>
    <t>Macon</t>
  </si>
  <si>
    <t>Mercy College</t>
  </si>
  <si>
    <t>Dobbs Ferry</t>
  </si>
  <si>
    <t>Mercyhurst University</t>
  </si>
  <si>
    <t>Meredith College</t>
  </si>
  <si>
    <t>Raleigh</t>
  </si>
  <si>
    <t>Meridian Community College</t>
  </si>
  <si>
    <t>Meridian</t>
  </si>
  <si>
    <t>Merrimack College</t>
  </si>
  <si>
    <t>North Andover</t>
  </si>
  <si>
    <t>Mesa Community College</t>
  </si>
  <si>
    <t>Mesabi Range College</t>
  </si>
  <si>
    <t>Virginia</t>
  </si>
  <si>
    <t>Mesalands Community College</t>
  </si>
  <si>
    <t>Tucumcari</t>
  </si>
  <si>
    <t>Messiah College</t>
  </si>
  <si>
    <t>Mechanicsburg</t>
  </si>
  <si>
    <t>Methodist University</t>
  </si>
  <si>
    <t>Metropolitan College of New York</t>
  </si>
  <si>
    <t>Metropolitan State University</t>
  </si>
  <si>
    <t>Metropolitan State University of Denver</t>
  </si>
  <si>
    <t>Miami Dade College</t>
  </si>
  <si>
    <t>Oxford</t>
  </si>
  <si>
    <t>Michigan State University</t>
  </si>
  <si>
    <t>East Lansing</t>
  </si>
  <si>
    <t>Michigan Technological University</t>
  </si>
  <si>
    <t>Mid Michigan Community College</t>
  </si>
  <si>
    <t>Harrison</t>
  </si>
  <si>
    <t>Mid-America Christian University</t>
  </si>
  <si>
    <t>Oklahoma City</t>
  </si>
  <si>
    <t>Mid-Plains Community College</t>
  </si>
  <si>
    <t>North Platte</t>
  </si>
  <si>
    <t>Mid-State Technical College</t>
  </si>
  <si>
    <t>Wisconsin Rapids</t>
  </si>
  <si>
    <t>MidAmerica Nazarene University</t>
  </si>
  <si>
    <t>Olathe</t>
  </si>
  <si>
    <t>Middle Tennessee State University</t>
  </si>
  <si>
    <t>Middlebury</t>
  </si>
  <si>
    <t>Monterey</t>
  </si>
  <si>
    <t>Bedford</t>
  </si>
  <si>
    <t>Edison</t>
  </si>
  <si>
    <t>Midland College</t>
  </si>
  <si>
    <t>Midland</t>
  </si>
  <si>
    <t>Midland University</t>
  </si>
  <si>
    <t>Fremont</t>
  </si>
  <si>
    <t>Midlands Technical College</t>
  </si>
  <si>
    <t>West Columbia</t>
  </si>
  <si>
    <t>Midway University</t>
  </si>
  <si>
    <t>Midway</t>
  </si>
  <si>
    <t>Midwestern State University</t>
  </si>
  <si>
    <t>Wichita Falls</t>
  </si>
  <si>
    <t>Miles College</t>
  </si>
  <si>
    <t>Miles Community College</t>
  </si>
  <si>
    <t>Miles City</t>
  </si>
  <si>
    <t>Millersville University of Pennsylvania</t>
  </si>
  <si>
    <t>Millersville</t>
  </si>
  <si>
    <t>Milligan College</t>
  </si>
  <si>
    <t>Millikin University</t>
  </si>
  <si>
    <t>Mills College</t>
  </si>
  <si>
    <t>Millsaps College</t>
  </si>
  <si>
    <t>Milwaukee Area Technical College</t>
  </si>
  <si>
    <t>Milwaukee School of Engineering</t>
  </si>
  <si>
    <t>Mineral Area College</t>
  </si>
  <si>
    <t>Park Hills</t>
  </si>
  <si>
    <t>Minneapolis Community and Technical College</t>
  </si>
  <si>
    <t>Winona</t>
  </si>
  <si>
    <t>Minnesota State Community and Technical College</t>
  </si>
  <si>
    <t>Fergus Falls</t>
  </si>
  <si>
    <t>Minnesota State University Moorhead</t>
  </si>
  <si>
    <t>Minnesota State University-Mankato</t>
  </si>
  <si>
    <t>Minnesota West Community and Technical College</t>
  </si>
  <si>
    <t>Granite Falls</t>
  </si>
  <si>
    <t>Minot State University</t>
  </si>
  <si>
    <t>Minot</t>
  </si>
  <si>
    <t>MiraCosta College</t>
  </si>
  <si>
    <t>Oceanside</t>
  </si>
  <si>
    <t>Misericordia University</t>
  </si>
  <si>
    <t>Santa Clara</t>
  </si>
  <si>
    <t>Mississippi College</t>
  </si>
  <si>
    <t>Mississippi Delta Community College</t>
  </si>
  <si>
    <t>Mississippi Gulf Coast Community College</t>
  </si>
  <si>
    <t>Perkinston</t>
  </si>
  <si>
    <t>Mississippi State University</t>
  </si>
  <si>
    <t>Mississippi State</t>
  </si>
  <si>
    <t>Mississippi University for Women</t>
  </si>
  <si>
    <t>Mississippi Valley State University</t>
  </si>
  <si>
    <t>Itta Bena</t>
  </si>
  <si>
    <t>Missouri Baptist University</t>
  </si>
  <si>
    <t>Missouri Southern State University</t>
  </si>
  <si>
    <t>Joplin</t>
  </si>
  <si>
    <t>Missouri State University-Springfield</t>
  </si>
  <si>
    <t>Missouri State University-West Plains</t>
  </si>
  <si>
    <t>West Plains</t>
  </si>
  <si>
    <t>Missouri University of Science and Technology</t>
  </si>
  <si>
    <t>Rolla</t>
  </si>
  <si>
    <t>Missouri Valley College</t>
  </si>
  <si>
    <t>Missouri Western State University</t>
  </si>
  <si>
    <t>Mitchell College</t>
  </si>
  <si>
    <t>Mitchell Community College</t>
  </si>
  <si>
    <t>Statesville</t>
  </si>
  <si>
    <t>Mitchell Technical Institute</t>
  </si>
  <si>
    <t>Moberly Area Community College</t>
  </si>
  <si>
    <t>Moberly</t>
  </si>
  <si>
    <t>Mohave Community College</t>
  </si>
  <si>
    <t>Kingman</t>
  </si>
  <si>
    <t>Mohawk Valley Community College</t>
  </si>
  <si>
    <t>Utica</t>
  </si>
  <si>
    <t>Molloy College</t>
  </si>
  <si>
    <t>Rockville Centre</t>
  </si>
  <si>
    <t>Monmouth College</t>
  </si>
  <si>
    <t>Monmouth</t>
  </si>
  <si>
    <t>Monmouth University</t>
  </si>
  <si>
    <t>West Long Branch</t>
  </si>
  <si>
    <t>Monroe Community College</t>
  </si>
  <si>
    <t>Monroe County Community College</t>
  </si>
  <si>
    <t>Bozeman</t>
  </si>
  <si>
    <t>Billings</t>
  </si>
  <si>
    <t>Montana State University-Northern</t>
  </si>
  <si>
    <t>Havre</t>
  </si>
  <si>
    <t>Montcalm Community College</t>
  </si>
  <si>
    <t>Sidney</t>
  </si>
  <si>
    <t>Montclair State University</t>
  </si>
  <si>
    <t>Montclair</t>
  </si>
  <si>
    <t>Monterey Peninsula College</t>
  </si>
  <si>
    <t>Rockville</t>
  </si>
  <si>
    <t>Blue Bell</t>
  </si>
  <si>
    <t>Montreat College</t>
  </si>
  <si>
    <t>Montreat</t>
  </si>
  <si>
    <t>Moraine Park Technical College</t>
  </si>
  <si>
    <t>Fond du Lac</t>
  </si>
  <si>
    <t>Moraine Valley Community College</t>
  </si>
  <si>
    <t>Palos Hills</t>
  </si>
  <si>
    <t>Moravian College</t>
  </si>
  <si>
    <t>Morehead State University</t>
  </si>
  <si>
    <t>Morehead</t>
  </si>
  <si>
    <t>Morehouse College</t>
  </si>
  <si>
    <t>Morgan Community College</t>
  </si>
  <si>
    <t>Fort  Morgan</t>
  </si>
  <si>
    <t>Morgan State University</t>
  </si>
  <si>
    <t>Morningside College</t>
  </si>
  <si>
    <t>Morris College</t>
  </si>
  <si>
    <t>Morrisville State College</t>
  </si>
  <si>
    <t>Morrisville</t>
  </si>
  <si>
    <t>Morton College</t>
  </si>
  <si>
    <t>Cicero</t>
  </si>
  <si>
    <t>Tullahoma</t>
  </si>
  <si>
    <t>Mott Community College</t>
  </si>
  <si>
    <t>Mount Aloysius College</t>
  </si>
  <si>
    <t>Cresson</t>
  </si>
  <si>
    <t>Mount Holyoke College</t>
  </si>
  <si>
    <t>South Hadley</t>
  </si>
  <si>
    <t>Mount Marty College</t>
  </si>
  <si>
    <t>Yankton</t>
  </si>
  <si>
    <t>Mount Mary University</t>
  </si>
  <si>
    <t>Mount Mercy University</t>
  </si>
  <si>
    <t>Mount Saint Joseph University</t>
  </si>
  <si>
    <t>Mount Saint Mary College</t>
  </si>
  <si>
    <t>Newburgh</t>
  </si>
  <si>
    <t>Mount Saint Mary's University</t>
  </si>
  <si>
    <t>Emmitsburg</t>
  </si>
  <si>
    <t>Mount Vernon Nazarene University</t>
  </si>
  <si>
    <t>Mount Wachusett Community College</t>
  </si>
  <si>
    <t>Gardner</t>
  </si>
  <si>
    <t>Mountain Empire Community College</t>
  </si>
  <si>
    <t>Big Stone Gap</t>
  </si>
  <si>
    <t>Mountain View College</t>
  </si>
  <si>
    <t>Mountwest Community and Technical College</t>
  </si>
  <si>
    <t>Mt Hood Community College</t>
  </si>
  <si>
    <t>Gresham</t>
  </si>
  <si>
    <t>Mt San Antonio College</t>
  </si>
  <si>
    <t>Walnut</t>
  </si>
  <si>
    <t>Mt San Jacinto Community College District</t>
  </si>
  <si>
    <t>San Jacinto</t>
  </si>
  <si>
    <t>Muhlenberg College</t>
  </si>
  <si>
    <t>Murray State College</t>
  </si>
  <si>
    <t>Tishomingo</t>
  </si>
  <si>
    <t>Murray State University</t>
  </si>
  <si>
    <t>Murray</t>
  </si>
  <si>
    <t>Muskegon Community College</t>
  </si>
  <si>
    <t>Muskingum University</t>
  </si>
  <si>
    <t>New Concord</t>
  </si>
  <si>
    <t>NHTI-Concord's Community College</t>
  </si>
  <si>
    <t>Napa Valley College</t>
  </si>
  <si>
    <t>Napa</t>
  </si>
  <si>
    <t>Naropa University</t>
  </si>
  <si>
    <t>Boulder</t>
  </si>
  <si>
    <t>Nash Community College</t>
  </si>
  <si>
    <t>Rocky Mount</t>
  </si>
  <si>
    <t>Nashua Community College</t>
  </si>
  <si>
    <t>Nashua</t>
  </si>
  <si>
    <t>Nashville State Community College</t>
  </si>
  <si>
    <t>Nassau Community College</t>
  </si>
  <si>
    <t>National Louis University</t>
  </si>
  <si>
    <t>Hot Springs</t>
  </si>
  <si>
    <t>National University</t>
  </si>
  <si>
    <t>La Jolla</t>
  </si>
  <si>
    <t>Naugatuck Valley Community College</t>
  </si>
  <si>
    <t>Waterbury</t>
  </si>
  <si>
    <t>Navarro College</t>
  </si>
  <si>
    <t>Corsicana</t>
  </si>
  <si>
    <t>Nazareth College</t>
  </si>
  <si>
    <t>Nebraska College of Technical Agriculture</t>
  </si>
  <si>
    <t>Curtis</t>
  </si>
  <si>
    <t>Nebraska Wesleyan University</t>
  </si>
  <si>
    <t>Neosho County Community College</t>
  </si>
  <si>
    <t>Chanute</t>
  </si>
  <si>
    <t>Neumann University</t>
  </si>
  <si>
    <t>Aston</t>
  </si>
  <si>
    <t>Nevada State College</t>
  </si>
  <si>
    <t>New College of Florida</t>
  </si>
  <si>
    <t>Sarasota</t>
  </si>
  <si>
    <t>New England College</t>
  </si>
  <si>
    <t>Henniker</t>
  </si>
  <si>
    <t>New England Institute of Technology</t>
  </si>
  <si>
    <t>East Greenwich</t>
  </si>
  <si>
    <t>New Jersey City University</t>
  </si>
  <si>
    <t>New Jersey Institute of Technology</t>
  </si>
  <si>
    <t>New Mexico Highlands University</t>
  </si>
  <si>
    <t>New Mexico Institute of Mining and Technology</t>
  </si>
  <si>
    <t>Socorro</t>
  </si>
  <si>
    <t>New Mexico Junior College</t>
  </si>
  <si>
    <t>Hobbs</t>
  </si>
  <si>
    <t>New Mexico Military Institute</t>
  </si>
  <si>
    <t>New River Community College</t>
  </si>
  <si>
    <t>New River Community and Technical College</t>
  </si>
  <si>
    <t>Beaver</t>
  </si>
  <si>
    <t>Old Westbury</t>
  </si>
  <si>
    <t>New York University</t>
  </si>
  <si>
    <t>Newberry College</t>
  </si>
  <si>
    <t>Newberry</t>
  </si>
  <si>
    <t>Newbury College</t>
  </si>
  <si>
    <t>Brookline</t>
  </si>
  <si>
    <t>Newman University</t>
  </si>
  <si>
    <t>Niagara County Community College</t>
  </si>
  <si>
    <t>Sanborn</t>
  </si>
  <si>
    <t>Niagara University</t>
  </si>
  <si>
    <t>Nicholls State University</t>
  </si>
  <si>
    <t>Thibodaux</t>
  </si>
  <si>
    <t>Nicolet Area Technical College</t>
  </si>
  <si>
    <t>Rhinelander</t>
  </si>
  <si>
    <t>Norfolk State University</t>
  </si>
  <si>
    <t>Norfolk</t>
  </si>
  <si>
    <t>Normandale Community College</t>
  </si>
  <si>
    <t>North American University</t>
  </si>
  <si>
    <t>North Arkansas College</t>
  </si>
  <si>
    <t>North Carolina A &amp; T State University</t>
  </si>
  <si>
    <t>North Carolina Central University</t>
  </si>
  <si>
    <t>North Carolina State University at Raleigh</t>
  </si>
  <si>
    <t>North Carolina Wesleyan College</t>
  </si>
  <si>
    <t>North Central College</t>
  </si>
  <si>
    <t>Naperville</t>
  </si>
  <si>
    <t>North Central Kansas Technical College</t>
  </si>
  <si>
    <t>North Central Michigan College</t>
  </si>
  <si>
    <t>Petoskey</t>
  </si>
  <si>
    <t>North Central Missouri College</t>
  </si>
  <si>
    <t>Trenton</t>
  </si>
  <si>
    <t>North Central State College</t>
  </si>
  <si>
    <t>North Central Texas College</t>
  </si>
  <si>
    <t>North Central University</t>
  </si>
  <si>
    <t>North Country Community College</t>
  </si>
  <si>
    <t>Saranac Lake</t>
  </si>
  <si>
    <t>North Dakota State College of Science</t>
  </si>
  <si>
    <t>Wahpeton</t>
  </si>
  <si>
    <t>North Dakota State University-Main Campus</t>
  </si>
  <si>
    <t>Fargo</t>
  </si>
  <si>
    <t>North Florida Community College</t>
  </si>
  <si>
    <t>North Georgia Technical College</t>
  </si>
  <si>
    <t>Clarkesville</t>
  </si>
  <si>
    <t>North Greenville University</t>
  </si>
  <si>
    <t>Tigerville</t>
  </si>
  <si>
    <t>North Hennepin Community College</t>
  </si>
  <si>
    <t>North Idaho College</t>
  </si>
  <si>
    <t>Coeur d'Alene</t>
  </si>
  <si>
    <t>North Iowa Area Community College</t>
  </si>
  <si>
    <t>Mason City</t>
  </si>
  <si>
    <t>North Lake College</t>
  </si>
  <si>
    <t>Irving</t>
  </si>
  <si>
    <t>North Park University</t>
  </si>
  <si>
    <t>North Seattle College</t>
  </si>
  <si>
    <t>North Shore Community College</t>
  </si>
  <si>
    <t>Danvers</t>
  </si>
  <si>
    <t>NorthWest Arkansas Community College</t>
  </si>
  <si>
    <t>Bentonville</t>
  </si>
  <si>
    <t>Northampton County Area Community College</t>
  </si>
  <si>
    <t>Northcentral Technical College</t>
  </si>
  <si>
    <t>Wausau</t>
  </si>
  <si>
    <t>Northeast Alabama Community College</t>
  </si>
  <si>
    <t>Rainsville</t>
  </si>
  <si>
    <t>Northeast Catholic College</t>
  </si>
  <si>
    <t>Northeast Community College</t>
  </si>
  <si>
    <t>Northeast Iowa Community College</t>
  </si>
  <si>
    <t>Calmar</t>
  </si>
  <si>
    <t>Northeast Mississippi Community College</t>
  </si>
  <si>
    <t>Booneville</t>
  </si>
  <si>
    <t>Northeast State Community College</t>
  </si>
  <si>
    <t>Blountville</t>
  </si>
  <si>
    <t>Northeast Texas Community College</t>
  </si>
  <si>
    <t>Northeast Wisconsin Technical College</t>
  </si>
  <si>
    <t>Green Bay</t>
  </si>
  <si>
    <t>Northeastern Illinois University</t>
  </si>
  <si>
    <t>Northeastern Junior College</t>
  </si>
  <si>
    <t>Sterling</t>
  </si>
  <si>
    <t>Northeastern Oklahoma A&amp;M College</t>
  </si>
  <si>
    <t>Northeastern State University</t>
  </si>
  <si>
    <t>Tahlequah</t>
  </si>
  <si>
    <t>Northeastern Technical College</t>
  </si>
  <si>
    <t>Cheraw</t>
  </si>
  <si>
    <t>Northern Arizona University</t>
  </si>
  <si>
    <t>Northern Essex Community College</t>
  </si>
  <si>
    <t>Haverhill</t>
  </si>
  <si>
    <t>Northern Illinois University</t>
  </si>
  <si>
    <t>Dekalb</t>
  </si>
  <si>
    <t>Northern Kentucky University</t>
  </si>
  <si>
    <t>Highland Heights</t>
  </si>
  <si>
    <t>Northern Maine Community College</t>
  </si>
  <si>
    <t>Presque Isle</t>
  </si>
  <si>
    <t>Northern Michigan University</t>
  </si>
  <si>
    <t>Marquette</t>
  </si>
  <si>
    <t>Northern New Mexico College</t>
  </si>
  <si>
    <t>Espanola</t>
  </si>
  <si>
    <t>Northern Oklahoma College</t>
  </si>
  <si>
    <t>Tonkawa</t>
  </si>
  <si>
    <t>Northern State University</t>
  </si>
  <si>
    <t>Northern Virginia Community College</t>
  </si>
  <si>
    <t>Annandale</t>
  </si>
  <si>
    <t>Northland College</t>
  </si>
  <si>
    <t>Northland Community and Technical College</t>
  </si>
  <si>
    <t>Thief River Falls</t>
  </si>
  <si>
    <t>Northland Pioneer College</t>
  </si>
  <si>
    <t>Holbrook</t>
  </si>
  <si>
    <t>Northwest Christian University</t>
  </si>
  <si>
    <t>Northwest College</t>
  </si>
  <si>
    <t>Powell</t>
  </si>
  <si>
    <t>Northwest Florida State College</t>
  </si>
  <si>
    <t>Niceville</t>
  </si>
  <si>
    <t>Northwest Iowa Community College</t>
  </si>
  <si>
    <t>Sheldon</t>
  </si>
  <si>
    <t>Northwest Kansas Technical College</t>
  </si>
  <si>
    <t>Goodland</t>
  </si>
  <si>
    <t>Northwest Mississippi Community College</t>
  </si>
  <si>
    <t>Senatobia</t>
  </si>
  <si>
    <t>Northwest Missouri State University</t>
  </si>
  <si>
    <t>Northwest Nazarene University</t>
  </si>
  <si>
    <t>Northwest State Community College</t>
  </si>
  <si>
    <t>Archbold</t>
  </si>
  <si>
    <t>Northwest Technical College</t>
  </si>
  <si>
    <t>Northwest University</t>
  </si>
  <si>
    <t>San Antonio</t>
  </si>
  <si>
    <t>Northwest-Shoals Community College</t>
  </si>
  <si>
    <t>Muscle Shoals</t>
  </si>
  <si>
    <t>Northwestern College</t>
  </si>
  <si>
    <t>Orange City</t>
  </si>
  <si>
    <t>Northwestern Connecticut Community College</t>
  </si>
  <si>
    <t>Winsted</t>
  </si>
  <si>
    <t>Northwestern Michigan College</t>
  </si>
  <si>
    <t>Traverse City</t>
  </si>
  <si>
    <t>Northwestern Oklahoma State University</t>
  </si>
  <si>
    <t>Alva</t>
  </si>
  <si>
    <t>Northwestern State University of Louisiana</t>
  </si>
  <si>
    <t>Natchitoches</t>
  </si>
  <si>
    <t>Northwestern University</t>
  </si>
  <si>
    <t>Evanston</t>
  </si>
  <si>
    <t>Norwalk Community College</t>
  </si>
  <si>
    <t>Norwich University</t>
  </si>
  <si>
    <t>Notre Dame College</t>
  </si>
  <si>
    <t>Notre Dame de Namur University</t>
  </si>
  <si>
    <t>Notre Dame of Maryland University</t>
  </si>
  <si>
    <t>Nova Southeastern University</t>
  </si>
  <si>
    <t>Nunez Community College</t>
  </si>
  <si>
    <t>Chalmette</t>
  </si>
  <si>
    <t>Nyack College</t>
  </si>
  <si>
    <t>Nyack</t>
  </si>
  <si>
    <t>Oakland City University</t>
  </si>
  <si>
    <t>Oakland City</t>
  </si>
  <si>
    <t>Oakland Community College</t>
  </si>
  <si>
    <t>Bloomfield Hills</t>
  </si>
  <si>
    <t>Oakland University</t>
  </si>
  <si>
    <t>Rochester Hills</t>
  </si>
  <si>
    <t>Oakton Community College</t>
  </si>
  <si>
    <t>Des Plaines</t>
  </si>
  <si>
    <t>Oakwood University</t>
  </si>
  <si>
    <t>Oberlin College</t>
  </si>
  <si>
    <t>Oberlin</t>
  </si>
  <si>
    <t>Occidental College</t>
  </si>
  <si>
    <t>Ocean County College</t>
  </si>
  <si>
    <t>Toms River</t>
  </si>
  <si>
    <t>Sandersville</t>
  </si>
  <si>
    <t>Odessa College</t>
  </si>
  <si>
    <t>Odessa</t>
  </si>
  <si>
    <t>Ogeechee Technical College</t>
  </si>
  <si>
    <t>Oglethorpe University</t>
  </si>
  <si>
    <t>Ohio Christian University</t>
  </si>
  <si>
    <t>Circleville</t>
  </si>
  <si>
    <t>Ohio Dominican University</t>
  </si>
  <si>
    <t>Ohio Northern University</t>
  </si>
  <si>
    <t>Ohio State University Agricultural Technical Institute</t>
  </si>
  <si>
    <t>Wooster</t>
  </si>
  <si>
    <t>Ohio State University-Lima Campus</t>
  </si>
  <si>
    <t>Ohio State University-Main Campus</t>
  </si>
  <si>
    <t>Ohio State University-Mansfield Campus</t>
  </si>
  <si>
    <t>Ohio State University-Marion Campus</t>
  </si>
  <si>
    <t>Ohio State University-Newark Campus</t>
  </si>
  <si>
    <t>Ohio Valley University</t>
  </si>
  <si>
    <t>Vienna</t>
  </si>
  <si>
    <t>Ohio Wesleyan University</t>
  </si>
  <si>
    <t>Delaware</t>
  </si>
  <si>
    <t>Ohlone College</t>
  </si>
  <si>
    <t>Oklahoma Baptist University</t>
  </si>
  <si>
    <t>Shawnee</t>
  </si>
  <si>
    <t>Edmond</t>
  </si>
  <si>
    <t>Oklahoma City Community College</t>
  </si>
  <si>
    <t>Oklahoma City University</t>
  </si>
  <si>
    <t>Oklahoma Panhandle State University</t>
  </si>
  <si>
    <t>Goodwell</t>
  </si>
  <si>
    <t>Oklahoma State University Institute of Technology</t>
  </si>
  <si>
    <t>Okmulgee</t>
  </si>
  <si>
    <t>Oklahoma State University-Main Campus</t>
  </si>
  <si>
    <t>Stillwater</t>
  </si>
  <si>
    <t>Oklahoma State University-Oklahoma City</t>
  </si>
  <si>
    <t>Oklahoma Wesleyan University</t>
  </si>
  <si>
    <t>Bartlesville</t>
  </si>
  <si>
    <t>Old Dominion University</t>
  </si>
  <si>
    <t>Olivet College</t>
  </si>
  <si>
    <t>Olivet</t>
  </si>
  <si>
    <t>Olivet Nazarene University</t>
  </si>
  <si>
    <t>Bourbonnais</t>
  </si>
  <si>
    <t>Olney Central College</t>
  </si>
  <si>
    <t>Olney</t>
  </si>
  <si>
    <t>Olympic College</t>
  </si>
  <si>
    <t>Bremerton</t>
  </si>
  <si>
    <t>Onondaga Community College</t>
  </si>
  <si>
    <t>Oral Roberts University</t>
  </si>
  <si>
    <t>Tulsa</t>
  </si>
  <si>
    <t>Orange Coast College</t>
  </si>
  <si>
    <t>Costa Mesa</t>
  </si>
  <si>
    <t>Orange County Community College</t>
  </si>
  <si>
    <t>Orangeburg Calhoun Technical College</t>
  </si>
  <si>
    <t>Oregon Coast Community College</t>
  </si>
  <si>
    <t>Oregon Institute of Technology</t>
  </si>
  <si>
    <t>Corvallis</t>
  </si>
  <si>
    <t>Otero Junior College</t>
  </si>
  <si>
    <t>La Junta</t>
  </si>
  <si>
    <t>Ottawa</t>
  </si>
  <si>
    <t>Otterbein University</t>
  </si>
  <si>
    <t>Westerville</t>
  </si>
  <si>
    <t>Ouachita Baptist University</t>
  </si>
  <si>
    <t>Our Lady of the Lake University</t>
  </si>
  <si>
    <t>Owens Community College</t>
  </si>
  <si>
    <t>Perrysburg</t>
  </si>
  <si>
    <t>Ozarka College</t>
  </si>
  <si>
    <t>Ozarks Technical Community College</t>
  </si>
  <si>
    <t>Pace University-New York</t>
  </si>
  <si>
    <t>Pacific Lutheran University</t>
  </si>
  <si>
    <t>Pacific Rim Christian University</t>
  </si>
  <si>
    <t>Pacific Union College</t>
  </si>
  <si>
    <t>Angwin</t>
  </si>
  <si>
    <t>Pacific University</t>
  </si>
  <si>
    <t>Forest Grove</t>
  </si>
  <si>
    <t>Paine College</t>
  </si>
  <si>
    <t>Palm Beach Atlantic University</t>
  </si>
  <si>
    <t>West Palm Beach</t>
  </si>
  <si>
    <t>Palm Beach State College</t>
  </si>
  <si>
    <t>Lake Worth</t>
  </si>
  <si>
    <t>Palo Verde College</t>
  </si>
  <si>
    <t>Blythe</t>
  </si>
  <si>
    <t>Palomar College</t>
  </si>
  <si>
    <t>Pamlico Community College</t>
  </si>
  <si>
    <t>Grantsboro</t>
  </si>
  <si>
    <t>Panola College</t>
  </si>
  <si>
    <t>Carthage</t>
  </si>
  <si>
    <t>Paradise Valley Community College</t>
  </si>
  <si>
    <t>Paris Junior College</t>
  </si>
  <si>
    <t>Paris</t>
  </si>
  <si>
    <t>Park University</t>
  </si>
  <si>
    <t>Parkville</t>
  </si>
  <si>
    <t>Parkland College</t>
  </si>
  <si>
    <t>Champaign</t>
  </si>
  <si>
    <t>Pasadena City College</t>
  </si>
  <si>
    <t>Pasco-Hernando State College</t>
  </si>
  <si>
    <t>New Port Richey</t>
  </si>
  <si>
    <t>Passaic County Community College</t>
  </si>
  <si>
    <t>Paterson</t>
  </si>
  <si>
    <t>Patrick Henry Community College</t>
  </si>
  <si>
    <t>Martinsville</t>
  </si>
  <si>
    <t>Paul D Camp Community College</t>
  </si>
  <si>
    <t>Paul Quinn College</t>
  </si>
  <si>
    <t>Paul Smiths College of Arts and Science</t>
  </si>
  <si>
    <t>Paul Smiths</t>
  </si>
  <si>
    <t>Pearl River Community College</t>
  </si>
  <si>
    <t>Poplarville</t>
  </si>
  <si>
    <t>Peirce College</t>
  </si>
  <si>
    <t>Pellissippi State Community College</t>
  </si>
  <si>
    <t>Knoxville</t>
  </si>
  <si>
    <t>Peninsula College</t>
  </si>
  <si>
    <t>Port Angeles</t>
  </si>
  <si>
    <t>Pennsylvania College of Technology</t>
  </si>
  <si>
    <t>Pennsylvania Highlands Community College</t>
  </si>
  <si>
    <t>York</t>
  </si>
  <si>
    <t>Pensacola State College</t>
  </si>
  <si>
    <t>Pensacola</t>
  </si>
  <si>
    <t>Pepperdine University</t>
  </si>
  <si>
    <t>Malibu</t>
  </si>
  <si>
    <t>Peru State College</t>
  </si>
  <si>
    <t>Peru</t>
  </si>
  <si>
    <t>Pfeiffer University</t>
  </si>
  <si>
    <t>Misenheimer</t>
  </si>
  <si>
    <t>Philander Smith College</t>
  </si>
  <si>
    <t>Phillips Community College of the University of Arkansas</t>
  </si>
  <si>
    <t>Phoenix College</t>
  </si>
  <si>
    <t>Piedmont College</t>
  </si>
  <si>
    <t>Demorest</t>
  </si>
  <si>
    <t>Piedmont Community College</t>
  </si>
  <si>
    <t>Roxboro</t>
  </si>
  <si>
    <t>Piedmont Technical College</t>
  </si>
  <si>
    <t>Piedmont Virginia Community College</t>
  </si>
  <si>
    <t>Charlottesville</t>
  </si>
  <si>
    <t>Pierce College-Fort Steilacoom</t>
  </si>
  <si>
    <t>Pierce College-Puyallup</t>
  </si>
  <si>
    <t>Puyallup</t>
  </si>
  <si>
    <t>Pikes Peak Community College</t>
  </si>
  <si>
    <t>Pima Community College</t>
  </si>
  <si>
    <t>Tucson</t>
  </si>
  <si>
    <t>Pine Manor College</t>
  </si>
  <si>
    <t>Pine Technical &amp; Community College</t>
  </si>
  <si>
    <t>Pine City</t>
  </si>
  <si>
    <t>Pitt Community College</t>
  </si>
  <si>
    <t>Winterville</t>
  </si>
  <si>
    <t>Pittsburg State University</t>
  </si>
  <si>
    <t>Pitzer College</t>
  </si>
  <si>
    <t>Plymouth State University</t>
  </si>
  <si>
    <t>Point Loma Nazarene University</t>
  </si>
  <si>
    <t>San Diego</t>
  </si>
  <si>
    <t>Point Park University</t>
  </si>
  <si>
    <t>Point University</t>
  </si>
  <si>
    <t>West Point</t>
  </si>
  <si>
    <t>Polk State College</t>
  </si>
  <si>
    <t>Winter Haven</t>
  </si>
  <si>
    <t>Pomona College</t>
  </si>
  <si>
    <t>Portland Community College</t>
  </si>
  <si>
    <t>Portland State University</t>
  </si>
  <si>
    <t>Prairie State College</t>
  </si>
  <si>
    <t>Chicago Heights</t>
  </si>
  <si>
    <t>Prairie View A &amp; M University</t>
  </si>
  <si>
    <t>Prairie View</t>
  </si>
  <si>
    <t>Pratt Community College</t>
  </si>
  <si>
    <t>Pratt</t>
  </si>
  <si>
    <t>Presbyterian College</t>
  </si>
  <si>
    <t>Prescott College</t>
  </si>
  <si>
    <t>Prince George's Community College</t>
  </si>
  <si>
    <t>Princeton University</t>
  </si>
  <si>
    <t>Princeton</t>
  </si>
  <si>
    <t>Principia College</t>
  </si>
  <si>
    <t>Elsah</t>
  </si>
  <si>
    <t>Providence Christian College</t>
  </si>
  <si>
    <t>Providence College</t>
  </si>
  <si>
    <t>Pueblo Community College</t>
  </si>
  <si>
    <t>North Little Rock</t>
  </si>
  <si>
    <t>Hammond</t>
  </si>
  <si>
    <t>Purdue University-Main Campus</t>
  </si>
  <si>
    <t>West Lafayette</t>
  </si>
  <si>
    <t>Queens University of Charlotte</t>
  </si>
  <si>
    <t>Quincy College</t>
  </si>
  <si>
    <t>Quincy University</t>
  </si>
  <si>
    <t>Quinebaug Valley Community College</t>
  </si>
  <si>
    <t>Danielson</t>
  </si>
  <si>
    <t>Quinnipiac University</t>
  </si>
  <si>
    <t>Hamden</t>
  </si>
  <si>
    <t>Quinsigamond Community College</t>
  </si>
  <si>
    <t>Radford University</t>
  </si>
  <si>
    <t>Radford</t>
  </si>
  <si>
    <t>Rainy River Community College</t>
  </si>
  <si>
    <t>International Falls</t>
  </si>
  <si>
    <t>Ramapo College of New Jersey</t>
  </si>
  <si>
    <t>Mahwah</t>
  </si>
  <si>
    <t>Randolph College</t>
  </si>
  <si>
    <t>Randolph Community College</t>
  </si>
  <si>
    <t>Asheboro</t>
  </si>
  <si>
    <t>Randolph-Macon College</t>
  </si>
  <si>
    <t>Ranger College</t>
  </si>
  <si>
    <t>Ranger</t>
  </si>
  <si>
    <t>Ranken Technical College</t>
  </si>
  <si>
    <t>Rappahannock Community College</t>
  </si>
  <si>
    <t>Glenns</t>
  </si>
  <si>
    <t>Raritan Valley Community College</t>
  </si>
  <si>
    <t>Branchburg</t>
  </si>
  <si>
    <t>Reading Area Community College</t>
  </si>
  <si>
    <t>Red Rocks Community College</t>
  </si>
  <si>
    <t>Redlands Community College</t>
  </si>
  <si>
    <t>El Reno</t>
  </si>
  <si>
    <t>Reed College</t>
  </si>
  <si>
    <t>Reedley College</t>
  </si>
  <si>
    <t>Reedley</t>
  </si>
  <si>
    <t>Regent University</t>
  </si>
  <si>
    <t>Virginia Beach</t>
  </si>
  <si>
    <t>Regis University</t>
  </si>
  <si>
    <t>Reid State Technical College</t>
  </si>
  <si>
    <t>Evergreen</t>
  </si>
  <si>
    <t>Reinhardt University</t>
  </si>
  <si>
    <t>Waleska</t>
  </si>
  <si>
    <t>Remington College-Heathrow Campus</t>
  </si>
  <si>
    <t>Remington College-Honolulu Campus</t>
  </si>
  <si>
    <t>Rend Lake College</t>
  </si>
  <si>
    <t>Ina</t>
  </si>
  <si>
    <t>Rensselaer Polytechnic Institute</t>
  </si>
  <si>
    <t>Renton Technical College</t>
  </si>
  <si>
    <t>Renton</t>
  </si>
  <si>
    <t>Rhode Island College</t>
  </si>
  <si>
    <t>Rhodes College</t>
  </si>
  <si>
    <t>Rice University</t>
  </si>
  <si>
    <t>Mena</t>
  </si>
  <si>
    <t>Petersburg</t>
  </si>
  <si>
    <t>Richland College</t>
  </si>
  <si>
    <t>Richland Community College</t>
  </si>
  <si>
    <t>Richmond Community College</t>
  </si>
  <si>
    <t>Hamlet</t>
  </si>
  <si>
    <t>Rider University</t>
  </si>
  <si>
    <t>Ridgewater College</t>
  </si>
  <si>
    <t>Willmar</t>
  </si>
  <si>
    <t>Rio Hondo College</t>
  </si>
  <si>
    <t>Whittier</t>
  </si>
  <si>
    <t>Rio Salado College</t>
  </si>
  <si>
    <t>Ripon College</t>
  </si>
  <si>
    <t>Ripon</t>
  </si>
  <si>
    <t>River Parishes Community College</t>
  </si>
  <si>
    <t>Gonzales</t>
  </si>
  <si>
    <t>River Valley Community College</t>
  </si>
  <si>
    <t>Riverland Community College</t>
  </si>
  <si>
    <t>Rivier University</t>
  </si>
  <si>
    <t>Roane State Community College</t>
  </si>
  <si>
    <t>Harriman</t>
  </si>
  <si>
    <t>Roanoke College</t>
  </si>
  <si>
    <t>Roanoke-Chowan Community College</t>
  </si>
  <si>
    <t>Ahoskie</t>
  </si>
  <si>
    <t>Robert Morris University</t>
  </si>
  <si>
    <t>Moon Township</t>
  </si>
  <si>
    <t>Robert Morris University Illinois</t>
  </si>
  <si>
    <t>Roberts Wesleyan College</t>
  </si>
  <si>
    <t>Robeson Community College</t>
  </si>
  <si>
    <t>Lumberton</t>
  </si>
  <si>
    <t>Rochester College</t>
  </si>
  <si>
    <t>Rochester Community and Technical College</t>
  </si>
  <si>
    <t>Rochester Institute of Technology</t>
  </si>
  <si>
    <t>Rock Valley College</t>
  </si>
  <si>
    <t>Rockford</t>
  </si>
  <si>
    <t>Rockefeller University</t>
  </si>
  <si>
    <t>Rockford University</t>
  </si>
  <si>
    <t>Rockhurst University</t>
  </si>
  <si>
    <t>Rockingham Community College</t>
  </si>
  <si>
    <t>Wentworth</t>
  </si>
  <si>
    <t>Rockland Community College</t>
  </si>
  <si>
    <t>Suffern</t>
  </si>
  <si>
    <t>Rocky Mountain College</t>
  </si>
  <si>
    <t>Roger Williams University</t>
  </si>
  <si>
    <t>Rogers State University</t>
  </si>
  <si>
    <t>Claremore</t>
  </si>
  <si>
    <t>Rogue Community College</t>
  </si>
  <si>
    <t>Grants Pass</t>
  </si>
  <si>
    <t>Rollins College</t>
  </si>
  <si>
    <t>Winter Park</t>
  </si>
  <si>
    <t>Roosevelt University</t>
  </si>
  <si>
    <t>Rose State College</t>
  </si>
  <si>
    <t>Midwest City</t>
  </si>
  <si>
    <t>Rosemont College</t>
  </si>
  <si>
    <t>Rosemont</t>
  </si>
  <si>
    <t>Rowan College at Burlington County</t>
  </si>
  <si>
    <t>Rowan College at Gloucester County</t>
  </si>
  <si>
    <t>Sewell</t>
  </si>
  <si>
    <t>Rowan University</t>
  </si>
  <si>
    <t>Glassboro</t>
  </si>
  <si>
    <t>Rowan-Cabarrus Community College</t>
  </si>
  <si>
    <t>Roxbury Community College</t>
  </si>
  <si>
    <t>Roxbury Crossing</t>
  </si>
  <si>
    <t>Rust College</t>
  </si>
  <si>
    <t>Holly Springs</t>
  </si>
  <si>
    <t>Camden</t>
  </si>
  <si>
    <t>SUNY Broome Community College</t>
  </si>
  <si>
    <t>Binghamton</t>
  </si>
  <si>
    <t>SUNY Buffalo State</t>
  </si>
  <si>
    <t>SUNY College at Brockport</t>
  </si>
  <si>
    <t>Brockport</t>
  </si>
  <si>
    <t>Cortland</t>
  </si>
  <si>
    <t>SUNY College at Geneseo</t>
  </si>
  <si>
    <t>Geneseo</t>
  </si>
  <si>
    <t>SUNY College at Old Westbury</t>
  </si>
  <si>
    <t>SUNY College at Oswego</t>
  </si>
  <si>
    <t>Oswego</t>
  </si>
  <si>
    <t>SUNY College at Plattsburgh</t>
  </si>
  <si>
    <t>SUNY College at Potsdam</t>
  </si>
  <si>
    <t>SUNY College of Agriculture and Technology at Cobleskill</t>
  </si>
  <si>
    <t>Cobleskill</t>
  </si>
  <si>
    <t>SUNY College of Environmental Science and Forestry</t>
  </si>
  <si>
    <t>SUNY College of Technology at Alfred</t>
  </si>
  <si>
    <t>SUNY College of Technology at Canton</t>
  </si>
  <si>
    <t>SUNY College of Technology at Delhi</t>
  </si>
  <si>
    <t>Delhi</t>
  </si>
  <si>
    <t>SUNY Empire State College</t>
  </si>
  <si>
    <t>Saratoga Springs</t>
  </si>
  <si>
    <t>SUNY Maritime College</t>
  </si>
  <si>
    <t>Throggs Neck</t>
  </si>
  <si>
    <t>SUNY Oneonta</t>
  </si>
  <si>
    <t>SUNY Polytechnic Institute</t>
  </si>
  <si>
    <t>SUNY Westchester Community College</t>
  </si>
  <si>
    <t>Valhalla</t>
  </si>
  <si>
    <t>SUNY at Albany</t>
  </si>
  <si>
    <t>Vestal</t>
  </si>
  <si>
    <t>SUNY at Fredonia</t>
  </si>
  <si>
    <t>Fredonia</t>
  </si>
  <si>
    <t>SUNY at Purchase College</t>
  </si>
  <si>
    <t>Sacred Heart University</t>
  </si>
  <si>
    <t>Mission Viejo</t>
  </si>
  <si>
    <t>Saginaw Valley State University</t>
  </si>
  <si>
    <t>Saint Ambrose University</t>
  </si>
  <si>
    <t>Saint Anselm College</t>
  </si>
  <si>
    <t>Saint Augustine College</t>
  </si>
  <si>
    <t>Saint Augustine's University</t>
  </si>
  <si>
    <t>Saint Cloud State University</t>
  </si>
  <si>
    <t>Saint Cloud</t>
  </si>
  <si>
    <t>Saint Edward's University</t>
  </si>
  <si>
    <t>Saint Francis University</t>
  </si>
  <si>
    <t>Loretto</t>
  </si>
  <si>
    <t>Saint John Fisher College</t>
  </si>
  <si>
    <t>Saint Johns River State College</t>
  </si>
  <si>
    <t>Palatka</t>
  </si>
  <si>
    <t>Saint Johns University</t>
  </si>
  <si>
    <t>Collegeville</t>
  </si>
  <si>
    <t>Saint Joseph's College of Maine</t>
  </si>
  <si>
    <t>Standish</t>
  </si>
  <si>
    <t>Saint Joseph's University</t>
  </si>
  <si>
    <t>Saint Leo University</t>
  </si>
  <si>
    <t>Saint Leo</t>
  </si>
  <si>
    <t>Saint Louis University</t>
  </si>
  <si>
    <t>Saint Martin's University</t>
  </si>
  <si>
    <t>Lacey</t>
  </si>
  <si>
    <t>Saint Mary's College</t>
  </si>
  <si>
    <t>Saint Mary's College of California</t>
  </si>
  <si>
    <t>Moraga</t>
  </si>
  <si>
    <t>Saint Mary's University of Minnesota</t>
  </si>
  <si>
    <t>Saint Mary-of-the-Woods College</t>
  </si>
  <si>
    <t>Saint Mary of the Wo</t>
  </si>
  <si>
    <t>Saint Michael's College</t>
  </si>
  <si>
    <t>Colchester</t>
  </si>
  <si>
    <t>Saint Norbert College</t>
  </si>
  <si>
    <t>De Pere</t>
  </si>
  <si>
    <t>Saint Paul College</t>
  </si>
  <si>
    <t>Saint Peter's University</t>
  </si>
  <si>
    <t>Latrobe</t>
  </si>
  <si>
    <t>Saint Xavier University</t>
  </si>
  <si>
    <t>Salem College</t>
  </si>
  <si>
    <t>Salem Community College</t>
  </si>
  <si>
    <t>Carneys Point</t>
  </si>
  <si>
    <t>Salem State University</t>
  </si>
  <si>
    <t>Salina Area Technical College</t>
  </si>
  <si>
    <t>Salisbury University</t>
  </si>
  <si>
    <t>Salt Lake Community College</t>
  </si>
  <si>
    <t>Salt Lake City</t>
  </si>
  <si>
    <t>Salve Regina University</t>
  </si>
  <si>
    <t>Sam Houston State University</t>
  </si>
  <si>
    <t>Samford University</t>
  </si>
  <si>
    <t>Sampson Community College</t>
  </si>
  <si>
    <t>San Diego Christian College</t>
  </si>
  <si>
    <t>Santee</t>
  </si>
  <si>
    <t>San Diego City College</t>
  </si>
  <si>
    <t>San Diego Mesa College</t>
  </si>
  <si>
    <t>San Diego Miramar College</t>
  </si>
  <si>
    <t>San Francisco State University</t>
  </si>
  <si>
    <t>San Joaquin Delta College</t>
  </si>
  <si>
    <t>San Jose State University</t>
  </si>
  <si>
    <t>San Juan College</t>
  </si>
  <si>
    <t>Farmington</t>
  </si>
  <si>
    <t>Sandhills Community College</t>
  </si>
  <si>
    <t>Pinehurst</t>
  </si>
  <si>
    <t>Santa Ana</t>
  </si>
  <si>
    <t>Santa Barbara City College</t>
  </si>
  <si>
    <t>Santa Fe College</t>
  </si>
  <si>
    <t>Santa Fe Community College</t>
  </si>
  <si>
    <t>Santa Fe</t>
  </si>
  <si>
    <t>Santa Monica College</t>
  </si>
  <si>
    <t>Santa Monica</t>
  </si>
  <si>
    <t>Santa Rosa Junior College</t>
  </si>
  <si>
    <t>Santa Rosa</t>
  </si>
  <si>
    <t>Sarah Lawrence College</t>
  </si>
  <si>
    <t>Sauk Valley Community College</t>
  </si>
  <si>
    <t>Dixon</t>
  </si>
  <si>
    <t>Savannah State University</t>
  </si>
  <si>
    <t>Savannah Technical College</t>
  </si>
  <si>
    <t>Schenectady County Community College</t>
  </si>
  <si>
    <t>Schenectady</t>
  </si>
  <si>
    <t>Schoolcraft College</t>
  </si>
  <si>
    <t>Schreiner University</t>
  </si>
  <si>
    <t>Kerrville</t>
  </si>
  <si>
    <t>Scottsdale Community College</t>
  </si>
  <si>
    <t>Scripps College</t>
  </si>
  <si>
    <t>Seattle Pacific University</t>
  </si>
  <si>
    <t>Seattle University</t>
  </si>
  <si>
    <t>Seminole State College</t>
  </si>
  <si>
    <t>Seminole</t>
  </si>
  <si>
    <t>Seminole State College of Florida</t>
  </si>
  <si>
    <t>Seton Hall University</t>
  </si>
  <si>
    <t>South Orange</t>
  </si>
  <si>
    <t>Seton Hill University</t>
  </si>
  <si>
    <t>Greensburg</t>
  </si>
  <si>
    <t>Sewanee-The University of the South</t>
  </si>
  <si>
    <t>Sewanee</t>
  </si>
  <si>
    <t>Liberal</t>
  </si>
  <si>
    <t>Shasta College</t>
  </si>
  <si>
    <t>Redding</t>
  </si>
  <si>
    <t>Shaw University</t>
  </si>
  <si>
    <t>Shawnee Community College</t>
  </si>
  <si>
    <t>Ullin</t>
  </si>
  <si>
    <t>Shawnee State University</t>
  </si>
  <si>
    <t>Shelton State Community College</t>
  </si>
  <si>
    <t>Tuscaloosa</t>
  </si>
  <si>
    <t>Shenandoah University</t>
  </si>
  <si>
    <t>Winchester</t>
  </si>
  <si>
    <t>Shepherd University</t>
  </si>
  <si>
    <t>Shepherdstown</t>
  </si>
  <si>
    <t>Sheridan College</t>
  </si>
  <si>
    <t>Sheridan</t>
  </si>
  <si>
    <t>Shippensburg University of Pennsylvania</t>
  </si>
  <si>
    <t>Shippensburg</t>
  </si>
  <si>
    <t>Shoreline Community College</t>
  </si>
  <si>
    <t>Shoreline</t>
  </si>
  <si>
    <t>Shorter University</t>
  </si>
  <si>
    <t>Siena College</t>
  </si>
  <si>
    <t>Loudonville</t>
  </si>
  <si>
    <t>Siena Heights University</t>
  </si>
  <si>
    <t>Sierra College</t>
  </si>
  <si>
    <t>Rocklin</t>
  </si>
  <si>
    <t>Sierra Nevada College</t>
  </si>
  <si>
    <t>Incline Village</t>
  </si>
  <si>
    <t>Silver Lake College of the Holy Family</t>
  </si>
  <si>
    <t>Manitowoc</t>
  </si>
  <si>
    <t>Simmons College</t>
  </si>
  <si>
    <t>Simpson College</t>
  </si>
  <si>
    <t>Indianola</t>
  </si>
  <si>
    <t>Simpson University</t>
  </si>
  <si>
    <t>Sinclair Community College</t>
  </si>
  <si>
    <t>Skagit Valley College</t>
  </si>
  <si>
    <t>Skidmore College</t>
  </si>
  <si>
    <t>Skyline College</t>
  </si>
  <si>
    <t>San Bruno</t>
  </si>
  <si>
    <t>Slippery Rock University of Pennsylvania</t>
  </si>
  <si>
    <t>Slippery Rock</t>
  </si>
  <si>
    <t>Smith College</t>
  </si>
  <si>
    <t>Northampton</t>
  </si>
  <si>
    <t>Snead State Community College</t>
  </si>
  <si>
    <t>Boaz</t>
  </si>
  <si>
    <t>Snow College</t>
  </si>
  <si>
    <t>Ephraim</t>
  </si>
  <si>
    <t>Soka University of America</t>
  </si>
  <si>
    <t>Aliso Viejo</t>
  </si>
  <si>
    <t>Solano Community College</t>
  </si>
  <si>
    <t>Sonoma State University</t>
  </si>
  <si>
    <t>South Arkansas Community College</t>
  </si>
  <si>
    <t>South Carolina State University</t>
  </si>
  <si>
    <t>South Central College</t>
  </si>
  <si>
    <t>North Mankato</t>
  </si>
  <si>
    <t>South Dakota State University</t>
  </si>
  <si>
    <t>Brookings</t>
  </si>
  <si>
    <t>South Florida State College</t>
  </si>
  <si>
    <t>Avon Park</t>
  </si>
  <si>
    <t>South Georgia Technical College</t>
  </si>
  <si>
    <t>South Louisiana Community College</t>
  </si>
  <si>
    <t>Lafayette</t>
  </si>
  <si>
    <t>South Mountain Community College</t>
  </si>
  <si>
    <t>South Piedmont Community College</t>
  </si>
  <si>
    <t>Polkton</t>
  </si>
  <si>
    <t>South Plains College</t>
  </si>
  <si>
    <t>Levelland</t>
  </si>
  <si>
    <t>South Puget Sound Community College</t>
  </si>
  <si>
    <t>Olympia</t>
  </si>
  <si>
    <t>South Seattle College</t>
  </si>
  <si>
    <t>South Suburban College</t>
  </si>
  <si>
    <t>South Holland</t>
  </si>
  <si>
    <t>South Texas College</t>
  </si>
  <si>
    <t>McAllen</t>
  </si>
  <si>
    <t>Southeast Arkansas College</t>
  </si>
  <si>
    <t>Pine Bluff</t>
  </si>
  <si>
    <t>Southeast Community College Area</t>
  </si>
  <si>
    <t>Southeast Missouri State University</t>
  </si>
  <si>
    <t>Cape Girardeau</t>
  </si>
  <si>
    <t>Southeast Technical Institute</t>
  </si>
  <si>
    <t>Southeastern Baptist Theological Seminary</t>
  </si>
  <si>
    <t>Wake Forest</t>
  </si>
  <si>
    <t>West Burlington</t>
  </si>
  <si>
    <t>Whiteville</t>
  </si>
  <si>
    <t>Southeastern Illinois College</t>
  </si>
  <si>
    <t>Southeastern Louisiana University</t>
  </si>
  <si>
    <t>Southeastern Oklahoma State University</t>
  </si>
  <si>
    <t>Durant</t>
  </si>
  <si>
    <t>Vidalia</t>
  </si>
  <si>
    <t>Southeastern University</t>
  </si>
  <si>
    <t>Southern Adventist University</t>
  </si>
  <si>
    <t>Collegedale</t>
  </si>
  <si>
    <t>Southern Arkansas University Main Campus</t>
  </si>
  <si>
    <t>Magnolia</t>
  </si>
  <si>
    <t>Southern Arkansas University Tech</t>
  </si>
  <si>
    <t>Southern Connecticut State University</t>
  </si>
  <si>
    <t>Griffin</t>
  </si>
  <si>
    <t>Southern Illinois University-Carbondale</t>
  </si>
  <si>
    <t>Carbondale</t>
  </si>
  <si>
    <t>Southern Illinois University-Edwardsville</t>
  </si>
  <si>
    <t>Edwardsville</t>
  </si>
  <si>
    <t>Southern Maine Community College</t>
  </si>
  <si>
    <t>South Portland</t>
  </si>
  <si>
    <t>Southern Methodist University</t>
  </si>
  <si>
    <t>Southern Nazarene University</t>
  </si>
  <si>
    <t>Southern New Hampshire University</t>
  </si>
  <si>
    <t>Southern Oregon University</t>
  </si>
  <si>
    <t>Southern State Community College</t>
  </si>
  <si>
    <t>Southern Union State Community College</t>
  </si>
  <si>
    <t>Wadley</t>
  </si>
  <si>
    <t>Southern University at New Orleans</t>
  </si>
  <si>
    <t>Southern University at Shreveport</t>
  </si>
  <si>
    <t>Southern Utah University</t>
  </si>
  <si>
    <t>Cedar City</t>
  </si>
  <si>
    <t>Southern Vermont College</t>
  </si>
  <si>
    <t>Southern Virginia University</t>
  </si>
  <si>
    <t>Buena Vista</t>
  </si>
  <si>
    <t>Southern Wesleyan University</t>
  </si>
  <si>
    <t>Central</t>
  </si>
  <si>
    <t>Southern West Virginia Community and Technical College</t>
  </si>
  <si>
    <t>Mount Gay</t>
  </si>
  <si>
    <t>Southside Virginia Community College</t>
  </si>
  <si>
    <t>Alberta</t>
  </si>
  <si>
    <t>Southwest Baptist University</t>
  </si>
  <si>
    <t>Bolivar</t>
  </si>
  <si>
    <t>Southwest Minnesota State University</t>
  </si>
  <si>
    <t>Southwest Mississippi Community College</t>
  </si>
  <si>
    <t>Summit</t>
  </si>
  <si>
    <t>Southwest Tennessee Community College</t>
  </si>
  <si>
    <t>Southwest Texas Junior College</t>
  </si>
  <si>
    <t>Uvalde</t>
  </si>
  <si>
    <t>Southwest Virginia Community College</t>
  </si>
  <si>
    <t>Richlands</t>
  </si>
  <si>
    <t>Southwest Wisconsin Technical College</t>
  </si>
  <si>
    <t>Fennimore</t>
  </si>
  <si>
    <t>Southwestern Adventist University</t>
  </si>
  <si>
    <t>Southwestern Assemblies of God University</t>
  </si>
  <si>
    <t>Waxahachie</t>
  </si>
  <si>
    <t>Southwestern Christian University</t>
  </si>
  <si>
    <t>Chula Vista</t>
  </si>
  <si>
    <t>Winfield</t>
  </si>
  <si>
    <t>Creston</t>
  </si>
  <si>
    <t>Sylva</t>
  </si>
  <si>
    <t>Southwestern Illinois College</t>
  </si>
  <si>
    <t>Belleville</t>
  </si>
  <si>
    <t>Southwestern Michigan College</t>
  </si>
  <si>
    <t>Dowagiac</t>
  </si>
  <si>
    <t>Southwestern Oklahoma State University</t>
  </si>
  <si>
    <t>Weatherford</t>
  </si>
  <si>
    <t>Southwestern Oregon Community College</t>
  </si>
  <si>
    <t>Coos Bay</t>
  </si>
  <si>
    <t>Southwestern University</t>
  </si>
  <si>
    <t>Spalding University</t>
  </si>
  <si>
    <t>Spartanburg Community College</t>
  </si>
  <si>
    <t>Spelman College</t>
  </si>
  <si>
    <t>Spokane Community College</t>
  </si>
  <si>
    <t>Spokane Falls Community College</t>
  </si>
  <si>
    <t>Spoon River College</t>
  </si>
  <si>
    <t>Spring Arbor University</t>
  </si>
  <si>
    <t>Spring Arbor</t>
  </si>
  <si>
    <t>Spring Hill College</t>
  </si>
  <si>
    <t>Springfield College</t>
  </si>
  <si>
    <t>Springfield Technical Community College</t>
  </si>
  <si>
    <t>Laurinburg</t>
  </si>
  <si>
    <t>St Bonaventure University</t>
  </si>
  <si>
    <t>Saint Bonaventure</t>
  </si>
  <si>
    <t>St Catherine University</t>
  </si>
  <si>
    <t>St Charles Community College</t>
  </si>
  <si>
    <t>Cottleville</t>
  </si>
  <si>
    <t>St Clair County Community College</t>
  </si>
  <si>
    <t>St Cloud Technical and Community College</t>
  </si>
  <si>
    <t>St Francis College</t>
  </si>
  <si>
    <t>Brooklyn Heights</t>
  </si>
  <si>
    <t>Annapolis</t>
  </si>
  <si>
    <t>St John's University-New York</t>
  </si>
  <si>
    <t>St Lawrence University</t>
  </si>
  <si>
    <t>St Mary's College of Maryland</t>
  </si>
  <si>
    <t>St. Mary's City</t>
  </si>
  <si>
    <t>St Olaf College</t>
  </si>
  <si>
    <t>St Petersburg College</t>
  </si>
  <si>
    <t>St Thomas University</t>
  </si>
  <si>
    <t>St. Thomas Aquinas College</t>
  </si>
  <si>
    <t>Sparkill</t>
  </si>
  <si>
    <t>Stanford University</t>
  </si>
  <si>
    <t>Stanford</t>
  </si>
  <si>
    <t>Stanly Community College</t>
  </si>
  <si>
    <t>Albemarle</t>
  </si>
  <si>
    <t>Stark State College</t>
  </si>
  <si>
    <t>North Canton</t>
  </si>
  <si>
    <t>State College of Florida-Manatee-Sarasota</t>
  </si>
  <si>
    <t>Bradenton</t>
  </si>
  <si>
    <t>State Fair Community College</t>
  </si>
  <si>
    <t>Sedalia</t>
  </si>
  <si>
    <t>State Technical College of Missouri</t>
  </si>
  <si>
    <t>Linn</t>
  </si>
  <si>
    <t>State University of New York at New Paltz</t>
  </si>
  <si>
    <t>New Paltz</t>
  </si>
  <si>
    <t>Stephen F Austin State University</t>
  </si>
  <si>
    <t>Nacogdoches</t>
  </si>
  <si>
    <t>Stephens College</t>
  </si>
  <si>
    <t>Craftsbury Common</t>
  </si>
  <si>
    <t>Stetson University</t>
  </si>
  <si>
    <t>DeLand</t>
  </si>
  <si>
    <t>Stevens Institute of Technology</t>
  </si>
  <si>
    <t>Hoboken</t>
  </si>
  <si>
    <t>Orem</t>
  </si>
  <si>
    <t>Logan</t>
  </si>
  <si>
    <t>Stevenson University</t>
  </si>
  <si>
    <t>Stevenson</t>
  </si>
  <si>
    <t>Stillman College</t>
  </si>
  <si>
    <t>Stockton University</t>
  </si>
  <si>
    <t>Galloway</t>
  </si>
  <si>
    <t>Stonehill College</t>
  </si>
  <si>
    <t>Stony Brook University</t>
  </si>
  <si>
    <t>Stony Brook</t>
  </si>
  <si>
    <t>Suffolk County Community College</t>
  </si>
  <si>
    <t>Selden</t>
  </si>
  <si>
    <t>Suffolk University</t>
  </si>
  <si>
    <t>Sul Ross State University</t>
  </si>
  <si>
    <t>Alpine</t>
  </si>
  <si>
    <t>Sullivan County Community College</t>
  </si>
  <si>
    <t>Loch Sheldrake</t>
  </si>
  <si>
    <t>Surry Community College</t>
  </si>
  <si>
    <t>Dobson</t>
  </si>
  <si>
    <t>Susquehanna University</t>
  </si>
  <si>
    <t>Selinsgrove</t>
  </si>
  <si>
    <t>Sussex County Community College</t>
  </si>
  <si>
    <t>Swarthmore College</t>
  </si>
  <si>
    <t>Swarthmore</t>
  </si>
  <si>
    <t>Sweet Briar College</t>
  </si>
  <si>
    <t>Sweet Briar</t>
  </si>
  <si>
    <t>Syracuse University</t>
  </si>
  <si>
    <t>Tabor College</t>
  </si>
  <si>
    <t>Tacoma Community College</t>
  </si>
  <si>
    <t>Taft College</t>
  </si>
  <si>
    <t>Taft</t>
  </si>
  <si>
    <t>Talladega College</t>
  </si>
  <si>
    <t>Talladega</t>
  </si>
  <si>
    <t>Tallahassee Community College</t>
  </si>
  <si>
    <t>Tarleton State University</t>
  </si>
  <si>
    <t>Stephenville</t>
  </si>
  <si>
    <t>Tarrant County College District</t>
  </si>
  <si>
    <t>Fort Worth</t>
  </si>
  <si>
    <t>Taylor University</t>
  </si>
  <si>
    <t>Upland</t>
  </si>
  <si>
    <t>Teachers College at Columbia University</t>
  </si>
  <si>
    <t>Technical College of the Lowcountry</t>
  </si>
  <si>
    <t>Beaufort</t>
  </si>
  <si>
    <t>Temple College</t>
  </si>
  <si>
    <t>Temple</t>
  </si>
  <si>
    <t>Temple University</t>
  </si>
  <si>
    <t>Tennessee State University</t>
  </si>
  <si>
    <t>Tennessee Technological University</t>
  </si>
  <si>
    <t>Cookeville</t>
  </si>
  <si>
    <t>Terra State Community College</t>
  </si>
  <si>
    <t>Texarkana College</t>
  </si>
  <si>
    <t>Texarkana</t>
  </si>
  <si>
    <t>Texas A &amp; M International University</t>
  </si>
  <si>
    <t>Texas A &amp; M University-Central Texas</t>
  </si>
  <si>
    <t>Texas A &amp; M University-College Station</t>
  </si>
  <si>
    <t>College Station</t>
  </si>
  <si>
    <t>Texas A &amp; M University-Commerce</t>
  </si>
  <si>
    <t>Commerce</t>
  </si>
  <si>
    <t>Texas A &amp; M University-Corpus Christi</t>
  </si>
  <si>
    <t>Texas A &amp; M University-Kingsville</t>
  </si>
  <si>
    <t>Kingsville</t>
  </si>
  <si>
    <t>Texas Christian University</t>
  </si>
  <si>
    <t>Texas College</t>
  </si>
  <si>
    <t>Tyler</t>
  </si>
  <si>
    <t>Texas Lutheran University</t>
  </si>
  <si>
    <t>Seguin</t>
  </si>
  <si>
    <t>Texas Southern University</t>
  </si>
  <si>
    <t>Texas State University</t>
  </si>
  <si>
    <t>Texas Tech University</t>
  </si>
  <si>
    <t>Texas Wesleyan University</t>
  </si>
  <si>
    <t>Texas Woman's University</t>
  </si>
  <si>
    <t>Denton</t>
  </si>
  <si>
    <t>Thaddeus Stevens College of Technology</t>
  </si>
  <si>
    <t>Vallejo</t>
  </si>
  <si>
    <t>The College of Idaho</t>
  </si>
  <si>
    <t>The College of New Jersey</t>
  </si>
  <si>
    <t>Ewing</t>
  </si>
  <si>
    <t>The College of New Rochelle</t>
  </si>
  <si>
    <t>The College of Saint Rose</t>
  </si>
  <si>
    <t>The College of Saint Scholastica</t>
  </si>
  <si>
    <t>The College of Wooster</t>
  </si>
  <si>
    <t>The Evergreen State College</t>
  </si>
  <si>
    <t>The New School</t>
  </si>
  <si>
    <t>The University of Alabama</t>
  </si>
  <si>
    <t>The University of Findlay</t>
  </si>
  <si>
    <t>Findlay</t>
  </si>
  <si>
    <t>The University of Montana</t>
  </si>
  <si>
    <t>Missoula</t>
  </si>
  <si>
    <t>The University of Montana-Western</t>
  </si>
  <si>
    <t>Dillon</t>
  </si>
  <si>
    <t>The University of Tampa</t>
  </si>
  <si>
    <t>The University of Tennessee-Chattanooga</t>
  </si>
  <si>
    <t>The University of Tennessee-Knoxville</t>
  </si>
  <si>
    <t>The University of Tennessee-Martin</t>
  </si>
  <si>
    <t>Martin</t>
  </si>
  <si>
    <t>The University of Virginia's College at Wise</t>
  </si>
  <si>
    <t>Wise</t>
  </si>
  <si>
    <t>The University of West Florida</t>
  </si>
  <si>
    <t>Thiel College</t>
  </si>
  <si>
    <t>Thomas Aquinas College</t>
  </si>
  <si>
    <t>Santa Paula</t>
  </si>
  <si>
    <t>Thomas College</t>
  </si>
  <si>
    <t>Thomas Edison State University</t>
  </si>
  <si>
    <t>Thomas More College</t>
  </si>
  <si>
    <t>Crestview Hills</t>
  </si>
  <si>
    <t>Thomas More College of Liberal Arts</t>
  </si>
  <si>
    <t>Merrimack</t>
  </si>
  <si>
    <t>Thomas Nelson Community College</t>
  </si>
  <si>
    <t>Thomas University</t>
  </si>
  <si>
    <t>Norwich</t>
  </si>
  <si>
    <t>Poplar Bluff</t>
  </si>
  <si>
    <t>Tidewater Community College</t>
  </si>
  <si>
    <t>Tiffin University</t>
  </si>
  <si>
    <t>Tillamook Bay Community College</t>
  </si>
  <si>
    <t>Tillamook</t>
  </si>
  <si>
    <t>Toccoa Falls College</t>
  </si>
  <si>
    <t>Toccoa Falls</t>
  </si>
  <si>
    <t>Tompkins Cortland Community College</t>
  </si>
  <si>
    <t>Dryden</t>
  </si>
  <si>
    <t>Tougaloo College</t>
  </si>
  <si>
    <t>Tougaloo</t>
  </si>
  <si>
    <t>Touro College</t>
  </si>
  <si>
    <t>Touro University Worldwide</t>
  </si>
  <si>
    <t>Los Alamitos</t>
  </si>
  <si>
    <t>Towson University</t>
  </si>
  <si>
    <t>Towson</t>
  </si>
  <si>
    <t>Transylvania University</t>
  </si>
  <si>
    <t>Treasure Valley Community College</t>
  </si>
  <si>
    <t>Ontario</t>
  </si>
  <si>
    <t>Trevecca Nazarene University</t>
  </si>
  <si>
    <t>Tri-County Community College</t>
  </si>
  <si>
    <t>Murphy</t>
  </si>
  <si>
    <t>Tri-County Technical College</t>
  </si>
  <si>
    <t>Trident Technical College</t>
  </si>
  <si>
    <t>Angola</t>
  </si>
  <si>
    <t>Trinidad State Junior College</t>
  </si>
  <si>
    <t>Trinidad</t>
  </si>
  <si>
    <t>Trinity Christian College</t>
  </si>
  <si>
    <t>Palos Heights</t>
  </si>
  <si>
    <t>Trinity College</t>
  </si>
  <si>
    <t>Trinity International University-Florida</t>
  </si>
  <si>
    <t>Trinity International University-Illinois</t>
  </si>
  <si>
    <t>Deerfield</t>
  </si>
  <si>
    <t>Trinity University</t>
  </si>
  <si>
    <t>Trinity Valley Community College</t>
  </si>
  <si>
    <t>Trinity Washington University</t>
  </si>
  <si>
    <t>Triton College</t>
  </si>
  <si>
    <t>River Grove</t>
  </si>
  <si>
    <t>Troy University</t>
  </si>
  <si>
    <t>Truckee Meadows Community College</t>
  </si>
  <si>
    <t>Reno</t>
  </si>
  <si>
    <t>Truman State University</t>
  </si>
  <si>
    <t>Kirksville</t>
  </si>
  <si>
    <t>Tufts University</t>
  </si>
  <si>
    <t>Medford</t>
  </si>
  <si>
    <t>Tulane University of Louisiana</t>
  </si>
  <si>
    <t>Tulsa Community College</t>
  </si>
  <si>
    <t>Tunxis Community College</t>
  </si>
  <si>
    <t>Tusculum College</t>
  </si>
  <si>
    <t>Greeneville</t>
  </si>
  <si>
    <t>Tuskegee University</t>
  </si>
  <si>
    <t>Tuskegee</t>
  </si>
  <si>
    <t>Tyler Junior College</t>
  </si>
  <si>
    <t>Ulster County Community College</t>
  </si>
  <si>
    <t>Stone Ridge</t>
  </si>
  <si>
    <t>Umpqua Community College</t>
  </si>
  <si>
    <t>Roseburg</t>
  </si>
  <si>
    <t>Barbourville</t>
  </si>
  <si>
    <t>Cranford</t>
  </si>
  <si>
    <t>Union Institute &amp; University</t>
  </si>
  <si>
    <t>United States Air Force Academy</t>
  </si>
  <si>
    <t>United States Coast Guard Academy</t>
  </si>
  <si>
    <t>United States Merchant Marine Academy</t>
  </si>
  <si>
    <t>Kings Point</t>
  </si>
  <si>
    <t>United States Military Academy</t>
  </si>
  <si>
    <t>West  Point</t>
  </si>
  <si>
    <t>United States Naval Academy</t>
  </si>
  <si>
    <t>Unity College</t>
  </si>
  <si>
    <t>Unity</t>
  </si>
  <si>
    <t>University at Buffalo</t>
  </si>
  <si>
    <t>Akron</t>
  </si>
  <si>
    <t>University of Alabama at Birmingham</t>
  </si>
  <si>
    <t>University of Alabama in Huntsville</t>
  </si>
  <si>
    <t>University of Alaska Anchorage</t>
  </si>
  <si>
    <t>University of Alaska Fairbanks</t>
  </si>
  <si>
    <t>Fairbanks</t>
  </si>
  <si>
    <t>University of Alaska Southeast</t>
  </si>
  <si>
    <t>Juneau</t>
  </si>
  <si>
    <t>University of Arkansas</t>
  </si>
  <si>
    <t>University of Arkansas Community College-Batesville</t>
  </si>
  <si>
    <t>University of Arkansas Community College-Hope</t>
  </si>
  <si>
    <t>Hope</t>
  </si>
  <si>
    <t>University of Arkansas Community College-Morrilton</t>
  </si>
  <si>
    <t>Morrilton</t>
  </si>
  <si>
    <t>University of Arkansas at Little Rock</t>
  </si>
  <si>
    <t>University of Arkansas at Monticello</t>
  </si>
  <si>
    <t>Monticello</t>
  </si>
  <si>
    <t>University of Arkansas at Pine Bluff</t>
  </si>
  <si>
    <t>University of Arkansas-Fort Smith</t>
  </si>
  <si>
    <t>Fort Smith</t>
  </si>
  <si>
    <t>University of Baltimore</t>
  </si>
  <si>
    <t>University of Bridgeport</t>
  </si>
  <si>
    <t>University of California-Berkeley</t>
  </si>
  <si>
    <t>University of California-Davis</t>
  </si>
  <si>
    <t>Davis</t>
  </si>
  <si>
    <t>University of California-Irvine</t>
  </si>
  <si>
    <t>University of California-Los Angeles</t>
  </si>
  <si>
    <t>University of California-Merced</t>
  </si>
  <si>
    <t>University of California-Riverside</t>
  </si>
  <si>
    <t>University of California-San Diego</t>
  </si>
  <si>
    <t>University of California-Santa Barbara</t>
  </si>
  <si>
    <t>University of California-Santa Cruz</t>
  </si>
  <si>
    <t>Santa Cruz</t>
  </si>
  <si>
    <t>University of Central Arkansas</t>
  </si>
  <si>
    <t>University of Central Florida</t>
  </si>
  <si>
    <t>Warrensburg</t>
  </si>
  <si>
    <t>University of Central Oklahoma</t>
  </si>
  <si>
    <t>University of Charleston</t>
  </si>
  <si>
    <t>University of Chicago</t>
  </si>
  <si>
    <t>University of Colorado Boulder</t>
  </si>
  <si>
    <t>University of Colorado Colorado Springs</t>
  </si>
  <si>
    <t>Storrs</t>
  </si>
  <si>
    <t>University of Dallas</t>
  </si>
  <si>
    <t>University of Dayton</t>
  </si>
  <si>
    <t>University of Delaware</t>
  </si>
  <si>
    <t>University of Denver</t>
  </si>
  <si>
    <t>University of Detroit Mercy</t>
  </si>
  <si>
    <t>University of Dubuque</t>
  </si>
  <si>
    <t>University of Evansville</t>
  </si>
  <si>
    <t>Evansville</t>
  </si>
  <si>
    <t>University of Florida</t>
  </si>
  <si>
    <t>University of Georgia</t>
  </si>
  <si>
    <t>University of Hartford</t>
  </si>
  <si>
    <t>West Hartford</t>
  </si>
  <si>
    <t>University of Hawaii Maui College</t>
  </si>
  <si>
    <t>Kahului</t>
  </si>
  <si>
    <t>University of Hawaii at Hilo</t>
  </si>
  <si>
    <t>University of Hawaii at Manoa</t>
  </si>
  <si>
    <t>University of Hawaii-West Oahu</t>
  </si>
  <si>
    <t>Kapolei</t>
  </si>
  <si>
    <t>University of Holy Cross</t>
  </si>
  <si>
    <t>University of Houston</t>
  </si>
  <si>
    <t>University of Houston-Clear Lake</t>
  </si>
  <si>
    <t>University of Houston-Downtown</t>
  </si>
  <si>
    <t>University of Houston-Victoria</t>
  </si>
  <si>
    <t>Victoria</t>
  </si>
  <si>
    <t>University of Idaho</t>
  </si>
  <si>
    <t>Moscow</t>
  </si>
  <si>
    <t>University of Illinois at Chicago</t>
  </si>
  <si>
    <t>University of Illinois at Springfield</t>
  </si>
  <si>
    <t>University of Illinois at Urbana-Champaign</t>
  </si>
  <si>
    <t>University of Indianapolis</t>
  </si>
  <si>
    <t>University of Iowa</t>
  </si>
  <si>
    <t>Iowa City</t>
  </si>
  <si>
    <t>University of Jamestown</t>
  </si>
  <si>
    <t>University of Kansas</t>
  </si>
  <si>
    <t>Lawrence</t>
  </si>
  <si>
    <t>University of Kentucky</t>
  </si>
  <si>
    <t>University of La Verne</t>
  </si>
  <si>
    <t>La Verne</t>
  </si>
  <si>
    <t>University of Louisiana at Lafayette</t>
  </si>
  <si>
    <t>University of Louisiana at Monroe</t>
  </si>
  <si>
    <t>University of Louisville</t>
  </si>
  <si>
    <t>University of Maine</t>
  </si>
  <si>
    <t>Orono</t>
  </si>
  <si>
    <t>University of Maine at Augusta</t>
  </si>
  <si>
    <t>University of Maine at Farmington</t>
  </si>
  <si>
    <t>University of Maine at Fort Kent</t>
  </si>
  <si>
    <t>Fort Kent</t>
  </si>
  <si>
    <t>University of Maine at Machias</t>
  </si>
  <si>
    <t>Machias</t>
  </si>
  <si>
    <t>University of Maine at Presque Isle</t>
  </si>
  <si>
    <t>University of Mary</t>
  </si>
  <si>
    <t>University of Mary Hardin-Baylor</t>
  </si>
  <si>
    <t>Belton</t>
  </si>
  <si>
    <t>University of Mary Washington</t>
  </si>
  <si>
    <t>Fredericksburg</t>
  </si>
  <si>
    <t>University of Maryland Eastern Shore</t>
  </si>
  <si>
    <t>Princess Anne</t>
  </si>
  <si>
    <t>University of Maryland-Baltimore County</t>
  </si>
  <si>
    <t>University of Maryland-College Park</t>
  </si>
  <si>
    <t>College Park</t>
  </si>
  <si>
    <t>University of Maryland-University College</t>
  </si>
  <si>
    <t>Adelphi</t>
  </si>
  <si>
    <t>University of Massachusetts-Amherst</t>
  </si>
  <si>
    <t>University of Massachusetts-Boston</t>
  </si>
  <si>
    <t>University of Massachusetts-Dartmouth</t>
  </si>
  <si>
    <t>North Dartmouth</t>
  </si>
  <si>
    <t>University of Massachusetts-Lowell</t>
  </si>
  <si>
    <t>Lowell</t>
  </si>
  <si>
    <t>University of Memphis</t>
  </si>
  <si>
    <t>University of Miami</t>
  </si>
  <si>
    <t>Coral Gables</t>
  </si>
  <si>
    <t>University of Michigan-Ann Arbor</t>
  </si>
  <si>
    <t>University of Michigan-Dearborn</t>
  </si>
  <si>
    <t>University of Michigan-Flint</t>
  </si>
  <si>
    <t>University of Minnesota-Crookston</t>
  </si>
  <si>
    <t>Crookston</t>
  </si>
  <si>
    <t>University of Minnesota-Duluth</t>
  </si>
  <si>
    <t>University of Minnesota-Morris</t>
  </si>
  <si>
    <t>Morris</t>
  </si>
  <si>
    <t>University of Mississippi</t>
  </si>
  <si>
    <t>University</t>
  </si>
  <si>
    <t>University of Missouri-Columbia</t>
  </si>
  <si>
    <t>University of Missouri-Kansas City</t>
  </si>
  <si>
    <t>University of Missouri-St Louis</t>
  </si>
  <si>
    <t>University of Mobile</t>
  </si>
  <si>
    <t>University of Montevallo</t>
  </si>
  <si>
    <t>Montevallo</t>
  </si>
  <si>
    <t>University of Mount Olive</t>
  </si>
  <si>
    <t>Mount Olive</t>
  </si>
  <si>
    <t>University of Mount Union</t>
  </si>
  <si>
    <t>Alliance</t>
  </si>
  <si>
    <t>University of Nebraska at Kearney</t>
  </si>
  <si>
    <t>Kearney</t>
  </si>
  <si>
    <t>University of Nebraska at Omaha</t>
  </si>
  <si>
    <t>University of Nebraska-Lincoln</t>
  </si>
  <si>
    <t>University of Nevada-Las Vegas</t>
  </si>
  <si>
    <t>University of Nevada-Reno</t>
  </si>
  <si>
    <t>University of New England</t>
  </si>
  <si>
    <t>Biddeford</t>
  </si>
  <si>
    <t>University of New Hampshire at Manchester</t>
  </si>
  <si>
    <t>University of New Hampshire-Main Campus</t>
  </si>
  <si>
    <t>University of New Haven</t>
  </si>
  <si>
    <t>West Haven</t>
  </si>
  <si>
    <t>University of New Orleans</t>
  </si>
  <si>
    <t>University of North Alabama</t>
  </si>
  <si>
    <t>University of North Carolina Wilmington</t>
  </si>
  <si>
    <t>University of North Carolina at Asheville</t>
  </si>
  <si>
    <t>University of North Carolina at Chapel Hill</t>
  </si>
  <si>
    <t>Chapel Hill</t>
  </si>
  <si>
    <t>University of North Carolina at Charlotte</t>
  </si>
  <si>
    <t>University of North Carolina at Greensboro</t>
  </si>
  <si>
    <t>University of North Carolina at Pembroke</t>
  </si>
  <si>
    <t>Pembroke</t>
  </si>
  <si>
    <t>University of North Dakota</t>
  </si>
  <si>
    <t>Grand Forks</t>
  </si>
  <si>
    <t>University of North Florida</t>
  </si>
  <si>
    <t>Dahlonega</t>
  </si>
  <si>
    <t>University of North Texas</t>
  </si>
  <si>
    <t>University of North Texas at Dallas</t>
  </si>
  <si>
    <t>University of Northern Colorado</t>
  </si>
  <si>
    <t>University of Northern Iowa</t>
  </si>
  <si>
    <t>Cedar Falls</t>
  </si>
  <si>
    <t>University of Northwestern Ohio</t>
  </si>
  <si>
    <t>University of Northwestern-St Paul</t>
  </si>
  <si>
    <t>University of Notre Dame</t>
  </si>
  <si>
    <t>University of Oklahoma-Norman Campus</t>
  </si>
  <si>
    <t>Norman</t>
  </si>
  <si>
    <t>University of Oregon</t>
  </si>
  <si>
    <t>University of Pennsylvania</t>
  </si>
  <si>
    <t>University of Pikeville</t>
  </si>
  <si>
    <t>Pikeville</t>
  </si>
  <si>
    <t>University of Portland</t>
  </si>
  <si>
    <t>University of Puget Sound</t>
  </si>
  <si>
    <t>University of Redlands</t>
  </si>
  <si>
    <t>Redlands</t>
  </si>
  <si>
    <t>University of Rhode Island</t>
  </si>
  <si>
    <t>Kingston</t>
  </si>
  <si>
    <t>University of Richmond</t>
  </si>
  <si>
    <t>University of Richmo</t>
  </si>
  <si>
    <t>University of Rio Grande</t>
  </si>
  <si>
    <t>Rio Grande</t>
  </si>
  <si>
    <t>University of Rochester</t>
  </si>
  <si>
    <t>University of Saint Francis-Fort Wayne</t>
  </si>
  <si>
    <t>University of Saint Joseph</t>
  </si>
  <si>
    <t>University of Saint Mary</t>
  </si>
  <si>
    <t>Leavenworth</t>
  </si>
  <si>
    <t>University of San Diego</t>
  </si>
  <si>
    <t>University of San Francisco</t>
  </si>
  <si>
    <t>University of Science and Arts of Oklahoma</t>
  </si>
  <si>
    <t>Chickasha</t>
  </si>
  <si>
    <t>University of Scranton</t>
  </si>
  <si>
    <t>University of Sioux Falls</t>
  </si>
  <si>
    <t>University of South Alabama</t>
  </si>
  <si>
    <t>University of South Carolina-Aiken</t>
  </si>
  <si>
    <t>Aiken</t>
  </si>
  <si>
    <t>University of South Carolina-Beaufort</t>
  </si>
  <si>
    <t>University of South Carolina-Columbia</t>
  </si>
  <si>
    <t>University of South Carolina-Lancaster</t>
  </si>
  <si>
    <t>University of South Carolina-Salkehatchie</t>
  </si>
  <si>
    <t>University of South Carolina-Sumter</t>
  </si>
  <si>
    <t>University of South Carolina-Union</t>
  </si>
  <si>
    <t>University of South Carolina-Upstate</t>
  </si>
  <si>
    <t>University of South Dakota</t>
  </si>
  <si>
    <t>Vermillion</t>
  </si>
  <si>
    <t>University of Southern California</t>
  </si>
  <si>
    <t>University of Southern Indiana</t>
  </si>
  <si>
    <t>University of Southern Maine</t>
  </si>
  <si>
    <t>University of Southern Mississippi</t>
  </si>
  <si>
    <t>Hattiesburg</t>
  </si>
  <si>
    <t>University of St Francis</t>
  </si>
  <si>
    <t>Toledo</t>
  </si>
  <si>
    <t>University of Tulsa</t>
  </si>
  <si>
    <t>University of Utah</t>
  </si>
  <si>
    <t>University of Valley Forge</t>
  </si>
  <si>
    <t>Phoenixville</t>
  </si>
  <si>
    <t>University of Vermont</t>
  </si>
  <si>
    <t>University of Virginia-Main Campus</t>
  </si>
  <si>
    <t>University of West Alabama</t>
  </si>
  <si>
    <t>Livingston</t>
  </si>
  <si>
    <t>University of West Georgia</t>
  </si>
  <si>
    <t>Carrollton</t>
  </si>
  <si>
    <t>University of Wisconsin-Eau Claire</t>
  </si>
  <si>
    <t>University of Wisconsin-Green Bay</t>
  </si>
  <si>
    <t>University of Wisconsin-La Crosse</t>
  </si>
  <si>
    <t>La Crosse</t>
  </si>
  <si>
    <t>University of Wisconsin-Madison</t>
  </si>
  <si>
    <t>University of Wisconsin-Oshkosh</t>
  </si>
  <si>
    <t>Oshkosh</t>
  </si>
  <si>
    <t>University of Wisconsin-Platteville</t>
  </si>
  <si>
    <t>Platteville</t>
  </si>
  <si>
    <t>University of Wisconsin-River Falls</t>
  </si>
  <si>
    <t>River Falls</t>
  </si>
  <si>
    <t>University of Wisconsin-Stevens Point</t>
  </si>
  <si>
    <t>Stevens Point</t>
  </si>
  <si>
    <t>University of Wisconsin-Stout</t>
  </si>
  <si>
    <t>Menomonie</t>
  </si>
  <si>
    <t>University of Wisconsin-Superior</t>
  </si>
  <si>
    <t>Superior</t>
  </si>
  <si>
    <t>University of Wisconsin-Whitewater</t>
  </si>
  <si>
    <t>Whitewater</t>
  </si>
  <si>
    <t>University of Wyoming</t>
  </si>
  <si>
    <t>Laramie</t>
  </si>
  <si>
    <t>University of the Cumberlands</t>
  </si>
  <si>
    <t>University of the Incarnate Word</t>
  </si>
  <si>
    <t>University of the Ozarks</t>
  </si>
  <si>
    <t>University of the Pacific</t>
  </si>
  <si>
    <t>University of the Southwest</t>
  </si>
  <si>
    <t>University of the West</t>
  </si>
  <si>
    <t>Rosemead</t>
  </si>
  <si>
    <t>Upper Iowa University</t>
  </si>
  <si>
    <t>Urbana University</t>
  </si>
  <si>
    <t>Urbana</t>
  </si>
  <si>
    <t>Ursinus College</t>
  </si>
  <si>
    <t>Ursuline College</t>
  </si>
  <si>
    <t>Pepper Pike</t>
  </si>
  <si>
    <t>Utah Valley University</t>
  </si>
  <si>
    <t>Utica College</t>
  </si>
  <si>
    <t>Valdosta State University</t>
  </si>
  <si>
    <t>Valdosta</t>
  </si>
  <si>
    <t>Valencia College</t>
  </si>
  <si>
    <t>Valley City State University</t>
  </si>
  <si>
    <t>Valley City</t>
  </si>
  <si>
    <t>Valparaiso University</t>
  </si>
  <si>
    <t>Valparaiso</t>
  </si>
  <si>
    <t>Vance-Granville Community College</t>
  </si>
  <si>
    <t>Vanderbilt University</t>
  </si>
  <si>
    <t>Vanguard University of Southern California</t>
  </si>
  <si>
    <t>Vassar College</t>
  </si>
  <si>
    <t>Vaughn College of Aeronautics and Technology</t>
  </si>
  <si>
    <t>Flushing</t>
  </si>
  <si>
    <t>Ventura</t>
  </si>
  <si>
    <t>Vermilion Community College</t>
  </si>
  <si>
    <t>Ely</t>
  </si>
  <si>
    <t>Vermont College of Fine Arts</t>
  </si>
  <si>
    <t>Montpelier</t>
  </si>
  <si>
    <t>Vernon College</t>
  </si>
  <si>
    <t>Vernon</t>
  </si>
  <si>
    <t>Victor Valley College</t>
  </si>
  <si>
    <t>Victorville</t>
  </si>
  <si>
    <t>Victoria College</t>
  </si>
  <si>
    <t>Villa Maria College</t>
  </si>
  <si>
    <t>Villanova University</t>
  </si>
  <si>
    <t>Villanova</t>
  </si>
  <si>
    <t>Vincennes University</t>
  </si>
  <si>
    <t>Vincennes</t>
  </si>
  <si>
    <t>Virginia Commonwealth University</t>
  </si>
  <si>
    <t>Virginia Highlands Community College</t>
  </si>
  <si>
    <t>Abingdon</t>
  </si>
  <si>
    <t>Virginia Military Institute</t>
  </si>
  <si>
    <t>Virginia Polytechnic Institute and State University</t>
  </si>
  <si>
    <t>Blacksburg</t>
  </si>
  <si>
    <t>Virginia State University</t>
  </si>
  <si>
    <t>Virginia Union University</t>
  </si>
  <si>
    <t>Virginia Western Community College</t>
  </si>
  <si>
    <t>Viterbo University</t>
  </si>
  <si>
    <t>Volunteer State Community College</t>
  </si>
  <si>
    <t>Gallatin</t>
  </si>
  <si>
    <t>Voorhees College</t>
  </si>
  <si>
    <t>Wabash College</t>
  </si>
  <si>
    <t>Crawfordsville</t>
  </si>
  <si>
    <t>Wabash Valley College</t>
  </si>
  <si>
    <t>Mount Carmel</t>
  </si>
  <si>
    <t>Wagner College</t>
  </si>
  <si>
    <t>Wake Forest University</t>
  </si>
  <si>
    <t>Wake Technical Community College</t>
  </si>
  <si>
    <t>Walla Walla Community College</t>
  </si>
  <si>
    <t>Walla Walla</t>
  </si>
  <si>
    <t>Walla Walla University</t>
  </si>
  <si>
    <t>College Place</t>
  </si>
  <si>
    <t>Walsh University</t>
  </si>
  <si>
    <t>Walters State Community College</t>
  </si>
  <si>
    <t>Warner University</t>
  </si>
  <si>
    <t>Lake Wales</t>
  </si>
  <si>
    <t>Warren County Community College</t>
  </si>
  <si>
    <t>Warren Wilson College</t>
  </si>
  <si>
    <t>Swannanoa</t>
  </si>
  <si>
    <t>Wartburg College</t>
  </si>
  <si>
    <t>Waverly</t>
  </si>
  <si>
    <t>Washburn University</t>
  </si>
  <si>
    <t>Topeka</t>
  </si>
  <si>
    <t>Washington &amp; Jefferson College</t>
  </si>
  <si>
    <t>Washington Adventist University</t>
  </si>
  <si>
    <t>Takoma Park</t>
  </si>
  <si>
    <t>Washington College</t>
  </si>
  <si>
    <t>Chestertown</t>
  </si>
  <si>
    <t>Washington County Community College</t>
  </si>
  <si>
    <t>Calais</t>
  </si>
  <si>
    <t>Washington State Community College</t>
  </si>
  <si>
    <t>Washington State University</t>
  </si>
  <si>
    <t>Pullman</t>
  </si>
  <si>
    <t>Washington University in St Louis</t>
  </si>
  <si>
    <t>Washington and Lee University</t>
  </si>
  <si>
    <t>Washtenaw Community College</t>
  </si>
  <si>
    <t>Waubonsee Community College</t>
  </si>
  <si>
    <t>Sugar Grove</t>
  </si>
  <si>
    <t>Waukesha County Technical College</t>
  </si>
  <si>
    <t>Pewaukee</t>
  </si>
  <si>
    <t>Wayland Baptist University</t>
  </si>
  <si>
    <t>Plainview</t>
  </si>
  <si>
    <t>Wayne Community College</t>
  </si>
  <si>
    <t>Goldsboro</t>
  </si>
  <si>
    <t>Wayne County Community College District</t>
  </si>
  <si>
    <t>Wayne State College</t>
  </si>
  <si>
    <t>Wayne</t>
  </si>
  <si>
    <t>Wayne State University</t>
  </si>
  <si>
    <t>Waynesburg University</t>
  </si>
  <si>
    <t>Waynesburg</t>
  </si>
  <si>
    <t>Weatherford College</t>
  </si>
  <si>
    <t>Webber International University</t>
  </si>
  <si>
    <t>Babson Park</t>
  </si>
  <si>
    <t>Weber State University</t>
  </si>
  <si>
    <t>Ogden</t>
  </si>
  <si>
    <t>Webster University</t>
  </si>
  <si>
    <t>Welch College</t>
  </si>
  <si>
    <t>Wellesley College</t>
  </si>
  <si>
    <t>Wellesley</t>
  </si>
  <si>
    <t>Wells College</t>
  </si>
  <si>
    <t>Wenatchee Valley College</t>
  </si>
  <si>
    <t>Wenatchee</t>
  </si>
  <si>
    <t>Wentworth Institute of Technology</t>
  </si>
  <si>
    <t>Wesley College</t>
  </si>
  <si>
    <t>Wesleyan College</t>
  </si>
  <si>
    <t>Wesleyan University</t>
  </si>
  <si>
    <t>West Chester University of Pennsylvania</t>
  </si>
  <si>
    <t>West Chester</t>
  </si>
  <si>
    <t>West Hills College-Coalinga</t>
  </si>
  <si>
    <t>Coalinga</t>
  </si>
  <si>
    <t>West Hills College-Lemoore</t>
  </si>
  <si>
    <t>Lemoore</t>
  </si>
  <si>
    <t>West Liberty University</t>
  </si>
  <si>
    <t>West Liberty</t>
  </si>
  <si>
    <t>West Shore Community College</t>
  </si>
  <si>
    <t>Scottville</t>
  </si>
  <si>
    <t>West Texas A &amp; M University</t>
  </si>
  <si>
    <t>Canyon</t>
  </si>
  <si>
    <t>Saratoga</t>
  </si>
  <si>
    <t>West Virginia Northern Community College</t>
  </si>
  <si>
    <t>Wheeling</t>
  </si>
  <si>
    <t>Institute</t>
  </si>
  <si>
    <t>Morgantown</t>
  </si>
  <si>
    <t>West Virginia University at Parkersburg</t>
  </si>
  <si>
    <t>Parkersburg</t>
  </si>
  <si>
    <t>West Virginia Wesleyan College</t>
  </si>
  <si>
    <t>Buckhannon</t>
  </si>
  <si>
    <t>Western Carolina University</t>
  </si>
  <si>
    <t>Cullowhee</t>
  </si>
  <si>
    <t>Western Connecticut State University</t>
  </si>
  <si>
    <t>Danbury</t>
  </si>
  <si>
    <t>Western Dakota Technical Institute</t>
  </si>
  <si>
    <t>Rapid City</t>
  </si>
  <si>
    <t>Western Governors University</t>
  </si>
  <si>
    <t>Western Illinois University</t>
  </si>
  <si>
    <t>Macomb</t>
  </si>
  <si>
    <t>Western Iowa Tech Community College</t>
  </si>
  <si>
    <t>Western Kentucky University</t>
  </si>
  <si>
    <t>Western Michigan University</t>
  </si>
  <si>
    <t>Western Nebraska Community College</t>
  </si>
  <si>
    <t>Scottsbluff</t>
  </si>
  <si>
    <t>Western Nevada College</t>
  </si>
  <si>
    <t>Carson City</t>
  </si>
  <si>
    <t>Western New England University</t>
  </si>
  <si>
    <t>Western New Mexico University</t>
  </si>
  <si>
    <t>Silver City</t>
  </si>
  <si>
    <t>Western Oklahoma State College</t>
  </si>
  <si>
    <t>Altus</t>
  </si>
  <si>
    <t>Western Oregon University</t>
  </si>
  <si>
    <t>Western Piedmont Community College</t>
  </si>
  <si>
    <t>Morganton</t>
  </si>
  <si>
    <t>Western State Colorado University</t>
  </si>
  <si>
    <t>Gunnison</t>
  </si>
  <si>
    <t>Western Technical College</t>
  </si>
  <si>
    <t>Western Texas College</t>
  </si>
  <si>
    <t>Snyder</t>
  </si>
  <si>
    <t>Western Washington University</t>
  </si>
  <si>
    <t>Western Wyoming Community College</t>
  </si>
  <si>
    <t>Rock Springs</t>
  </si>
  <si>
    <t>Westfield State University</t>
  </si>
  <si>
    <t>Westfield</t>
  </si>
  <si>
    <t>New Wilmington</t>
  </si>
  <si>
    <t>Westmont College</t>
  </si>
  <si>
    <t>Westmoreland County Community College</t>
  </si>
  <si>
    <t>Youngwood</t>
  </si>
  <si>
    <t>Wharton County Junior College</t>
  </si>
  <si>
    <t>Wharton</t>
  </si>
  <si>
    <t>Whatcom Community College</t>
  </si>
  <si>
    <t>Wheaton</t>
  </si>
  <si>
    <t>Norton</t>
  </si>
  <si>
    <t>Wheeling Jesuit University</t>
  </si>
  <si>
    <t>Wheelock College</t>
  </si>
  <si>
    <t>White Mountains Community College</t>
  </si>
  <si>
    <t>Berlin</t>
  </si>
  <si>
    <t>Whitman College</t>
  </si>
  <si>
    <t>Whittier College</t>
  </si>
  <si>
    <t>Whitworth University</t>
  </si>
  <si>
    <t>Whitworth University-Adult Degree Programs</t>
  </si>
  <si>
    <t>Wichita State University</t>
  </si>
  <si>
    <t>Wilberforce University</t>
  </si>
  <si>
    <t>Wiley College</t>
  </si>
  <si>
    <t>Wilkes Community College</t>
  </si>
  <si>
    <t>Wilkesboro</t>
  </si>
  <si>
    <t>Wilkes University</t>
  </si>
  <si>
    <t>Willamette University</t>
  </si>
  <si>
    <t>William Carey University</t>
  </si>
  <si>
    <t>William Jessup University</t>
  </si>
  <si>
    <t>William Jewell College</t>
  </si>
  <si>
    <t>Liberty</t>
  </si>
  <si>
    <t>William Paterson University of New Jersey</t>
  </si>
  <si>
    <t>William Peace University</t>
  </si>
  <si>
    <t>William Penn University</t>
  </si>
  <si>
    <t>Oskaloosa</t>
  </si>
  <si>
    <t>William Rainey Harper College</t>
  </si>
  <si>
    <t>Palatine</t>
  </si>
  <si>
    <t>William Woods University</t>
  </si>
  <si>
    <t>Williams Baptist College</t>
  </si>
  <si>
    <t>Walnut Ridge</t>
  </si>
  <si>
    <t>Williams College</t>
  </si>
  <si>
    <t>Williamstown</t>
  </si>
  <si>
    <t>Williamsburg Technical College</t>
  </si>
  <si>
    <t>Kingstree</t>
  </si>
  <si>
    <t>Williston State College</t>
  </si>
  <si>
    <t>Williston</t>
  </si>
  <si>
    <t>Wilmington College</t>
  </si>
  <si>
    <t>Wilmington University</t>
  </si>
  <si>
    <t>New Castle</t>
  </si>
  <si>
    <t>Wilson College</t>
  </si>
  <si>
    <t>Chambersburg</t>
  </si>
  <si>
    <t>Wilson Community College</t>
  </si>
  <si>
    <t>Windward Community College</t>
  </si>
  <si>
    <t>Kaneohe</t>
  </si>
  <si>
    <t>Wingate University</t>
  </si>
  <si>
    <t>Wingate</t>
  </si>
  <si>
    <t>Winona State University</t>
  </si>
  <si>
    <t>Winston-Salem State University</t>
  </si>
  <si>
    <t>Winthrop University</t>
  </si>
  <si>
    <t>Wisconsin Indianhead Technical College</t>
  </si>
  <si>
    <t>Shell Lake</t>
  </si>
  <si>
    <t>Wisconsin Lutheran College</t>
  </si>
  <si>
    <t>Wittenberg University</t>
  </si>
  <si>
    <t>Wofford College</t>
  </si>
  <si>
    <t>Woodbury University</t>
  </si>
  <si>
    <t>Burbank</t>
  </si>
  <si>
    <t>Woodland Community College</t>
  </si>
  <si>
    <t>Woodland</t>
  </si>
  <si>
    <t>Wor-Wic Community College</t>
  </si>
  <si>
    <t>Worcester Polytechnic Institute</t>
  </si>
  <si>
    <t>Worcester State University</t>
  </si>
  <si>
    <t>Wytheville Community College</t>
  </si>
  <si>
    <t>Wytheville</t>
  </si>
  <si>
    <t>Xavier University</t>
  </si>
  <si>
    <t>Xavier University of Louisiana</t>
  </si>
  <si>
    <t>Yakima</t>
  </si>
  <si>
    <t>Yale University</t>
  </si>
  <si>
    <t>Yavapai College</t>
  </si>
  <si>
    <t>Yeshiva University</t>
  </si>
  <si>
    <t>York College</t>
  </si>
  <si>
    <t>York County Community College</t>
  </si>
  <si>
    <t>Wells</t>
  </si>
  <si>
    <t>York Technical College</t>
  </si>
  <si>
    <t>Young Harris College</t>
  </si>
  <si>
    <t>Young Harris</t>
  </si>
  <si>
    <t>Youngstown State University</t>
  </si>
  <si>
    <t>Youngstown</t>
  </si>
  <si>
    <t>Yuba College</t>
  </si>
  <si>
    <t>Marysville</t>
  </si>
  <si>
    <t>Zane State College</t>
  </si>
  <si>
    <t>Zanesville</t>
  </si>
  <si>
    <t>Private Research University</t>
  </si>
  <si>
    <t>Private Master's University</t>
  </si>
  <si>
    <t>Private Bachelor's College</t>
  </si>
  <si>
    <t>FINANCIAL STABILITY METRICS</t>
  </si>
  <si>
    <t>Return on Investment (ROI)</t>
  </si>
  <si>
    <t xml:space="preserve">Below average revenue suggest additional sources of revenue could be explored. </t>
  </si>
  <si>
    <t>excess credits to degree</t>
  </si>
  <si>
    <t>time to degree (if calculated SCH/semester and time to degree is declining would )</t>
  </si>
  <si>
    <t>Savings to students</t>
  </si>
  <si>
    <t>Tuition and fees (in-district)</t>
  </si>
  <si>
    <t>Net price</t>
  </si>
  <si>
    <t>AFFORDABILITY METRICS</t>
  </si>
  <si>
    <t>% Pell grants</t>
  </si>
  <si>
    <t>% Federal loans</t>
  </si>
  <si>
    <t>First-year Undergraduates Aid</t>
  </si>
  <si>
    <t>Ý</t>
  </si>
  <si>
    <t>Þ</t>
  </si>
  <si>
    <t>ü</t>
  </si>
  <si>
    <t>Webdings symbol</t>
  </si>
  <si>
    <t>Letter equivalent in Calibri</t>
  </si>
  <si>
    <t>Tuition Discount Rate</t>
  </si>
  <si>
    <t>i</t>
  </si>
  <si>
    <r>
      <t>Comparative Position</t>
    </r>
    <r>
      <rPr>
        <vertAlign val="superscript"/>
        <sz val="16"/>
        <color theme="4" tint="-0.249977111117893"/>
        <rFont val="Webdings"/>
        <family val="1"/>
        <charset val="2"/>
      </rPr>
      <t>i</t>
    </r>
  </si>
  <si>
    <r>
      <rPr>
        <sz val="12"/>
        <color theme="4" tint="-0.249977111117893"/>
        <rFont val="Webdings"/>
        <family val="1"/>
        <charset val="2"/>
      </rPr>
      <t>i</t>
    </r>
    <r>
      <rPr>
        <i/>
        <sz val="11"/>
        <color theme="1"/>
        <rFont val="Calibri"/>
        <family val="2"/>
        <scheme val="minor"/>
      </rPr>
      <t xml:space="preserve"> Click on metrics for definitions</t>
    </r>
  </si>
  <si>
    <t>Education-related spending per FTE student</t>
  </si>
  <si>
    <t>total01_fte_cpi</t>
  </si>
  <si>
    <t>eandr_fasb_fte_cpi</t>
  </si>
  <si>
    <t>total03_revenue_wo_inv_fte_cpi</t>
  </si>
  <si>
    <t>totalcompletions_100FTE</t>
  </si>
  <si>
    <t>comp_per_fte_empl</t>
  </si>
  <si>
    <t>eandr_completion_fasb_cpi</t>
  </si>
  <si>
    <t>Compl_100kspend_fasb_cpi</t>
  </si>
  <si>
    <t>sch_completion</t>
  </si>
  <si>
    <t>eandr_fasb_per_sch_cpi</t>
  </si>
  <si>
    <t>total_sch_cont_per_fte_faculty</t>
  </si>
  <si>
    <t>Num_fte_per_Fte_faculty</t>
  </si>
  <si>
    <t>tuitionfee01_tf</t>
  </si>
  <si>
    <t>pell_grant_pct</t>
  </si>
  <si>
    <t>Loan_pct</t>
  </si>
  <si>
    <t>Inst_grant_pct</t>
  </si>
  <si>
    <t>inst_grant_avg_amount</t>
  </si>
  <si>
    <t>Tuition_discount</t>
  </si>
  <si>
    <t>comp_share_total_spend</t>
  </si>
  <si>
    <t>Netprice</t>
  </si>
  <si>
    <t>Netprice_LT30k</t>
  </si>
  <si>
    <t>nettuition_share_fasb</t>
  </si>
  <si>
    <t>academicyear</t>
  </si>
  <si>
    <t>isgrouped</t>
  </si>
  <si>
    <t>carnegie_sector_2015_alt</t>
  </si>
  <si>
    <t>carnegie_sector_name</t>
  </si>
  <si>
    <t>tuition01_tf</t>
  </si>
  <si>
    <t>stable_operating_rev_fte_cpi</t>
  </si>
  <si>
    <t>tot_rev_wo_inv_w_aux_fte_cpi</t>
  </si>
  <si>
    <t>total03_revenue_fte_CPI</t>
  </si>
  <si>
    <t>eandg01_sum_fasb_fte_cpi</t>
  </si>
  <si>
    <t>Louisiana State University and Agricultural &amp; Mechanical Col</t>
  </si>
  <si>
    <t>tuitionfee01_TF_Mean</t>
  </si>
  <si>
    <t>tuitionfee01_TF_N</t>
  </si>
  <si>
    <t>tuitionfee01_TF_stddev</t>
  </si>
  <si>
    <t>netprice_Mean</t>
  </si>
  <si>
    <t>netprice_N</t>
  </si>
  <si>
    <t>netprice_stddev</t>
  </si>
  <si>
    <t>netprice_LT30K_Mean</t>
  </si>
  <si>
    <t>netprice_LT30K_N</t>
  </si>
  <si>
    <t>netprice_LT30K_stddev</t>
  </si>
  <si>
    <t>pell_grant_pct_Mean</t>
  </si>
  <si>
    <t>pell_grant_pct_N</t>
  </si>
  <si>
    <t>pell_grant_pct_stddev</t>
  </si>
  <si>
    <t>loan_pct_Mean</t>
  </si>
  <si>
    <t>loan_pct_N</t>
  </si>
  <si>
    <t>loan_pct_stddev</t>
  </si>
  <si>
    <t>inst_grant_pct_Mean</t>
  </si>
  <si>
    <t>inst_grant_pct_N</t>
  </si>
  <si>
    <t>inst_grant_pct_stddev</t>
  </si>
  <si>
    <t>inst_grant_avg_amount_Mean</t>
  </si>
  <si>
    <t>inst_grant_avg_amount_N</t>
  </si>
  <si>
    <t>inst_grant_avg_amount_stddev</t>
  </si>
  <si>
    <t>institutional_grant_aid_f_Mean</t>
  </si>
  <si>
    <t>institutional_grant_aid_fte__N</t>
  </si>
  <si>
    <t>institutional_grant_aid_stddev</t>
  </si>
  <si>
    <t>tuition_discount_Mean</t>
  </si>
  <si>
    <t>tuition_discount_N</t>
  </si>
  <si>
    <t>tuition_discount_stddev</t>
  </si>
  <si>
    <t>total03_revenue_wo_inv_ft_Mean</t>
  </si>
  <si>
    <t>total03_revenue_wo_inv_fte_c_N</t>
  </si>
  <si>
    <t>total03_revenue_wo_inv__stddev</t>
  </si>
  <si>
    <t>total01_fte_CPI_Mean</t>
  </si>
  <si>
    <t>total01_fte_CPI_N</t>
  </si>
  <si>
    <t>total01_fte_CPI_stddev</t>
  </si>
  <si>
    <t>eandr_fasb_fte_CPI_Mean</t>
  </si>
  <si>
    <t>eandr_fasb_fte_CPI_N</t>
  </si>
  <si>
    <t>eandr_fasb_fte_CPI_stddev</t>
  </si>
  <si>
    <t>nettuition_share_fasb_Mean</t>
  </si>
  <si>
    <t>nettuition_share_fasb_N</t>
  </si>
  <si>
    <t>nettuition_share_fasb_stddev</t>
  </si>
  <si>
    <t>Comp_per_FTE_empl_Mean</t>
  </si>
  <si>
    <t>Comp_per_FTE_empl_N</t>
  </si>
  <si>
    <t>Comp_per_FTE_empl_stddev</t>
  </si>
  <si>
    <t>comp_share_tot_spend_Mean</t>
  </si>
  <si>
    <t>comp_share_tot_spend_N</t>
  </si>
  <si>
    <t>comp_share_tot_spend_stddev</t>
  </si>
  <si>
    <t>total_SCH_Cont_per_FTE_fa_Mean</t>
  </si>
  <si>
    <t>total_SCH_Cont_per_FTE_facul_N</t>
  </si>
  <si>
    <t>total_SCH_Cont_per_FTE__stddev</t>
  </si>
  <si>
    <t>Num_FTE_per_FTE_faculty_Mean</t>
  </si>
  <si>
    <t>Num_FTE_per_FTE_faculty_N</t>
  </si>
  <si>
    <t>Num_FTE_per_FTE_faculty_stddev</t>
  </si>
  <si>
    <t>eandr_completion_fasb_cpi_Mean</t>
  </si>
  <si>
    <t>eandr_completion_fasb_cpi_N</t>
  </si>
  <si>
    <t>eandr_completion_fasb_c_stddev</t>
  </si>
  <si>
    <t>eandr_fasb_per_SCH_cpi_Mean</t>
  </si>
  <si>
    <t>eandr_fasb_per_SCH_cpi_N</t>
  </si>
  <si>
    <t>eandr_fasb_per_SCH_cpi_stddev</t>
  </si>
  <si>
    <t>compl_100kSpend_fasb_cpi_Mean</t>
  </si>
  <si>
    <t>compl_100kSpend_fasb_cpi_N</t>
  </si>
  <si>
    <t>compl_100kSpend_fasb_cp_stddev</t>
  </si>
  <si>
    <t>totalcompletions_100FTE_Mean</t>
  </si>
  <si>
    <t>totalcompletions_100FTE_N</t>
  </si>
  <si>
    <t>totalcompletions_100FTE_stddev</t>
  </si>
  <si>
    <t>SCH_completion_Mean</t>
  </si>
  <si>
    <t>SCH_completion_N</t>
  </si>
  <si>
    <t>SCH_completion_stddev</t>
  </si>
  <si>
    <t>net_asset_ratio_Mean</t>
  </si>
  <si>
    <t>net_asset_ratio_N</t>
  </si>
  <si>
    <t>net_asset_ratio_stddev</t>
  </si>
  <si>
    <t>institutional_grant_aid_fte_cpi</t>
  </si>
  <si>
    <t>Standard Deviation</t>
  </si>
  <si>
    <t xml:space="preserve">1. Benchmarks represent the weighted average using the 2015 Carnegie Classification (6-year matched set). </t>
  </si>
  <si>
    <t xml:space="preserve">Completions per $100,000 of spending </t>
  </si>
  <si>
    <t>Higher than average tuition and fees may indicate affordability concerns.</t>
  </si>
  <si>
    <t>Higher than average net price may indicate affordability concerns that are not met with grant aid.</t>
  </si>
  <si>
    <t>Higher than average net price for low-income students may indicate affordability concerns that are not met with grant aid.</t>
  </si>
  <si>
    <t>% Institutional grant aid</t>
  </si>
  <si>
    <t>Average institutional grant</t>
  </si>
  <si>
    <t>Higher than average institutional grant aid per FTE indicates the institution is distributing more grant aid than is typical.</t>
  </si>
  <si>
    <t>A higher than average percentage indicates the student population may have demonstrated financial need.</t>
  </si>
  <si>
    <t>A higher than average percentage indicates students are relying on loan assistance to pay the net price.</t>
  </si>
  <si>
    <t>Higher than average institutional grant aid indicates institutions are providing students with larger grant aid awards than is typical.</t>
  </si>
  <si>
    <t>a. Average SCH load (CV)</t>
  </si>
  <si>
    <t>b. Credit completion rate (CV)</t>
  </si>
  <si>
    <t>Change in Retention Rate</t>
  </si>
  <si>
    <t>Change in Student HC for 1% Change in Retention</t>
  </si>
  <si>
    <t>12-month Average Student Credit Hour Load</t>
  </si>
  <si>
    <t>Projected Gross Revenue Impact</t>
  </si>
  <si>
    <t>Projected Net Revenue Impact</t>
  </si>
  <si>
    <t>2. Total state and local appropriations revenue</t>
  </si>
  <si>
    <t>a. State and local appropriations per credit hour</t>
  </si>
  <si>
    <t>3. Operating expense % to be applied against gross revenue</t>
  </si>
  <si>
    <t>Tuition rate per credit hour (indistrict/instate)</t>
  </si>
  <si>
    <t>Credit Hour Completion Rate</t>
  </si>
  <si>
    <t>Credit Hours Not Completed</t>
  </si>
  <si>
    <t>Change in Completion Rate</t>
  </si>
  <si>
    <t xml:space="preserve">Cost to Institution </t>
  </si>
  <si>
    <t>Cost to Students</t>
  </si>
  <si>
    <t>Education-related spending per credit hour</t>
  </si>
  <si>
    <t>Current</t>
  </si>
  <si>
    <t>Projected</t>
  </si>
  <si>
    <t>Impact on Institution</t>
  </si>
  <si>
    <t>Impact on students</t>
  </si>
  <si>
    <t>Total undergraduate enrollment (12 month)</t>
  </si>
  <si>
    <t>Number of UG students expected to graduate</t>
  </si>
  <si>
    <t>Total student credit hours attempted (12 months)</t>
  </si>
  <si>
    <t>Total student credit hours completed (12 months)</t>
  </si>
  <si>
    <t>Total mandatory academic fees assessed per credit hour</t>
  </si>
  <si>
    <t>Source: Prepopulated data are from IPEDS .</t>
  </si>
  <si>
    <t>state_local_app</t>
  </si>
  <si>
    <t>total_undergraduates</t>
  </si>
  <si>
    <t>total_SCH_Cont</t>
  </si>
  <si>
    <t>totalUGdegrees</t>
  </si>
  <si>
    <t>calculate fee</t>
  </si>
  <si>
    <t>A higher than average percentage indicates the institution is providing grant aid to more students than is typical.</t>
  </si>
  <si>
    <t>Institutional grant aid per FTE student</t>
  </si>
  <si>
    <t>Above average spending suggests spending patterns should be examined to identify cost drivers (e.g., instruction, administration, auxiliary services etc.).</t>
  </si>
  <si>
    <t>Above average spending suggests spending patterns on the academic mission should be examined to identify cost drivers (e.g., instruction, student services, administration, etc.).</t>
  </si>
  <si>
    <t>Lumina Foundation is an independent, private foundation in Indianapolis that is committed</t>
  </si>
  <si>
    <t>to making opportunities for learning beyond high school available to all. We envision a system</t>
  </si>
  <si>
    <t>that is easy to navigate, delivers fair results, and meets the nation’s need for talent through a</t>
  </si>
  <si>
    <t>broad range of credentials. Our goal is to prepare people for informed citizenship and for success</t>
  </si>
  <si>
    <t>in a global economy.</t>
  </si>
  <si>
    <t xml:space="preserve">rpk GROUP is a leading consulting and advisory firm in higher education, supporting colleges and universities with their growth strategies by focusing on mission, market and margin opportunities. </t>
  </si>
  <si>
    <t xml:space="preserve">The Strategic Finance Dashboard presents key metrics that colleges can use to identify factors impacting the cost of education delivery and student affordability. </t>
  </si>
  <si>
    <t>The Dashboard includes pre-populated metrics around student affordability, revenue and spending, return on investment (ROI), and outcomes, including graphical displays of the results. The ROI Estimator allows colleges to enter select data elements to estimate the potential new net revenue from changes in student retention and average credit hour load, as wells as the student and institutional impacts of reducing unproductive credit taking.</t>
  </si>
  <si>
    <t>Build out</t>
  </si>
  <si>
    <t>Projected Gross revenue</t>
  </si>
  <si>
    <t>Projected Net Revenue</t>
  </si>
  <si>
    <t>Change in Average SCH Load</t>
  </si>
  <si>
    <t>Average Revenue per SCH - UG SCH Tuition and State/Local App per SCH</t>
  </si>
  <si>
    <t># of UG students impacted</t>
  </si>
  <si>
    <t>Change in net assets</t>
  </si>
  <si>
    <t>Total net assets, beginning of year</t>
  </si>
  <si>
    <t>Total unrestricted revenues</t>
  </si>
  <si>
    <t>Change in unrestricted net assets</t>
  </si>
  <si>
    <t>This metric indicates whether colleges' total assets are increasing or decreasing, signaling whether the wealth of the institution is increasing and allowing it to set aside resources for future needs. The threshold for this ratio is 3%-4% (above inflation).</t>
  </si>
  <si>
    <t>Arizona State University*</t>
  </si>
  <si>
    <t>Augusta University*</t>
  </si>
  <si>
    <t>Baker College*</t>
  </si>
  <si>
    <t>Bowling Green State University*</t>
  </si>
  <si>
    <t>Cairn University*</t>
  </si>
  <si>
    <t>California Institute of Integral Studies*</t>
  </si>
  <si>
    <t>Capital Area Technical College*</t>
  </si>
  <si>
    <t>Central Methodist University*</t>
  </si>
  <si>
    <t>Chattahoochee Technical College*</t>
  </si>
  <si>
    <t>City College-Fort Lauderdale*</t>
  </si>
  <si>
    <t>Copiah-Lincoln Community College*</t>
  </si>
  <si>
    <t>De Anza College*</t>
  </si>
  <si>
    <t>Elizabethtown College*</t>
  </si>
  <si>
    <t>Embry-Riddle Aeronautical University*</t>
  </si>
  <si>
    <t>Estrella Mountain Community College*</t>
  </si>
  <si>
    <t>Fairleigh Dickinson University*</t>
  </si>
  <si>
    <t>Fairmont State University*</t>
  </si>
  <si>
    <t>Flagler College*</t>
  </si>
  <si>
    <t>Fresno City College*</t>
  </si>
  <si>
    <t>Georgia Northwestern Technical College*</t>
  </si>
  <si>
    <t>Harrisburg Area Community College*</t>
  </si>
  <si>
    <t>Husson University*</t>
  </si>
  <si>
    <t>Johnson &amp; Wales University*</t>
  </si>
  <si>
    <t>Kennesaw State University*</t>
  </si>
  <si>
    <t>LIU Post*</t>
  </si>
  <si>
    <t>Linfield College*</t>
  </si>
  <si>
    <t>Marlboro College*</t>
  </si>
  <si>
    <t>Middle Georgia State University*</t>
  </si>
  <si>
    <t>Middlebury College*</t>
  </si>
  <si>
    <t>Montana Tech of the University of Montana*</t>
  </si>
  <si>
    <t>Northeastern University*</t>
  </si>
  <si>
    <t>Oconee Fall Line Technical College*</t>
  </si>
  <si>
    <t>Oklahoma Christian University*</t>
  </si>
  <si>
    <t>Oregon State University*</t>
  </si>
  <si>
    <t>Pennsylvania State University*</t>
  </si>
  <si>
    <t>Riverside City College*</t>
  </si>
  <si>
    <t>Rutgers University*</t>
  </si>
  <si>
    <t>Saint Louis Community College*</t>
  </si>
  <si>
    <t>Saint Vincent College*</t>
  </si>
  <si>
    <t>San Diego State University*</t>
  </si>
  <si>
    <t>San Jacinto Community College*</t>
  </si>
  <si>
    <t>Santa Clara University*</t>
  </si>
  <si>
    <t>Seattle Central College*</t>
  </si>
  <si>
    <t>South Georgia State College*</t>
  </si>
  <si>
    <t>Southeastern Technical College*</t>
  </si>
  <si>
    <t>Southern Crescent Technical College*</t>
  </si>
  <si>
    <t>Southern University and A &amp; M College*</t>
  </si>
  <si>
    <t>The Sage Colleges*</t>
  </si>
  <si>
    <t>The University of Texas at Austin*</t>
  </si>
  <si>
    <t>Trine University*</t>
  </si>
  <si>
    <t>University of Akron*</t>
  </si>
  <si>
    <t>University of Arizona*</t>
  </si>
  <si>
    <t>University of Colorado Denver*</t>
  </si>
  <si>
    <t>University of Connecticut*</t>
  </si>
  <si>
    <t>University of Minnesota-Twin Cities*</t>
  </si>
  <si>
    <t>University of North Georgia*</t>
  </si>
  <si>
    <t>University of South Florida*</t>
  </si>
  <si>
    <t>University of the District of Columbia*</t>
  </si>
  <si>
    <t>University of Toledo*</t>
  </si>
  <si>
    <t>University of Washington*</t>
  </si>
  <si>
    <t>Warner Pacific College*</t>
  </si>
  <si>
    <t>West Georgia Technical College*</t>
  </si>
  <si>
    <t>West Valley College*</t>
  </si>
  <si>
    <t>West Virginia State University*</t>
  </si>
  <si>
    <t>West Virginia University*</t>
  </si>
  <si>
    <t>Widener University*</t>
  </si>
  <si>
    <t>Wiregrass Georgia Technical College*</t>
  </si>
  <si>
    <t>Wright State University*</t>
  </si>
  <si>
    <t>Bethel University (TN)</t>
  </si>
  <si>
    <t>Columbia College (MO)</t>
  </si>
  <si>
    <t>Columbia College (SC)</t>
  </si>
  <si>
    <t>GateWay Community College (AZ)*</t>
  </si>
  <si>
    <t>Gateway Community College (CT)</t>
  </si>
  <si>
    <t>Gateway Technical College (WI)</t>
  </si>
  <si>
    <t>Howard College (TX)*</t>
  </si>
  <si>
    <t>Metropolitan Community College (MO)*</t>
  </si>
  <si>
    <t>Metropolitan Community College Area (NE)</t>
  </si>
  <si>
    <t>Miami University (OH)*</t>
  </si>
  <si>
    <t>Middlesex Community College (CT)</t>
  </si>
  <si>
    <t>Middlesex Community College (MA)</t>
  </si>
  <si>
    <t>Montana State University-Billings*</t>
  </si>
  <si>
    <t>Montgomery County Community College (PA)*</t>
  </si>
  <si>
    <t>Montgomery College (MD)</t>
  </si>
  <si>
    <t>Montgomery Community College (NC)</t>
  </si>
  <si>
    <t>Union College (KY)*</t>
  </si>
  <si>
    <t>Union College (NE)</t>
  </si>
  <si>
    <t>Union College (NY)</t>
  </si>
  <si>
    <t>Anderson University (IN)</t>
  </si>
  <si>
    <t>Anderson University (SC)</t>
  </si>
  <si>
    <t>Bethany College (KS)</t>
  </si>
  <si>
    <t>Bethany College (WV)</t>
  </si>
  <si>
    <t>Blue Ridge Community College (NC)</t>
  </si>
  <si>
    <t>Blue Ridge Community College (VA)</t>
  </si>
  <si>
    <t>Emmanuel College (GA)</t>
  </si>
  <si>
    <t>Emmanuel College (MA)</t>
  </si>
  <si>
    <t>Glendale Community College (AZ)</t>
  </si>
  <si>
    <t>Glendale Community College (CA)</t>
  </si>
  <si>
    <t>Highland Community College (IL)</t>
  </si>
  <si>
    <t>Highland Community College (KS)</t>
  </si>
  <si>
    <t>Lincoln University (MO)</t>
  </si>
  <si>
    <t>Lincoln University (PA)</t>
  </si>
  <si>
    <t>Manchester Community College (CT)</t>
  </si>
  <si>
    <t>Manchester Community College (NH)</t>
  </si>
  <si>
    <t>Marian University (IN)</t>
  </si>
  <si>
    <t>Marian University (WI)</t>
  </si>
  <si>
    <t>Southeastern Community College (IA)</t>
  </si>
  <si>
    <t>Southeastern Community College (NC)</t>
  </si>
  <si>
    <t>Southwestern College (CA)</t>
  </si>
  <si>
    <t>Southwestern College (KS)</t>
  </si>
  <si>
    <t>Southwestern College (NM)</t>
  </si>
  <si>
    <t>Southwestern Community College (IA)</t>
  </si>
  <si>
    <t>Southwestern Community College (NC)</t>
  </si>
  <si>
    <t>Sterling College (KS)</t>
  </si>
  <si>
    <t>Sterling College (VT)</t>
  </si>
  <si>
    <t>Three Rivers Community College (CT)</t>
  </si>
  <si>
    <t>University of St Thomas (MN)</t>
  </si>
  <si>
    <t>University of St Thomas (TX)</t>
  </si>
  <si>
    <t>Westminster College (UT)</t>
  </si>
  <si>
    <t>Westminster College (MO)</t>
  </si>
  <si>
    <t>Westminster College (PA)</t>
  </si>
  <si>
    <t>Wheaton College (IL)</t>
  </si>
  <si>
    <t>Wheaton College (MA)</t>
  </si>
  <si>
    <t xml:space="preserve">*Includes data from an institution's affiliated campuses, colleges, or divisions (e.g., medical schools) that are part of a parent/child data reporting relationship in IPEDS. </t>
  </si>
  <si>
    <t>Select Institution</t>
  </si>
  <si>
    <t>Comparative Position</t>
  </si>
  <si>
    <t>Strategic Finance Metrics Dashboard</t>
  </si>
  <si>
    <t>Net Price: Low income students ($0-$30k)</t>
  </si>
  <si>
    <t>Low income students ($0-$30k)</t>
  </si>
  <si>
    <t>First-year undergraduate aid</t>
  </si>
  <si>
    <r>
      <rPr>
        <sz val="9"/>
        <color theme="4" tint="-0.249977111117893"/>
        <rFont val="Webdings"/>
        <family val="1"/>
        <charset val="2"/>
      </rPr>
      <t>i</t>
    </r>
    <r>
      <rPr>
        <i/>
        <sz val="9"/>
        <color theme="1"/>
        <rFont val="Calibri"/>
        <family val="2"/>
        <scheme val="minor"/>
      </rPr>
      <t xml:space="preserve"> Click on metrics for definitions</t>
    </r>
  </si>
  <si>
    <t>What This Metric Shows</t>
  </si>
  <si>
    <t>EFFICIENCY METRICS</t>
  </si>
  <si>
    <t>Strategic Finance Metrics Dashboard - Data Table</t>
  </si>
  <si>
    <t>Strategic Finance Metrics Dashboard - Graphs</t>
  </si>
  <si>
    <t>Spending per completion (degree/certificate)</t>
  </si>
  <si>
    <r>
      <t>Total compensation outlay (salaries and benefits</t>
    </r>
    <r>
      <rPr>
        <vertAlign val="superscript"/>
        <sz val="11"/>
        <color theme="1"/>
        <rFont val="Calibri"/>
        <family val="2"/>
        <scheme val="minor"/>
      </rPr>
      <t>(3)</t>
    </r>
    <r>
      <rPr>
        <sz val="11"/>
        <color theme="1"/>
        <rFont val="Calibri"/>
        <family val="2"/>
        <scheme val="minor"/>
      </rPr>
      <t>) for all employees/full-time-equivalent employee</t>
    </r>
    <r>
      <rPr>
        <vertAlign val="superscript"/>
        <sz val="11"/>
        <color theme="1"/>
        <rFont val="Calibri"/>
        <family val="2"/>
        <scheme val="minor"/>
      </rPr>
      <t>(2)</t>
    </r>
  </si>
  <si>
    <r>
      <t>Total compensation outlay (salaries and benefits</t>
    </r>
    <r>
      <rPr>
        <vertAlign val="superscript"/>
        <sz val="11"/>
        <color theme="1"/>
        <rFont val="Calibri"/>
        <family val="2"/>
        <scheme val="minor"/>
      </rPr>
      <t>(3)</t>
    </r>
    <r>
      <rPr>
        <sz val="11"/>
        <color theme="1"/>
        <rFont val="Calibri"/>
        <family val="2"/>
        <scheme val="minor"/>
      </rPr>
      <t>)/total spending (E&amp;G)</t>
    </r>
  </si>
  <si>
    <t xml:space="preserve">4. Expenditures include all levels of instruction, and therefore spending per undergraduate completion or credit hour cannot be separately calculated; however, limiting the analysis to undergraduate degree granting intuitions can lessen the graduate-level impact. </t>
  </si>
  <si>
    <r>
      <t>Total spending (E&amp;R)/Total undergraduate and graduate credit hours (including any contact hours converted to credit hours)</t>
    </r>
    <r>
      <rPr>
        <vertAlign val="superscript"/>
        <sz val="11"/>
        <color theme="1"/>
        <rFont val="Calibri"/>
        <family val="2"/>
        <scheme val="minor"/>
      </rPr>
      <t>(4)</t>
    </r>
  </si>
  <si>
    <t>Tuition-financed share of student spending 
("Student share of spending")</t>
  </si>
  <si>
    <t>Total spending per FTE student</t>
  </si>
  <si>
    <t>Total revenue (net) per FTE student</t>
  </si>
  <si>
    <t>Strategic Finance Metrics Dashboard - Data Definitions</t>
  </si>
  <si>
    <t>Net price: low income students ($0-$30k)</t>
  </si>
  <si>
    <t>Net price: total</t>
  </si>
  <si>
    <t>Annual tuition and required fees for full-time students; at public institutions this reflects the in-state or in-district charges.</t>
  </si>
  <si>
    <t>Average annual price for full-time, first-time degree/certificate undergraduate students who were awarded grant or scholarship aid: total cost of attendance minus federal, state, local, or institutional grant aid. Cost of attendance = published tuition and required fees; room and board; books and supplies, and other expenses.</t>
  </si>
  <si>
    <t xml:space="preserve">% Federal loans </t>
  </si>
  <si>
    <t xml:space="preserve">% Institutional grant aid </t>
  </si>
  <si>
    <t xml:space="preserve">Average institutional grant </t>
  </si>
  <si>
    <r>
      <t>FTE students/FTE faculty</t>
    </r>
    <r>
      <rPr>
        <vertAlign val="superscript"/>
        <sz val="11"/>
        <color theme="1"/>
        <rFont val="Calibri"/>
        <family val="2"/>
        <scheme val="minor"/>
      </rPr>
      <t>(2)</t>
    </r>
  </si>
  <si>
    <t>Total completions (degrees, certificates, and other awards)/FTE students * 100</t>
  </si>
  <si>
    <t>Education and related (E&amp;R) expenses: instruction, student services, and a pro-rata share of "overhead" which includes academic and institutional support, and operations and maintenance (for intuitions without research or public service expenditures, then all of the overhead costs are captured in E&amp;R)/FTE students.</t>
  </si>
  <si>
    <t>Total institutional grant aid (scholarships/fellowships) awarded by the institution/FTE students.</t>
  </si>
  <si>
    <t xml:space="preserve">Total institutional grant aid (scholarships/fellowships) awarded to full-time, first-time degree-seeking undergraduate students/total number of students receiving institutional grants. </t>
  </si>
  <si>
    <t>Full-time, first-time degree-seeking undergraduate students awarded Pell grants/total full-time, first-time degree-seeking undergraduate students.</t>
  </si>
  <si>
    <t>Full-time, first-time degree-seeking undergraduate students awarded Federal loans/total full-time, first-time degree-seeking undergraduate students.</t>
  </si>
  <si>
    <t>Full-time, first-time degree-seeking undergraduate students awarded Institutional grant aid/total full-time, first-time degree-seeking undergraduate students.</t>
  </si>
  <si>
    <t>Tuition discount rate</t>
  </si>
  <si>
    <t>Total institutional grant aid/sum(net tuition and fee revenue, total institutional grant aid).</t>
  </si>
  <si>
    <t>Average annual price for full-time, first-time degree/certificate undergraduate students with family incomes of $30,000 or less who were awarded grant or scholarship aid: total cost of attendance minus federal, state, local, or institutional grant aid. Cost of attendance = published tuition and required fees; room and board; books and supplies, and other expenses.</t>
  </si>
  <si>
    <t>Sum of total revenue (net tuition revenue; federal, state, and local appropriations, grants, and contracts; private and affiliated gifts, grants, contracts), including auxiliaries, hospitals, and other independent operations/FTE students. (Investment returns are excluded because they include unrealized gains and reflect volatility in the financial markets).</t>
  </si>
  <si>
    <t>Sum of education and general spending (instruction, student services, research, academic support, institutional support, operations and maintenance, and grants) and auxiliaries, hospitals and independent operations/FTE students.</t>
  </si>
  <si>
    <t>What this Metric Shows</t>
  </si>
  <si>
    <t>How to Use this Metric</t>
  </si>
  <si>
    <r>
      <t>Full-time equivalent (FTE) student data are based on 12-month FTE enrollments.</t>
    </r>
    <r>
      <rPr>
        <vertAlign val="superscript"/>
        <sz val="10"/>
        <color theme="1"/>
        <rFont val="Calibri"/>
        <family val="2"/>
        <scheme val="minor"/>
      </rPr>
      <t>1</t>
    </r>
  </si>
  <si>
    <t xml:space="preserve">For those institutions that had a parent-child data reporting relationship during the database years, data for parents and children were combined and are shown under the parent institution; those cases are identified with an *. </t>
  </si>
  <si>
    <t>Database Variable Name</t>
  </si>
  <si>
    <t>A higher than average tuition discount rate indicates institutions are recycling tuition revenue or using investment income to distribute additional grant aid.</t>
  </si>
  <si>
    <t>Below average performance on this metric indicates room for efficiency improvements. Colleges should examine under enrolled programs, courses, and sections.</t>
  </si>
  <si>
    <t>Below average performance on this metric indicates faculty may have capacity to serve additional students, by eliminating under enrolled programs, courses, and sections.</t>
  </si>
  <si>
    <t>ROI METRICS</t>
  </si>
  <si>
    <t>Enter Projected Change in Average Credit Hour Load</t>
  </si>
  <si>
    <t>DATA TABLE</t>
  </si>
  <si>
    <t>Enter data for the selected college into the yellow cells</t>
  </si>
  <si>
    <t>Enter Projected Percentage Point Change in Student Retention Rate</t>
  </si>
  <si>
    <t>Average Student Credit Hour Load (CV)</t>
  </si>
  <si>
    <t>Average Credit Hour Completion Rate (CV)</t>
  </si>
  <si>
    <t>Enter Projected Percentage Point Change in Average Credit Hour Completion Rate</t>
  </si>
  <si>
    <t>NET INCOME RATIO</t>
  </si>
  <si>
    <t>RETURN ON NET ASSETS RATIO</t>
  </si>
  <si>
    <t>Financial Statement Information (for financial stability metrics):</t>
  </si>
  <si>
    <t>1. Net revenue impact includes tuition, fees, and state and local appropriations (as applicable).</t>
  </si>
  <si>
    <t xml:space="preserve">2. This metric assumes a per credit hour pricing model; it may be inappropriate for colleges serving full-time students under a semester pricing model. </t>
  </si>
  <si>
    <t>Current "Cost" of Unproductive Credit Hours to the Institution</t>
  </si>
  <si>
    <t>Current "Cost" of Unproductive Credit Hours to Students</t>
  </si>
  <si>
    <t>Projected Reduction in "Value" of Unproductive Credit Hours at the Institution</t>
  </si>
  <si>
    <r>
      <t>Projected Financial Impact for the Institution</t>
    </r>
    <r>
      <rPr>
        <b/>
        <vertAlign val="superscript"/>
        <sz val="10"/>
        <color theme="1"/>
        <rFont val="Arial Narrow"/>
        <family val="2"/>
      </rPr>
      <t>3</t>
    </r>
  </si>
  <si>
    <r>
      <t>Projected Financial Impact for Students</t>
    </r>
    <r>
      <rPr>
        <b/>
        <vertAlign val="superscript"/>
        <sz val="10"/>
        <color theme="1"/>
        <rFont val="Arial Narrow"/>
        <family val="2"/>
      </rPr>
      <t>4</t>
    </r>
  </si>
  <si>
    <t>3. Institutional efficiency impacts are based on education-related spending per credit hour.</t>
  </si>
  <si>
    <t>4. Student efficiency impacts are based on tuition and fees paid per credit hour.</t>
  </si>
  <si>
    <t>Projected Net Revenue Impact from a Change in Student Retention</t>
  </si>
  <si>
    <t>Projected Net Revenue Impact from a Change in Average Student Credit Hour Load</t>
  </si>
  <si>
    <t xml:space="preserve">On this tab, colleges can estimate the potential financial impact from changes in student success and the financial stability of their institution. </t>
  </si>
  <si>
    <t>Step 2: Enter expected changes for various student success metrics (yellow cells) to project the financial impact of those changes on the ROI and Efficiency metrics.</t>
  </si>
  <si>
    <t xml:space="preserve">Step 1: Enter data from your institution into the yellow cells on the Data Table. </t>
  </si>
  <si>
    <r>
      <t>ROI FROM CHANGE IN STUDENT RETENTION RATE: Projected Net Revenue Impact for Institution</t>
    </r>
    <r>
      <rPr>
        <b/>
        <vertAlign val="superscript"/>
        <sz val="10"/>
        <color theme="1"/>
        <rFont val="Arial Narrow"/>
        <family val="2"/>
      </rPr>
      <t>1</t>
    </r>
  </si>
  <si>
    <r>
      <t>ROI FROM CHANGE IN AVERAGE STUDENT CREDIT HOUR LOAD: Projected Net Revenue Impact for Institution</t>
    </r>
    <r>
      <rPr>
        <b/>
        <vertAlign val="superscript"/>
        <sz val="10"/>
        <color theme="1"/>
        <rFont val="Arial Narrow"/>
        <family val="2"/>
      </rPr>
      <t>1,2</t>
    </r>
  </si>
  <si>
    <t>EFFICIENCIES FROM CHANGE IN CREDIT HOUR COMPLETION RATE</t>
  </si>
  <si>
    <t xml:space="preserve">This metric shows an increase in the average student credit hour load can generate additional revenue for the institution among currently enrolled students. </t>
  </si>
  <si>
    <t xml:space="preserve">This metric show an increase in student retention can generate additional revenue for the institution even without enrolling new students. </t>
  </si>
  <si>
    <t xml:space="preserve">This metric shows the current "cost" to the institution from unproductive course taking (credit hours attempted but not completed) and reflects an inefficient use of resources. </t>
  </si>
  <si>
    <t xml:space="preserve">This metric shows the current "cost" to students from unproductive course taking; it reflects the tuition and fees students paid for credits that were never earned.  </t>
  </si>
  <si>
    <t>This metric shows the value of institutional resources that are used more "efficiently" when unproductive course taking is reduced.</t>
  </si>
  <si>
    <t xml:space="preserve">This metric shows the value to students from a reduction in unproductive course taking; it reflects tuition and fees students paid for credits that previously would have been unearned.  </t>
  </si>
  <si>
    <t>Number of UG students expected to graduate in current year</t>
  </si>
  <si>
    <t>Projected Reduction in "Value" of Unproductive Credit Hours to Students</t>
  </si>
  <si>
    <t>Password for all tabs: Lumina</t>
  </si>
  <si>
    <t xml:space="preserve">On this tab, colleges can estimate the potential financial impact from changes in student success and evaluate the financial stability of their institution. </t>
  </si>
  <si>
    <t>Altierus Career College-Tampa</t>
  </si>
  <si>
    <t>American River College</t>
  </si>
  <si>
    <t>Ashland Community and Technical College</t>
  </si>
  <si>
    <t>Augsburg University</t>
  </si>
  <si>
    <t>Bakersfield College</t>
  </si>
  <si>
    <t>Berkeley City College</t>
  </si>
  <si>
    <t>Big Sandy Community and Technical College</t>
  </si>
  <si>
    <t>Prestonsburg</t>
  </si>
  <si>
    <t>Binghamton University</t>
  </si>
  <si>
    <t>Bluegrass Community and Technical College</t>
  </si>
  <si>
    <t>Brandman University</t>
  </si>
  <si>
    <t>California State University Maritime Academy</t>
  </si>
  <si>
    <t>Castleton University</t>
  </si>
  <si>
    <t>Castleton</t>
  </si>
  <si>
    <t>Centenary University</t>
  </si>
  <si>
    <t>Cerro Coso Community College</t>
  </si>
  <si>
    <t>Ridgecrest</t>
  </si>
  <si>
    <t>Chapman University</t>
  </si>
  <si>
    <t>City Colleges of Chicago-Harold Washington College</t>
  </si>
  <si>
    <t>City Colleges of Chicago-Harry S Truman College</t>
  </si>
  <si>
    <t>City Colleges of Chicago-Kennedy-King College</t>
  </si>
  <si>
    <t>City Colleges of Chicago-Malcolm X College</t>
  </si>
  <si>
    <t>City Colleges of Chicago-Olive-Harvey College</t>
  </si>
  <si>
    <t>City Colleges of Chicago-Richard J Daley College</t>
  </si>
  <si>
    <t>City Colleges of Chicago-Wilbur Wright College</t>
  </si>
  <si>
    <t>Coastal Alabama Community College</t>
  </si>
  <si>
    <t>Sierra Vista</t>
  </si>
  <si>
    <t>College of Alameda</t>
  </si>
  <si>
    <t>College of Eastern Idaho</t>
  </si>
  <si>
    <t>Columbia College Chicago</t>
  </si>
  <si>
    <t>Community College of Baltimore County</t>
  </si>
  <si>
    <t>Community College of Vermont</t>
  </si>
  <si>
    <t>Concordia University Texas</t>
  </si>
  <si>
    <t>Concordia University-Chicago</t>
  </si>
  <si>
    <t>Contra Costa College</t>
  </si>
  <si>
    <t>Cosumnes River College</t>
  </si>
  <si>
    <t>Crafton Hills College</t>
  </si>
  <si>
    <t>Yucaipa</t>
  </si>
  <si>
    <t>Cuyamaca College</t>
  </si>
  <si>
    <t>Cypress College</t>
  </si>
  <si>
    <t>Diablo Valley College</t>
  </si>
  <si>
    <t>East Los Angeles College</t>
  </si>
  <si>
    <t>Monterey Park</t>
  </si>
  <si>
    <t>Elizabethtown Community and Technical College</t>
  </si>
  <si>
    <t>Evergreen Valley College</t>
  </si>
  <si>
    <t>Folsom Lake College</t>
  </si>
  <si>
    <t>Folsom</t>
  </si>
  <si>
    <t>Fullerton College</t>
  </si>
  <si>
    <t>Furman</t>
  </si>
  <si>
    <t>Gateway Community and Technical College</t>
  </si>
  <si>
    <t>Geisinger Commonwealth School of Medicine</t>
  </si>
  <si>
    <t>George C Wallace Community College-Dothan</t>
  </si>
  <si>
    <t>Georgia College &amp; State University</t>
  </si>
  <si>
    <t>Georgia State University-Perimeter College</t>
  </si>
  <si>
    <t>Greenville University</t>
  </si>
  <si>
    <t>Grossmont College</t>
  </si>
  <si>
    <t>Hazard Community and Technical College</t>
  </si>
  <si>
    <t>Hazard</t>
  </si>
  <si>
    <t>Henderson Community College</t>
  </si>
  <si>
    <t>Herzing University-Akron</t>
  </si>
  <si>
    <t>Herzing University-Atlanta</t>
  </si>
  <si>
    <t>Herzing University-Birmingham</t>
  </si>
  <si>
    <t>Herzing University-Brookfield</t>
  </si>
  <si>
    <t>Brookfield</t>
  </si>
  <si>
    <t>Herzing University-Kenner</t>
  </si>
  <si>
    <t>Kenner</t>
  </si>
  <si>
    <t>Herzing University-Kenosha</t>
  </si>
  <si>
    <t>Herzing University-Madison</t>
  </si>
  <si>
    <t>Herzing University-Toledo</t>
  </si>
  <si>
    <t>Hopkinsville Community College</t>
  </si>
  <si>
    <t>Hopkinsville</t>
  </si>
  <si>
    <t>Humphreys University-Stockton and Modesto Campuses</t>
  </si>
  <si>
    <t>Irvine Valley College</t>
  </si>
  <si>
    <t>J. F. Drake State Community and Technical College</t>
  </si>
  <si>
    <t>Jefferson Community and Technical College</t>
  </si>
  <si>
    <t>Johnson State College</t>
  </si>
  <si>
    <t>Johnson</t>
  </si>
  <si>
    <t>Kent State University at Ashtabula</t>
  </si>
  <si>
    <t>Ashtabula</t>
  </si>
  <si>
    <t>Kent State University at Geauga</t>
  </si>
  <si>
    <t>Burton</t>
  </si>
  <si>
    <t>Kent State University at Kent</t>
  </si>
  <si>
    <t>Kent State University at Salem</t>
  </si>
  <si>
    <t>Kent State University at Stark</t>
  </si>
  <si>
    <t>Kent State University at Trumbull</t>
  </si>
  <si>
    <t>Kent State University at Tuscarawas</t>
  </si>
  <si>
    <t>New Philadelphia</t>
  </si>
  <si>
    <t>Lakeland University</t>
  </si>
  <si>
    <t>Laney College</t>
  </si>
  <si>
    <t>Los Angeles City College</t>
  </si>
  <si>
    <t>Los Angeles Harbor College</t>
  </si>
  <si>
    <t>Los Angeles Mission College</t>
  </si>
  <si>
    <t>Sylmar</t>
  </si>
  <si>
    <t>Los Angeles Pierce College</t>
  </si>
  <si>
    <t>Woodland Hills</t>
  </si>
  <si>
    <t>Los Angeles Southwest College</t>
  </si>
  <si>
    <t>Los Angeles Trade Technical College</t>
  </si>
  <si>
    <t>Los Angeles Valley College</t>
  </si>
  <si>
    <t>Valley Glen</t>
  </si>
  <si>
    <t>Los Medanos College</t>
  </si>
  <si>
    <t>Madisonville Community College</t>
  </si>
  <si>
    <t>Mary Baldwin University</t>
  </si>
  <si>
    <t>Maysville Community and Technical College</t>
  </si>
  <si>
    <t>Maysville</t>
  </si>
  <si>
    <t>Merritt College</t>
  </si>
  <si>
    <t>Minnesota State College Southeast</t>
  </si>
  <si>
    <t>Modesto Junior College</t>
  </si>
  <si>
    <t>Modesto</t>
  </si>
  <si>
    <t>Montana State University</t>
  </si>
  <si>
    <t>Moorpark College</t>
  </si>
  <si>
    <t>Moorpark</t>
  </si>
  <si>
    <t>Motlow State Community College</t>
  </si>
  <si>
    <t>Mount St. Mary's University</t>
  </si>
  <si>
    <t>National Park College</t>
  </si>
  <si>
    <t>New Mexico State University-Alamogordo</t>
  </si>
  <si>
    <t>Alamogordo</t>
  </si>
  <si>
    <t>New Mexico State University-Carlsbad</t>
  </si>
  <si>
    <t>Carlsbad</t>
  </si>
  <si>
    <t>New Mexico State University-Dona Ana</t>
  </si>
  <si>
    <t>Las Cruces</t>
  </si>
  <si>
    <t>New Mexico State University-Grants</t>
  </si>
  <si>
    <t>Grants</t>
  </si>
  <si>
    <t>New Mexico State University-Main Campus</t>
  </si>
  <si>
    <t>Stafford</t>
  </si>
  <si>
    <t>Northwest Vista College</t>
  </si>
  <si>
    <t>Ohio University-Chillicothe Campus</t>
  </si>
  <si>
    <t>Chillicothe</t>
  </si>
  <si>
    <t>Ohio University-Eastern Campus</t>
  </si>
  <si>
    <t>Ohio University-Lancaster Campus</t>
  </si>
  <si>
    <t>Ohio University-Main Campus</t>
  </si>
  <si>
    <t>Ohio University-Southern Campus</t>
  </si>
  <si>
    <t>Ironton</t>
  </si>
  <si>
    <t>Owensboro Community and Technical College</t>
  </si>
  <si>
    <t>Oxnard College</t>
  </si>
  <si>
    <t>Oxnard</t>
  </si>
  <si>
    <t>Palo Alto College</t>
  </si>
  <si>
    <t>Porterville College</t>
  </si>
  <si>
    <t>Porterville</t>
  </si>
  <si>
    <t>Purdue University Northwest</t>
  </si>
  <si>
    <t>Lake Mary</t>
  </si>
  <si>
    <t>Rensselaer at Hartford</t>
  </si>
  <si>
    <t>Richard Bland College of William and Mary</t>
  </si>
  <si>
    <t>South Prince George</t>
  </si>
  <si>
    <t>Mount Laurel</t>
  </si>
  <si>
    <t>Sacramento City College</t>
  </si>
  <si>
    <t>Saddleback College</t>
  </si>
  <si>
    <t>San Antonio College</t>
  </si>
  <si>
    <t>San Bernardino Valley College</t>
  </si>
  <si>
    <t>San Jose City College</t>
  </si>
  <si>
    <t>Santa Ana College</t>
  </si>
  <si>
    <t>Santiago Canyon College</t>
  </si>
  <si>
    <t>Seward County Community College</t>
  </si>
  <si>
    <t>Somerset Community College</t>
  </si>
  <si>
    <t>Somerset</t>
  </si>
  <si>
    <t>Southcentral Kentucky Community and Technical College</t>
  </si>
  <si>
    <t>Southeast Kentucky Community and Technical College</t>
  </si>
  <si>
    <t>Southern Regional Technical College</t>
  </si>
  <si>
    <t>St Philip's College</t>
  </si>
  <si>
    <t>St. Andrews University</t>
  </si>
  <si>
    <t>St. Joseph's College-New York</t>
  </si>
  <si>
    <t>St. Mary's University</t>
  </si>
  <si>
    <t>SUNY Cortland</t>
  </si>
  <si>
    <t>Tennessee Wesleyan University</t>
  </si>
  <si>
    <t>Texas A&amp;M University-Texarkana</t>
  </si>
  <si>
    <t>Texas State Technical College</t>
  </si>
  <si>
    <t>The King's College</t>
  </si>
  <si>
    <t>The Master's University and Seminary</t>
  </si>
  <si>
    <t>Miramar</t>
  </si>
  <si>
    <t>Truett McConnell University</t>
  </si>
  <si>
    <t>USAF Academy</t>
  </si>
  <si>
    <t>University of Arkansas Community College Rich Mountain</t>
  </si>
  <si>
    <t>University of Arkansas-Pulaski Technical College</t>
  </si>
  <si>
    <t>University of Cincinnati-Blue Ash College</t>
  </si>
  <si>
    <t>Blue Ash</t>
  </si>
  <si>
    <t>University of Cincinnati-Clermont College</t>
  </si>
  <si>
    <t>University of Cincinnati-Main Campus</t>
  </si>
  <si>
    <t>University of Lynchburg</t>
  </si>
  <si>
    <t>University of New Mexico-Gallup Campus</t>
  </si>
  <si>
    <t>Gallup</t>
  </si>
  <si>
    <t>University of New Mexico-Los Alamos Campus</t>
  </si>
  <si>
    <t>Los Alamos</t>
  </si>
  <si>
    <t>University of New Mexico-Main Campus</t>
  </si>
  <si>
    <t>University of New Mexico-Taos Campus</t>
  </si>
  <si>
    <t>Ranchos de Taos</t>
  </si>
  <si>
    <t>University of New Mexico-Valencia County Campus</t>
  </si>
  <si>
    <t>Los Lunas</t>
  </si>
  <si>
    <t>University of Pittsburgh-Bradford</t>
  </si>
  <si>
    <t>Bradford</t>
  </si>
  <si>
    <t>University of Pittsburgh-Greensburg</t>
  </si>
  <si>
    <t>University of Pittsburgh-Johnstown</t>
  </si>
  <si>
    <t>University of Pittsburgh-Pittsburgh Campus</t>
  </si>
  <si>
    <t>University of Pittsburgh-Titusville</t>
  </si>
  <si>
    <t>Titusville</t>
  </si>
  <si>
    <t>University of Providence</t>
  </si>
  <si>
    <t>Utah State University</t>
  </si>
  <si>
    <t>Ventura College</t>
  </si>
  <si>
    <t>Vermont Technical College</t>
  </si>
  <si>
    <t>Virginia Wesleyan University</t>
  </si>
  <si>
    <t>West Kentucky Community and Technical College</t>
  </si>
  <si>
    <t>Paducah</t>
  </si>
  <si>
    <t>West Los Angeles College</t>
  </si>
  <si>
    <t>Culver City</t>
  </si>
  <si>
    <t>Wichita State University-Campus of Applied Sciences and Tech</t>
  </si>
  <si>
    <t>Yakima Valley College</t>
  </si>
  <si>
    <t>York College of Pennsylvania</t>
  </si>
  <si>
    <t>Bethel University (MN)</t>
  </si>
  <si>
    <t>California Lutheran University*</t>
  </si>
  <si>
    <t>Columbia College (CA)</t>
  </si>
  <si>
    <t>Georgia Southern University*</t>
  </si>
  <si>
    <t>Indiana Wesleyan University*</t>
  </si>
  <si>
    <t>Middlesex County College (NJ)</t>
  </si>
  <si>
    <t>Ottawa University*</t>
  </si>
  <si>
    <t>St. John's College (MD)</t>
  </si>
  <si>
    <t>St. John's College (NM)</t>
  </si>
  <si>
    <t>Stevens-Henager College - Boise</t>
  </si>
  <si>
    <t>Stevens-Henager College - Logan</t>
  </si>
  <si>
    <t>Stevens-Henager College - Murray</t>
  </si>
  <si>
    <t>Stevens-Henager College - Orem</t>
  </si>
  <si>
    <t>Three Rivers College (MO)</t>
  </si>
  <si>
    <t>Union County College (NJ)</t>
  </si>
  <si>
    <t>Union University (TN)</t>
  </si>
  <si>
    <t>University of Wisconsin Colleges*</t>
  </si>
  <si>
    <t>University of Wisconsin-Milwaukee*</t>
  </si>
  <si>
    <t>University of Wisconsin-Parkside*</t>
  </si>
  <si>
    <t>2017-18</t>
  </si>
  <si>
    <t>Source: rpk GROUP analysis of IPEDS 2008-2018 (6-year matched set).</t>
  </si>
  <si>
    <t>2017-18 (2018 dollars)</t>
  </si>
  <si>
    <t>All benchmark data were compiled using IPEDS 2008-2018; 6-year matched set.</t>
  </si>
  <si>
    <t>All financial data are shown in 2018 dollars.</t>
  </si>
  <si>
    <t>1. FTE data is based on 12-month enrollment data, instead of fall enrollment, to better reflect enrollment activity at institutions where students are more likley to enroll year-round or in non-sequential terms.</t>
  </si>
  <si>
    <t>Developed by rpk GROUP, 2018 (v. 2.0) with support from Lumina Foundation. [FY18 data update,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</si>
</sst>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quot;$&quot;#,##0"/>
    <numFmt numFmtId="165" formatCode="0.0"/>
    <numFmt numFmtId="166" formatCode="0.0%"/>
    <numFmt numFmtId="167" formatCode="_(&quot;$&quot;* #,##0_);_(&quot;$&quot;* \(#,##0\);_(&quot;$&quot;* &quot;-&quot;??_);_(@_)"/>
    <numFmt numFmtId="168" formatCode="&quot;$&quot;#,##0.00"/>
    <numFmt numFmtId="169" formatCode="0.0000%"/>
  </numFmts>
  <fonts count="56">
    <font>
      <sz val="11"/>
      <color theme="1"/>
      <name val="Calibri"/>
      <family val="2"/>
      <scheme val="minor"/>
    </font>
    <font>
      <sz val="11"/>
      <color theme="1"/>
      <name val="Calibri"/>
      <family val="2"/>
      <scheme val="minor"/>
    </font>
    <font>
      <b/>
      <sz val="11"/>
      <color theme="1"/>
      <name val="Calibri"/>
      <family val="2"/>
      <scheme val="minor"/>
    </font>
    <font>
      <vertAlign val="superscript"/>
      <sz val="11"/>
      <color theme="1"/>
      <name val="Calibri"/>
      <family val="2"/>
      <scheme val="minor"/>
    </font>
    <font>
      <i/>
      <sz val="11"/>
      <color theme="1"/>
      <name val="Calibri"/>
      <family val="2"/>
      <scheme val="minor"/>
    </font>
    <font>
      <sz val="11"/>
      <name val="Calibri"/>
      <family val="2"/>
      <scheme val="minor"/>
    </font>
    <font>
      <b/>
      <i/>
      <sz val="10"/>
      <color theme="1"/>
      <name val="Calibri"/>
      <family val="2"/>
      <scheme val="minor"/>
    </font>
    <font>
      <sz val="10"/>
      <color theme="1"/>
      <name val="Calibri"/>
      <family val="2"/>
      <scheme val="minor"/>
    </font>
    <font>
      <i/>
      <sz val="10"/>
      <color theme="1"/>
      <name val="Calibri"/>
      <family val="2"/>
      <scheme val="minor"/>
    </font>
    <font>
      <b/>
      <sz val="14"/>
      <name val="Calibri"/>
      <family val="2"/>
      <scheme val="minor"/>
    </font>
    <font>
      <b/>
      <sz val="16"/>
      <name val="Calibri"/>
      <family val="2"/>
      <scheme val="minor"/>
    </font>
    <font>
      <b/>
      <sz val="12"/>
      <name val="Calibri"/>
      <family val="2"/>
      <scheme val="minor"/>
    </font>
    <font>
      <sz val="10"/>
      <name val="MS Sans Serif"/>
    </font>
    <font>
      <sz val="11"/>
      <color rgb="FFFF0000"/>
      <name val="Calibri"/>
      <family val="2"/>
      <scheme val="minor"/>
    </font>
    <font>
      <sz val="11"/>
      <color theme="1"/>
      <name val="Wingdings"/>
      <charset val="2"/>
    </font>
    <font>
      <sz val="11"/>
      <color theme="1"/>
      <name val="Webdings"/>
      <family val="1"/>
      <charset val="2"/>
    </font>
    <font>
      <sz val="22"/>
      <name val="Wingdings"/>
      <charset val="2"/>
    </font>
    <font>
      <sz val="9"/>
      <color theme="1"/>
      <name val="Calibri"/>
      <family val="2"/>
      <scheme val="minor"/>
    </font>
    <font>
      <sz val="10"/>
      <name val="Calibri"/>
      <family val="2"/>
      <scheme val="minor"/>
    </font>
    <font>
      <sz val="11"/>
      <name val="Wingdings"/>
      <charset val="2"/>
    </font>
    <font>
      <i/>
      <sz val="11"/>
      <color theme="1"/>
      <name val="Calibri"/>
      <family val="1"/>
      <charset val="2"/>
      <scheme val="minor"/>
    </font>
    <font>
      <vertAlign val="superscript"/>
      <sz val="16"/>
      <color theme="4" tint="-0.249977111117893"/>
      <name val="Webdings"/>
      <family val="1"/>
      <charset val="2"/>
    </font>
    <font>
      <sz val="12"/>
      <color theme="4" tint="-0.249977111117893"/>
      <name val="Webdings"/>
      <family val="1"/>
      <charset val="2"/>
    </font>
    <font>
      <sz val="10"/>
      <name val="Calibri"/>
      <family val="2"/>
    </font>
    <font>
      <sz val="10"/>
      <name val="Arial"/>
      <family val="2"/>
    </font>
    <font>
      <b/>
      <i/>
      <sz val="11"/>
      <color rgb="FFFF0000"/>
      <name val="Calibri"/>
      <family val="2"/>
      <scheme val="minor"/>
    </font>
    <font>
      <i/>
      <sz val="9"/>
      <color theme="1"/>
      <name val="Calibri"/>
      <family val="2"/>
      <scheme val="minor"/>
    </font>
    <font>
      <i/>
      <sz val="8"/>
      <color theme="1"/>
      <name val="Calibri"/>
      <family val="2"/>
      <scheme val="minor"/>
    </font>
    <font>
      <b/>
      <i/>
      <sz val="12"/>
      <color theme="1"/>
      <name val="Calibri"/>
      <family val="2"/>
      <scheme val="minor"/>
    </font>
    <font>
      <i/>
      <sz val="12"/>
      <color theme="1"/>
      <name val="Calibri"/>
      <family val="2"/>
      <scheme val="minor"/>
    </font>
    <font>
      <sz val="12"/>
      <color theme="1"/>
      <name val="Calibri"/>
      <family val="2"/>
      <scheme val="minor"/>
    </font>
    <font>
      <sz val="22"/>
      <color theme="0"/>
      <name val="Segoe UI Light"/>
      <family val="2"/>
    </font>
    <font>
      <sz val="12"/>
      <name val="Calibri"/>
      <family val="2"/>
      <scheme val="minor"/>
    </font>
    <font>
      <b/>
      <sz val="11"/>
      <color theme="9"/>
      <name val="Wingdings"/>
      <charset val="2"/>
    </font>
    <font>
      <sz val="11"/>
      <color rgb="FFFF0000"/>
      <name val="Wingdings"/>
      <charset val="2"/>
    </font>
    <font>
      <sz val="9"/>
      <color theme="1" tint="0.14999847407452621"/>
      <name val="Calibri"/>
      <family val="2"/>
      <scheme val="minor"/>
    </font>
    <font>
      <sz val="11"/>
      <color theme="1" tint="0.14999847407452621"/>
      <name val="Wingdings"/>
      <charset val="2"/>
    </font>
    <font>
      <i/>
      <sz val="9"/>
      <color theme="1" tint="0.14999847407452621"/>
      <name val="Calibri"/>
      <family val="2"/>
      <scheme val="minor"/>
    </font>
    <font>
      <i/>
      <sz val="9"/>
      <color theme="1"/>
      <name val="Calibri"/>
      <family val="1"/>
      <charset val="2"/>
      <scheme val="minor"/>
    </font>
    <font>
      <sz val="9"/>
      <color theme="4" tint="-0.249977111117893"/>
      <name val="Webdings"/>
      <family val="1"/>
      <charset val="2"/>
    </font>
    <font>
      <b/>
      <sz val="9"/>
      <color theme="1" tint="0.14999847407452621"/>
      <name val="Calibri"/>
      <family val="2"/>
      <scheme val="minor"/>
    </font>
    <font>
      <b/>
      <sz val="10"/>
      <color theme="1"/>
      <name val="Arial Narrow"/>
      <family val="2"/>
    </font>
    <font>
      <sz val="10"/>
      <color theme="1" tint="0.14999847407452621"/>
      <name val="Calibri"/>
      <family val="2"/>
      <scheme val="minor"/>
    </font>
    <font>
      <b/>
      <sz val="9"/>
      <color theme="1"/>
      <name val="Calibri"/>
      <family val="2"/>
      <scheme val="minor"/>
    </font>
    <font>
      <sz val="9"/>
      <name val="Wingdings"/>
      <charset val="2"/>
    </font>
    <font>
      <b/>
      <sz val="11"/>
      <color theme="1"/>
      <name val="Arial Narrow"/>
      <family val="2"/>
    </font>
    <font>
      <vertAlign val="superscript"/>
      <sz val="10"/>
      <color theme="1"/>
      <name val="Calibri"/>
      <family val="2"/>
      <scheme val="minor"/>
    </font>
    <font>
      <b/>
      <sz val="10"/>
      <name val="Arial Narrow"/>
      <family val="2"/>
    </font>
    <font>
      <sz val="10"/>
      <name val="Arial Narrow"/>
      <family val="2"/>
    </font>
    <font>
      <sz val="14"/>
      <name val="Calibri"/>
      <family val="2"/>
      <scheme val="minor"/>
    </font>
    <font>
      <i/>
      <sz val="11"/>
      <color rgb="FFFF0000"/>
      <name val="Calibri"/>
      <family val="2"/>
      <scheme val="minor"/>
    </font>
    <font>
      <b/>
      <sz val="10"/>
      <color theme="1"/>
      <name val="Calibri"/>
      <family val="2"/>
      <scheme val="minor"/>
    </font>
    <font>
      <b/>
      <i/>
      <sz val="10"/>
      <color rgb="FFFF0000"/>
      <name val="Calibri"/>
      <family val="2"/>
      <scheme val="minor"/>
    </font>
    <font>
      <sz val="10"/>
      <color rgb="FFFF0000"/>
      <name val="Calibri"/>
      <family val="2"/>
      <scheme val="minor"/>
    </font>
    <font>
      <b/>
      <vertAlign val="superscript"/>
      <sz val="10"/>
      <color theme="1"/>
      <name val="Arial Narrow"/>
      <family val="2"/>
    </font>
    <font>
      <i/>
      <sz val="10"/>
      <color rgb="FFFF0000"/>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7"/>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E0C1FF"/>
        <bgColor indexed="64"/>
      </patternFill>
    </fill>
  </fills>
  <borders count="41">
    <border>
      <left/>
      <right/>
      <top/>
      <bottom/>
      <diagonal/>
    </border>
    <border>
      <left/>
      <right/>
      <top/>
      <bottom style="thin">
        <color auto="1"/>
      </bottom>
      <diagonal/>
    </border>
    <border>
      <left/>
      <right/>
      <top style="thin">
        <color auto="1"/>
      </top>
      <bottom style="thin">
        <color auto="1"/>
      </bottom>
      <diagonal/>
    </border>
    <border>
      <left style="medium">
        <color auto="1"/>
      </left>
      <right/>
      <top/>
      <bottom/>
      <diagonal/>
    </border>
    <border>
      <left/>
      <right/>
      <top style="thin">
        <color theme="0" tint="-0.499984740745262"/>
      </top>
      <bottom style="thin">
        <color theme="0" tint="-0.499984740745262"/>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top style="thin">
        <color auto="1"/>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auto="1"/>
      </top>
      <bottom/>
      <diagonal/>
    </border>
    <border>
      <left/>
      <right/>
      <top style="thin">
        <color theme="5"/>
      </top>
      <bottom/>
      <diagonal/>
    </border>
    <border>
      <left/>
      <right/>
      <top/>
      <bottom style="thin">
        <color theme="5"/>
      </bottom>
      <diagonal/>
    </border>
    <border>
      <left/>
      <right/>
      <top style="thin">
        <color theme="1" tint="0.499984740745262"/>
      </top>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right/>
      <top style="thin">
        <color theme="5"/>
      </top>
      <bottom style="thin">
        <color theme="5"/>
      </bottom>
      <diagonal/>
    </border>
    <border>
      <left/>
      <right/>
      <top/>
      <bottom style="thin">
        <color theme="9"/>
      </bottom>
      <diagonal/>
    </border>
    <border>
      <left/>
      <right/>
      <top style="thin">
        <color theme="9"/>
      </top>
      <bottom/>
      <diagonal/>
    </border>
    <border>
      <left/>
      <right/>
      <top style="thin">
        <color theme="9"/>
      </top>
      <bottom style="thin">
        <color theme="9"/>
      </bottom>
      <diagonal/>
    </border>
    <border>
      <left/>
      <right/>
      <top style="thin">
        <color theme="8"/>
      </top>
      <bottom style="thin">
        <color theme="8"/>
      </bottom>
      <diagonal/>
    </border>
    <border>
      <left/>
      <right/>
      <top style="thin">
        <color rgb="FF9966FF"/>
      </top>
      <bottom style="thin">
        <color rgb="FF9966FF"/>
      </bottom>
      <diagonal/>
    </border>
    <border>
      <left/>
      <right/>
      <top style="thin">
        <color rgb="FF9966FF"/>
      </top>
      <bottom/>
      <diagonal/>
    </border>
    <border>
      <left/>
      <right/>
      <top/>
      <bottom style="thin">
        <color rgb="FF9966FF"/>
      </bottom>
      <diagonal/>
    </border>
    <border>
      <left/>
      <right/>
      <top style="thin">
        <color theme="7"/>
      </top>
      <bottom/>
      <diagonal/>
    </border>
    <border>
      <left/>
      <right/>
      <top/>
      <bottom style="thin">
        <color theme="7"/>
      </bottom>
      <diagonal/>
    </border>
    <border>
      <left/>
      <right/>
      <top style="thin">
        <color theme="7"/>
      </top>
      <bottom style="thin">
        <color indexed="64"/>
      </bottom>
      <diagonal/>
    </border>
    <border>
      <left/>
      <right/>
      <top style="hair">
        <color theme="7"/>
      </top>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xf numFmtId="9" fontId="12" fillId="0" borderId="0" applyFont="0" applyFill="0" applyBorder="0" applyAlignment="0" applyProtection="0"/>
    <xf numFmtId="43" fontId="1" fillId="0" borderId="0" applyFont="0" applyFill="0" applyBorder="0" applyAlignment="0" applyProtection="0"/>
  </cellStyleXfs>
  <cellXfs count="509">
    <xf numFmtId="0" fontId="0" fillId="0" borderId="0" xfId="0"/>
    <xf numFmtId="0" fontId="0" fillId="0" borderId="0" xfId="0" applyFill="1"/>
    <xf numFmtId="0" fontId="0" fillId="0" borderId="0" xfId="0" applyAlignment="1">
      <alignment vertical="top" wrapText="1"/>
    </xf>
    <xf numFmtId="0" fontId="0" fillId="0" borderId="1" xfId="0" applyBorder="1" applyAlignment="1">
      <alignment vertical="top"/>
    </xf>
    <xf numFmtId="0" fontId="0" fillId="0" borderId="1" xfId="0" applyFill="1" applyBorder="1" applyAlignment="1">
      <alignment vertical="top" wrapText="1"/>
    </xf>
    <xf numFmtId="0" fontId="0" fillId="0" borderId="2" xfId="0" applyBorder="1" applyAlignment="1">
      <alignment vertical="top"/>
    </xf>
    <xf numFmtId="0" fontId="0" fillId="0" borderId="0" xfId="0" applyBorder="1"/>
    <xf numFmtId="0" fontId="0" fillId="0" borderId="0" xfId="0" applyAlignment="1">
      <alignment vertical="top"/>
    </xf>
    <xf numFmtId="0" fontId="0" fillId="0" borderId="1" xfId="0" applyFont="1" applyBorder="1" applyAlignment="1">
      <alignment vertical="top"/>
    </xf>
    <xf numFmtId="0" fontId="0" fillId="0" borderId="1" xfId="0" applyBorder="1" applyAlignment="1">
      <alignment vertical="top" wrapText="1"/>
    </xf>
    <xf numFmtId="0" fontId="0" fillId="0" borderId="2" xfId="0" applyBorder="1" applyAlignment="1">
      <alignment vertical="top" wrapText="1"/>
    </xf>
    <xf numFmtId="0" fontId="0" fillId="0" borderId="2" xfId="0" applyFill="1" applyBorder="1" applyAlignment="1">
      <alignment vertical="top"/>
    </xf>
    <xf numFmtId="0" fontId="0" fillId="0" borderId="0" xfId="0" applyFill="1" applyAlignment="1">
      <alignment vertical="top"/>
    </xf>
    <xf numFmtId="0" fontId="4" fillId="0" borderId="0" xfId="0" applyFont="1"/>
    <xf numFmtId="0" fontId="5" fillId="0" borderId="0" xfId="0" applyFont="1" applyFill="1"/>
    <xf numFmtId="0" fontId="0" fillId="0" borderId="0" xfId="0" applyAlignment="1">
      <alignment horizontal="center" vertical="top" wrapText="1"/>
    </xf>
    <xf numFmtId="0" fontId="0" fillId="0" borderId="3" xfId="0" applyFill="1" applyBorder="1" applyAlignment="1">
      <alignment horizontal="center" vertical="top" wrapText="1"/>
    </xf>
    <xf numFmtId="0" fontId="0" fillId="0" borderId="0" xfId="0" applyBorder="1" applyAlignment="1"/>
    <xf numFmtId="49" fontId="2" fillId="0" borderId="0" xfId="0" applyNumberFormat="1" applyFont="1" applyFill="1" applyAlignment="1">
      <alignment vertical="top"/>
    </xf>
    <xf numFmtId="0" fontId="0" fillId="0" borderId="0" xfId="0" applyFill="1" applyBorder="1" applyAlignment="1">
      <alignment wrapText="1"/>
    </xf>
    <xf numFmtId="0" fontId="2" fillId="0" borderId="0" xfId="0" applyFont="1" applyFill="1" applyAlignment="1">
      <alignment vertical="top"/>
    </xf>
    <xf numFmtId="0" fontId="0" fillId="0" borderId="0" xfId="0" applyFill="1" applyAlignment="1">
      <alignment horizontal="center" vertical="top"/>
    </xf>
    <xf numFmtId="9" fontId="0" fillId="0" borderId="0" xfId="2" applyFont="1" applyFill="1" applyAlignment="1">
      <alignment horizontal="center" vertical="top"/>
    </xf>
    <xf numFmtId="0" fontId="0" fillId="0" borderId="0" xfId="0" applyFill="1" applyBorder="1" applyAlignment="1">
      <alignment horizontal="centerContinuous" vertical="top"/>
    </xf>
    <xf numFmtId="0" fontId="6" fillId="0" borderId="0" xfId="0" applyFont="1"/>
    <xf numFmtId="0" fontId="7" fillId="0" borderId="0" xfId="0" applyFont="1"/>
    <xf numFmtId="0" fontId="8" fillId="0" borderId="0" xfId="0" applyFont="1"/>
    <xf numFmtId="0" fontId="0" fillId="3" borderId="0" xfId="0" applyFill="1"/>
    <xf numFmtId="49" fontId="2" fillId="3" borderId="0" xfId="0" applyNumberFormat="1" applyFont="1" applyFill="1" applyAlignment="1">
      <alignment vertical="top"/>
    </xf>
    <xf numFmtId="0" fontId="2" fillId="3" borderId="0" xfId="0" applyFont="1" applyFill="1" applyAlignment="1">
      <alignment vertical="top"/>
    </xf>
    <xf numFmtId="0" fontId="0" fillId="3" borderId="0" xfId="0" applyFill="1" applyBorder="1" applyAlignment="1">
      <alignment wrapText="1"/>
    </xf>
    <xf numFmtId="0" fontId="0" fillId="3" borderId="0" xfId="0" applyFill="1" applyAlignment="1">
      <alignment horizontal="center" vertical="top"/>
    </xf>
    <xf numFmtId="0" fontId="0" fillId="3" borderId="0" xfId="0" applyFill="1" applyBorder="1" applyAlignment="1">
      <alignment horizontal="centerContinuous" vertical="top"/>
    </xf>
    <xf numFmtId="0" fontId="2" fillId="0" borderId="0" xfId="0" applyFont="1" applyFill="1" applyAlignment="1">
      <alignment vertical="center"/>
    </xf>
    <xf numFmtId="0" fontId="2" fillId="0" borderId="0" xfId="0" applyFont="1" applyFill="1" applyAlignment="1">
      <alignment horizontal="left" vertical="center"/>
    </xf>
    <xf numFmtId="0" fontId="2" fillId="0" borderId="0" xfId="0" applyFont="1" applyFill="1" applyAlignment="1">
      <alignment horizontal="left" vertical="center" indent="2"/>
    </xf>
    <xf numFmtId="0" fontId="2" fillId="0" borderId="0" xfId="0" applyFont="1" applyFill="1" applyAlignment="1">
      <alignment horizontal="left" vertical="center" indent="3"/>
    </xf>
    <xf numFmtId="0" fontId="0" fillId="0" borderId="4" xfId="0" applyFill="1" applyBorder="1" applyAlignment="1">
      <alignment wrapText="1"/>
    </xf>
    <xf numFmtId="0" fontId="0" fillId="0" borderId="5" xfId="0" applyFill="1" applyBorder="1" applyAlignment="1">
      <alignment wrapText="1"/>
    </xf>
    <xf numFmtId="0" fontId="5" fillId="0" borderId="0" xfId="0" applyFont="1" applyFill="1" applyBorder="1"/>
    <xf numFmtId="164" fontId="0" fillId="0" borderId="0" xfId="1" applyNumberFormat="1" applyFont="1" applyFill="1" applyAlignment="1">
      <alignment horizontal="center" vertical="center"/>
    </xf>
    <xf numFmtId="0" fontId="0" fillId="0" borderId="0" xfId="0" applyFill="1" applyBorder="1" applyAlignment="1">
      <alignment horizontal="center" vertical="top"/>
    </xf>
    <xf numFmtId="0" fontId="4" fillId="0" borderId="0" xfId="0" applyFont="1" applyAlignment="1">
      <alignment vertical="top"/>
    </xf>
    <xf numFmtId="0" fontId="2" fillId="0" borderId="0" xfId="0" applyFont="1" applyFill="1" applyAlignment="1">
      <alignment horizontal="left" vertical="center" indent="4"/>
    </xf>
    <xf numFmtId="9" fontId="0" fillId="3" borderId="0" xfId="0" applyNumberFormat="1" applyFill="1"/>
    <xf numFmtId="9" fontId="5" fillId="0" borderId="0" xfId="2" applyFont="1" applyFill="1" applyAlignment="1">
      <alignment vertical="center"/>
    </xf>
    <xf numFmtId="0" fontId="0" fillId="0" borderId="0" xfId="0" applyAlignment="1"/>
    <xf numFmtId="0" fontId="5" fillId="0" borderId="0" xfId="3" quotePrefix="1" applyNumberFormat="1" applyFont="1"/>
    <xf numFmtId="0" fontId="12" fillId="0" borderId="0" xfId="3"/>
    <xf numFmtId="164" fontId="5" fillId="0" borderId="0" xfId="3" applyNumberFormat="1" applyFont="1"/>
    <xf numFmtId="9" fontId="5" fillId="0" borderId="0" xfId="4" applyFont="1"/>
    <xf numFmtId="2" fontId="5" fillId="0" borderId="0" xfId="3" applyNumberFormat="1" applyFont="1"/>
    <xf numFmtId="1" fontId="5" fillId="0" borderId="0" xfId="3" applyNumberFormat="1" applyFont="1"/>
    <xf numFmtId="165" fontId="5" fillId="0" borderId="0" xfId="3" applyNumberFormat="1" applyFont="1"/>
    <xf numFmtId="0" fontId="5" fillId="0" borderId="0" xfId="3" applyFont="1"/>
    <xf numFmtId="164" fontId="12" fillId="0" borderId="0" xfId="3" applyNumberFormat="1"/>
    <xf numFmtId="2" fontId="12" fillId="0" borderId="0" xfId="3" applyNumberFormat="1"/>
    <xf numFmtId="0" fontId="1" fillId="0" borderId="0" xfId="0" applyFont="1" applyFill="1"/>
    <xf numFmtId="0" fontId="5" fillId="0" borderId="0" xfId="3" applyFont="1" applyFill="1"/>
    <xf numFmtId="0" fontId="5" fillId="0" borderId="0" xfId="3" quotePrefix="1" applyNumberFormat="1" applyFont="1" applyAlignment="1">
      <alignment wrapText="1"/>
    </xf>
    <xf numFmtId="164" fontId="5" fillId="0" borderId="0" xfId="3" quotePrefix="1" applyNumberFormat="1" applyFont="1" applyAlignment="1">
      <alignment wrapText="1"/>
    </xf>
    <xf numFmtId="9" fontId="5" fillId="0" borderId="0" xfId="4" quotePrefix="1" applyFont="1" applyAlignment="1">
      <alignment wrapText="1"/>
    </xf>
    <xf numFmtId="2" fontId="5" fillId="0" borderId="0" xfId="3" quotePrefix="1" applyNumberFormat="1" applyFont="1" applyAlignment="1">
      <alignment wrapText="1"/>
    </xf>
    <xf numFmtId="1" fontId="5" fillId="0" borderId="0" xfId="3" quotePrefix="1" applyNumberFormat="1" applyFont="1" applyAlignment="1">
      <alignment wrapText="1"/>
    </xf>
    <xf numFmtId="165" fontId="5" fillId="0" borderId="0" xfId="3" quotePrefix="1" applyNumberFormat="1" applyFont="1" applyAlignment="1">
      <alignment wrapText="1"/>
    </xf>
    <xf numFmtId="0" fontId="12" fillId="0" borderId="0" xfId="3" applyAlignment="1">
      <alignment wrapText="1"/>
    </xf>
    <xf numFmtId="0" fontId="0" fillId="0" borderId="0" xfId="0" applyFont="1" applyFill="1"/>
    <xf numFmtId="0" fontId="0" fillId="0" borderId="0" xfId="0" applyFill="1" applyBorder="1" applyAlignment="1">
      <alignment vertical="top"/>
    </xf>
    <xf numFmtId="0" fontId="0" fillId="0" borderId="0" xfId="0" applyAlignment="1">
      <alignment horizontal="left" vertical="top" indent="2"/>
    </xf>
    <xf numFmtId="0" fontId="2" fillId="0" borderId="0" xfId="0" applyFont="1" applyAlignment="1">
      <alignment vertical="top"/>
    </xf>
    <xf numFmtId="0" fontId="0" fillId="0" borderId="0" xfId="0" applyFill="1" applyBorder="1" applyAlignment="1">
      <alignment horizontal="center" vertical="center"/>
    </xf>
    <xf numFmtId="0" fontId="0" fillId="0" borderId="9" xfId="0" applyFill="1" applyBorder="1" applyAlignment="1">
      <alignment vertical="top"/>
    </xf>
    <xf numFmtId="0" fontId="2" fillId="0" borderId="0" xfId="0" applyFont="1" applyBorder="1" applyAlignment="1">
      <alignment horizontal="center" vertical="top" wrapText="1"/>
    </xf>
    <xf numFmtId="0" fontId="0" fillId="0" borderId="3" xfId="0" applyFill="1" applyBorder="1" applyAlignment="1">
      <alignment horizontal="centerContinuous" vertical="top"/>
    </xf>
    <xf numFmtId="9" fontId="5" fillId="0" borderId="3" xfId="2" applyFont="1" applyFill="1" applyBorder="1" applyAlignment="1">
      <alignment vertical="center"/>
    </xf>
    <xf numFmtId="0" fontId="0" fillId="0" borderId="3" xfId="0" applyFill="1" applyBorder="1" applyAlignment="1">
      <alignment vertical="top"/>
    </xf>
    <xf numFmtId="0" fontId="0" fillId="0" borderId="3" xfId="0" applyFill="1" applyBorder="1" applyAlignment="1">
      <alignment horizontal="center" vertical="top"/>
    </xf>
    <xf numFmtId="0" fontId="0" fillId="3" borderId="3" xfId="0" applyFill="1" applyBorder="1" applyAlignment="1">
      <alignment horizontal="centerContinuous" vertical="top"/>
    </xf>
    <xf numFmtId="0" fontId="0" fillId="0" borderId="0" xfId="0" applyFill="1" applyBorder="1" applyAlignment="1">
      <alignment horizontal="center" vertical="top" wrapText="1"/>
    </xf>
    <xf numFmtId="0" fontId="0" fillId="0" borderId="9" xfId="0" applyBorder="1" applyAlignment="1">
      <alignment horizontal="center" vertical="top" wrapText="1"/>
    </xf>
    <xf numFmtId="164" fontId="0" fillId="0" borderId="9" xfId="2" applyNumberFormat="1" applyFont="1" applyFill="1" applyBorder="1" applyAlignment="1">
      <alignment vertical="center"/>
    </xf>
    <xf numFmtId="0" fontId="0" fillId="0" borderId="9" xfId="0" applyFill="1" applyBorder="1" applyAlignment="1">
      <alignment vertical="center"/>
    </xf>
    <xf numFmtId="9" fontId="0" fillId="0" borderId="9" xfId="2" applyFont="1" applyFill="1" applyBorder="1" applyAlignment="1">
      <alignment vertical="center"/>
    </xf>
    <xf numFmtId="9" fontId="0" fillId="0" borderId="9" xfId="2" applyFont="1" applyFill="1" applyBorder="1" applyAlignment="1">
      <alignment vertical="top"/>
    </xf>
    <xf numFmtId="0" fontId="0" fillId="3" borderId="9" xfId="0" applyFill="1" applyBorder="1" applyAlignment="1">
      <alignment vertical="top"/>
    </xf>
    <xf numFmtId="164" fontId="0" fillId="0" borderId="9" xfId="1" applyNumberFormat="1" applyFont="1" applyFill="1" applyBorder="1" applyAlignment="1">
      <alignment vertical="center"/>
    </xf>
    <xf numFmtId="0" fontId="0" fillId="0" borderId="3" xfId="0" applyBorder="1" applyAlignment="1">
      <alignment horizontal="center" vertical="top" wrapText="1"/>
    </xf>
    <xf numFmtId="164" fontId="0" fillId="0" borderId="3" xfId="2" applyNumberFormat="1" applyFont="1" applyFill="1" applyBorder="1" applyAlignment="1">
      <alignment vertical="center"/>
    </xf>
    <xf numFmtId="0" fontId="0" fillId="0" borderId="3" xfId="0" applyFill="1" applyBorder="1" applyAlignment="1">
      <alignment vertical="center"/>
    </xf>
    <xf numFmtId="9" fontId="0" fillId="0" borderId="3" xfId="2" applyFont="1" applyFill="1" applyBorder="1" applyAlignment="1">
      <alignment vertical="center"/>
    </xf>
    <xf numFmtId="9" fontId="0" fillId="0" borderId="3" xfId="2" applyFont="1" applyFill="1" applyBorder="1" applyAlignment="1">
      <alignment vertical="top"/>
    </xf>
    <xf numFmtId="0" fontId="0" fillId="3" borderId="3" xfId="0" applyFill="1" applyBorder="1" applyAlignment="1">
      <alignment vertical="top"/>
    </xf>
    <xf numFmtId="164" fontId="0" fillId="0" borderId="3" xfId="1" applyNumberFormat="1" applyFont="1" applyFill="1" applyBorder="1" applyAlignment="1">
      <alignment vertical="center"/>
    </xf>
    <xf numFmtId="164" fontId="0" fillId="7" borderId="0" xfId="0" applyNumberFormat="1" applyFill="1" applyBorder="1" applyAlignment="1">
      <alignment horizontal="center" vertical="center"/>
    </xf>
    <xf numFmtId="9" fontId="0" fillId="7" borderId="0" xfId="2" applyFont="1" applyFill="1" applyBorder="1" applyAlignment="1">
      <alignment horizontal="center" vertical="center"/>
    </xf>
    <xf numFmtId="164" fontId="16" fillId="3" borderId="0" xfId="0" applyNumberFormat="1" applyFont="1" applyFill="1" applyBorder="1" applyAlignment="1">
      <alignment horizontal="center" vertical="center"/>
    </xf>
    <xf numFmtId="9" fontId="0" fillId="3" borderId="0" xfId="2" applyFont="1" applyFill="1" applyBorder="1" applyAlignment="1">
      <alignment horizontal="center" vertical="center"/>
    </xf>
    <xf numFmtId="0" fontId="19" fillId="0" borderId="0" xfId="0" applyFont="1" applyFill="1" applyAlignment="1">
      <alignment horizontal="center"/>
    </xf>
    <xf numFmtId="0" fontId="5" fillId="0" borderId="0" xfId="0" applyFont="1" applyFill="1" applyAlignment="1">
      <alignment horizontal="center"/>
    </xf>
    <xf numFmtId="0" fontId="20" fillId="0" borderId="0" xfId="0" applyFont="1" applyAlignment="1">
      <alignment vertical="top"/>
    </xf>
    <xf numFmtId="0" fontId="0" fillId="0" borderId="0" xfId="0" applyAlignment="1">
      <alignment horizontal="center" vertical="top"/>
    </xf>
    <xf numFmtId="0" fontId="15" fillId="0" borderId="0" xfId="0" applyFont="1" applyAlignment="1">
      <alignment horizontal="center" vertical="top"/>
    </xf>
    <xf numFmtId="9" fontId="4" fillId="3" borderId="0" xfId="2" applyFont="1" applyFill="1" applyBorder="1" applyAlignment="1">
      <alignment horizontal="center" vertical="center"/>
    </xf>
    <xf numFmtId="9" fontId="1" fillId="3" borderId="0" xfId="2" applyFont="1" applyFill="1" applyBorder="1" applyAlignment="1">
      <alignment horizontal="center" vertical="center"/>
    </xf>
    <xf numFmtId="0" fontId="18" fillId="0" borderId="0" xfId="3" quotePrefix="1" applyNumberFormat="1" applyFont="1"/>
    <xf numFmtId="0" fontId="18" fillId="0" borderId="0" xfId="3" applyFont="1"/>
    <xf numFmtId="0" fontId="23" fillId="0" borderId="0" xfId="3" quotePrefix="1" applyNumberFormat="1" applyFont="1"/>
    <xf numFmtId="0" fontId="12" fillId="0" borderId="0" xfId="3" quotePrefix="1" applyNumberFormat="1"/>
    <xf numFmtId="0" fontId="23" fillId="0" borderId="0" xfId="3" applyFont="1"/>
    <xf numFmtId="164" fontId="0" fillId="0" borderId="0" xfId="2" applyNumberFormat="1" applyFont="1" applyFill="1" applyAlignment="1">
      <alignment horizontal="center" vertical="center"/>
    </xf>
    <xf numFmtId="0" fontId="23" fillId="0" borderId="0" xfId="0" quotePrefix="1" applyNumberFormat="1" applyFont="1"/>
    <xf numFmtId="0" fontId="0" fillId="0" borderId="0" xfId="0" quotePrefix="1" applyNumberFormat="1"/>
    <xf numFmtId="0" fontId="5" fillId="5" borderId="0" xfId="3" applyFont="1" applyFill="1"/>
    <xf numFmtId="0" fontId="5" fillId="4" borderId="0" xfId="3" applyFont="1" applyFill="1"/>
    <xf numFmtId="165" fontId="0" fillId="7" borderId="0" xfId="2" applyNumberFormat="1" applyFont="1" applyFill="1" applyBorder="1" applyAlignment="1">
      <alignment horizontal="center" vertical="center"/>
    </xf>
    <xf numFmtId="1" fontId="0" fillId="7" borderId="0" xfId="2" applyNumberFormat="1" applyFont="1" applyFill="1" applyBorder="1" applyAlignment="1">
      <alignment horizontal="center" vertical="center"/>
    </xf>
    <xf numFmtId="0" fontId="14" fillId="0" borderId="0" xfId="0" applyFont="1" applyAlignment="1">
      <alignment horizontal="center" vertical="center"/>
    </xf>
    <xf numFmtId="0" fontId="0" fillId="0" borderId="0" xfId="0" applyFont="1" applyAlignment="1">
      <alignment horizontal="center" vertical="center"/>
    </xf>
    <xf numFmtId="0" fontId="18" fillId="0" borderId="0" xfId="0" quotePrefix="1" applyNumberFormat="1" applyFont="1"/>
    <xf numFmtId="0" fontId="18" fillId="0" borderId="0" xfId="0" applyFont="1"/>
    <xf numFmtId="0" fontId="0" fillId="0" borderId="0" xfId="0" applyFont="1" applyFill="1" applyAlignment="1">
      <alignment horizontal="left" vertical="center" indent="2"/>
    </xf>
    <xf numFmtId="0" fontId="0" fillId="0" borderId="0" xfId="0" applyFont="1" applyAlignment="1">
      <alignment vertical="top" wrapText="1"/>
    </xf>
    <xf numFmtId="0" fontId="29" fillId="0" borderId="0" xfId="0" applyFont="1"/>
    <xf numFmtId="0" fontId="0" fillId="0" borderId="17" xfId="0" applyBorder="1"/>
    <xf numFmtId="164" fontId="0" fillId="3" borderId="0" xfId="0" applyNumberFormat="1" applyFill="1"/>
    <xf numFmtId="5" fontId="0" fillId="3" borderId="0" xfId="1" applyNumberFormat="1" applyFont="1" applyFill="1"/>
    <xf numFmtId="0" fontId="30" fillId="3" borderId="0" xfId="0" applyFont="1" applyFill="1"/>
    <xf numFmtId="9" fontId="0" fillId="3" borderId="0" xfId="1" applyNumberFormat="1" applyFont="1" applyFill="1"/>
    <xf numFmtId="9" fontId="0" fillId="3" borderId="0" xfId="2" applyFont="1" applyFill="1"/>
    <xf numFmtId="165" fontId="0" fillId="3" borderId="0" xfId="0" applyNumberFormat="1" applyFill="1"/>
    <xf numFmtId="1" fontId="0" fillId="3" borderId="0" xfId="0" applyNumberFormat="1" applyFill="1"/>
    <xf numFmtId="167" fontId="0" fillId="3" borderId="0" xfId="1" applyNumberFormat="1" applyFont="1" applyFill="1"/>
    <xf numFmtId="2" fontId="0" fillId="0" borderId="0" xfId="0" applyNumberFormat="1"/>
    <xf numFmtId="0" fontId="0" fillId="0" borderId="0" xfId="0" applyAlignment="1">
      <alignment vertical="center"/>
    </xf>
    <xf numFmtId="0" fontId="8" fillId="0" borderId="0" xfId="0" applyFont="1" applyAlignment="1">
      <alignment vertical="center"/>
    </xf>
    <xf numFmtId="0" fontId="7" fillId="0" borderId="0" xfId="0" applyFont="1" applyAlignment="1">
      <alignment vertical="center"/>
    </xf>
    <xf numFmtId="0" fontId="0" fillId="0" borderId="4" xfId="0" applyFill="1" applyBorder="1" applyAlignment="1">
      <alignment vertical="top" wrapText="1"/>
    </xf>
    <xf numFmtId="0" fontId="6" fillId="3" borderId="0" xfId="0" applyFont="1" applyFill="1"/>
    <xf numFmtId="0" fontId="7" fillId="3" borderId="0" xfId="0" applyFont="1" applyFill="1"/>
    <xf numFmtId="0" fontId="2" fillId="0" borderId="0" xfId="0" applyFont="1" applyFill="1"/>
    <xf numFmtId="0" fontId="11" fillId="0" borderId="0" xfId="0" applyFont="1" applyFill="1" applyBorder="1" applyAlignment="1">
      <alignment horizontal="center" wrapText="1"/>
    </xf>
    <xf numFmtId="0" fontId="9" fillId="0" borderId="0" xfId="0" applyFont="1" applyFill="1" applyBorder="1" applyAlignment="1">
      <alignment horizontal="center" vertical="center" wrapText="1"/>
    </xf>
    <xf numFmtId="0" fontId="0" fillId="0" borderId="0" xfId="0" applyFill="1" applyAlignment="1">
      <alignment horizontal="center" vertical="top" wrapText="1"/>
    </xf>
    <xf numFmtId="0" fontId="2" fillId="0" borderId="0" xfId="0" applyFont="1" applyFill="1" applyBorder="1" applyAlignment="1">
      <alignment horizontal="center" vertical="top" wrapText="1"/>
    </xf>
    <xf numFmtId="0" fontId="0" fillId="0" borderId="0" xfId="0" applyFill="1" applyBorder="1" applyAlignment="1"/>
    <xf numFmtId="0" fontId="0" fillId="0" borderId="0" xfId="0" applyFill="1" applyBorder="1"/>
    <xf numFmtId="0" fontId="6" fillId="0" borderId="0" xfId="0" applyFont="1" applyFill="1"/>
    <xf numFmtId="0" fontId="7" fillId="0" borderId="0" xfId="0" applyFont="1" applyFill="1"/>
    <xf numFmtId="0" fontId="0" fillId="0" borderId="0" xfId="0" applyFill="1" applyAlignment="1">
      <alignment vertical="center"/>
    </xf>
    <xf numFmtId="0" fontId="0" fillId="0" borderId="0" xfId="0" applyFill="1" applyAlignment="1">
      <alignment vertical="center"/>
    </xf>
    <xf numFmtId="0" fontId="8" fillId="0" borderId="0" xfId="0" applyFont="1" applyFill="1" applyAlignment="1">
      <alignment vertical="center"/>
    </xf>
    <xf numFmtId="0" fontId="7" fillId="0" borderId="0" xfId="0" applyFont="1" applyFill="1" applyAlignment="1">
      <alignment vertical="center"/>
    </xf>
    <xf numFmtId="0" fontId="8" fillId="0" borderId="0" xfId="0" applyFont="1" applyFill="1"/>
    <xf numFmtId="0" fontId="0" fillId="12" borderId="0" xfId="0" applyFill="1"/>
    <xf numFmtId="0" fontId="31" fillId="12" borderId="0" xfId="0" applyFont="1" applyFill="1"/>
    <xf numFmtId="0" fontId="0" fillId="0" borderId="20" xfId="0" applyFill="1" applyBorder="1" applyAlignment="1">
      <alignment vertical="top"/>
    </xf>
    <xf numFmtId="0" fontId="0" fillId="0" borderId="20" xfId="0" applyFill="1" applyBorder="1" applyAlignment="1">
      <alignment horizontal="center" vertical="top" wrapText="1"/>
    </xf>
    <xf numFmtId="0" fontId="2" fillId="0" borderId="20" xfId="0" applyFont="1" applyFill="1" applyBorder="1" applyAlignment="1">
      <alignment horizontal="center" vertical="top" wrapText="1"/>
    </xf>
    <xf numFmtId="0" fontId="0" fillId="0" borderId="20" xfId="0" applyFill="1" applyBorder="1" applyAlignment="1"/>
    <xf numFmtId="0" fontId="33" fillId="0" borderId="0" xfId="0" applyFont="1" applyAlignment="1">
      <alignment horizontal="center" vertical="center"/>
    </xf>
    <xf numFmtId="0" fontId="34" fillId="0" borderId="0" xfId="0" applyFont="1" applyFill="1" applyAlignment="1">
      <alignment horizontal="center"/>
    </xf>
    <xf numFmtId="0" fontId="26" fillId="0" borderId="0" xfId="0" applyFont="1" applyFill="1" applyAlignment="1">
      <alignment horizontal="center" vertical="center" wrapText="1"/>
    </xf>
    <xf numFmtId="0" fontId="2" fillId="8" borderId="0" xfId="0" applyFont="1" applyFill="1" applyBorder="1" applyAlignment="1">
      <alignment horizontal="center" vertical="top" wrapText="1"/>
    </xf>
    <xf numFmtId="0" fontId="0" fillId="8" borderId="0" xfId="0" applyFill="1" applyAlignment="1">
      <alignment vertical="top"/>
    </xf>
    <xf numFmtId="0" fontId="0" fillId="8" borderId="0" xfId="0" applyFill="1" applyAlignment="1">
      <alignment horizontal="center" vertical="top" wrapText="1"/>
    </xf>
    <xf numFmtId="0" fontId="0" fillId="8" borderId="0" xfId="0" applyFill="1" applyBorder="1" applyAlignment="1"/>
    <xf numFmtId="0" fontId="0" fillId="0" borderId="21" xfId="0" applyFill="1" applyBorder="1"/>
    <xf numFmtId="0" fontId="0" fillId="0" borderId="23" xfId="0" applyFill="1" applyBorder="1"/>
    <xf numFmtId="0" fontId="5" fillId="0" borderId="24" xfId="0" applyFont="1" applyFill="1" applyBorder="1"/>
    <xf numFmtId="0" fontId="9" fillId="0" borderId="25" xfId="0" applyFont="1" applyFill="1" applyBorder="1" applyAlignment="1">
      <alignment horizontal="center" vertical="center" wrapText="1"/>
    </xf>
    <xf numFmtId="0" fontId="5" fillId="0" borderId="26" xfId="0" applyFont="1" applyFill="1" applyBorder="1"/>
    <xf numFmtId="0" fontId="32" fillId="0" borderId="27" xfId="0" applyFont="1" applyFill="1" applyBorder="1" applyAlignment="1">
      <alignment horizontal="left" vertical="center" wrapText="1"/>
    </xf>
    <xf numFmtId="0" fontId="9" fillId="0" borderId="28" xfId="0" applyFont="1" applyFill="1" applyBorder="1" applyAlignment="1">
      <alignment horizontal="center" vertical="center" wrapText="1"/>
    </xf>
    <xf numFmtId="0" fontId="26" fillId="0" borderId="22" xfId="0" applyFont="1" applyFill="1" applyBorder="1"/>
    <xf numFmtId="0" fontId="26" fillId="0" borderId="0" xfId="0" applyFont="1" applyFill="1" applyAlignment="1">
      <alignment horizontal="center" vertical="center"/>
    </xf>
    <xf numFmtId="0" fontId="38" fillId="0" borderId="0" xfId="0" applyFont="1" applyFill="1" applyAlignment="1">
      <alignment horizontal="left"/>
    </xf>
    <xf numFmtId="0" fontId="0" fillId="0" borderId="0" xfId="0" applyAlignment="1">
      <alignment vertical="center"/>
    </xf>
    <xf numFmtId="0" fontId="0" fillId="0" borderId="0" xfId="0" applyAlignment="1">
      <alignment wrapText="1"/>
    </xf>
    <xf numFmtId="0" fontId="9" fillId="0" borderId="0" xfId="0" applyFont="1" applyFill="1" applyBorder="1" applyAlignment="1">
      <alignment horizontal="centerContinuous" wrapText="1"/>
    </xf>
    <xf numFmtId="0" fontId="9" fillId="0" borderId="0" xfId="0" applyFont="1" applyFill="1" applyBorder="1" applyAlignment="1">
      <alignment horizontal="center" vertical="center"/>
    </xf>
    <xf numFmtId="0" fontId="10" fillId="0" borderId="0" xfId="0" applyFont="1" applyFill="1" applyAlignment="1">
      <alignment vertical="center"/>
    </xf>
    <xf numFmtId="0" fontId="9" fillId="0" borderId="0" xfId="0" applyFont="1" applyFill="1" applyAlignment="1">
      <alignment horizontal="center" vertical="center"/>
    </xf>
    <xf numFmtId="0" fontId="9" fillId="0" borderId="0" xfId="0" applyFont="1" applyFill="1" applyBorder="1" applyAlignment="1">
      <alignment horizontal="center"/>
    </xf>
    <xf numFmtId="0" fontId="0" fillId="13" borderId="0" xfId="0" applyFill="1" applyAlignment="1">
      <alignment vertical="top"/>
    </xf>
    <xf numFmtId="0" fontId="0" fillId="13" borderId="0" xfId="0" applyFill="1" applyAlignment="1">
      <alignment horizontal="center" vertical="top" wrapText="1"/>
    </xf>
    <xf numFmtId="0" fontId="2" fillId="13" borderId="0" xfId="0" applyFont="1" applyFill="1" applyBorder="1" applyAlignment="1">
      <alignment horizontal="center" vertical="top" wrapText="1"/>
    </xf>
    <xf numFmtId="0" fontId="0" fillId="13" borderId="0" xfId="0" applyFill="1" applyBorder="1" applyAlignment="1"/>
    <xf numFmtId="0" fontId="41" fillId="13" borderId="0" xfId="0" applyFont="1" applyFill="1" applyAlignment="1">
      <alignment vertical="center"/>
    </xf>
    <xf numFmtId="164" fontId="36" fillId="0" borderId="30" xfId="0" applyNumberFormat="1" applyFont="1" applyBorder="1" applyAlignment="1">
      <alignment horizontal="center" vertical="center"/>
    </xf>
    <xf numFmtId="164" fontId="36" fillId="0" borderId="31" xfId="0" applyNumberFormat="1" applyFont="1" applyBorder="1" applyAlignment="1">
      <alignment horizontal="center" vertical="center"/>
    </xf>
    <xf numFmtId="164" fontId="42" fillId="0" borderId="31" xfId="0" applyNumberFormat="1" applyFont="1" applyBorder="1" applyAlignment="1">
      <alignment horizontal="left" vertical="center" wrapText="1"/>
    </xf>
    <xf numFmtId="164" fontId="42" fillId="0" borderId="30" xfId="0" applyNumberFormat="1" applyFont="1" applyBorder="1" applyAlignment="1">
      <alignment horizontal="left" vertical="center" wrapText="1"/>
    </xf>
    <xf numFmtId="164" fontId="36" fillId="0" borderId="32" xfId="0" applyNumberFormat="1" applyFont="1" applyBorder="1" applyAlignment="1">
      <alignment horizontal="center" vertical="center"/>
    </xf>
    <xf numFmtId="164" fontId="42" fillId="0" borderId="32" xfId="0" applyNumberFormat="1" applyFont="1" applyBorder="1" applyAlignment="1">
      <alignment horizontal="left" vertical="center" wrapText="1"/>
    </xf>
    <xf numFmtId="164" fontId="19" fillId="0" borderId="31" xfId="0" applyNumberFormat="1" applyFont="1" applyFill="1" applyBorder="1" applyAlignment="1">
      <alignment horizontal="center" vertical="center"/>
    </xf>
    <xf numFmtId="164" fontId="19" fillId="0" borderId="33" xfId="0" applyNumberFormat="1" applyFont="1" applyFill="1" applyBorder="1" applyAlignment="1">
      <alignment horizontal="center" vertical="center"/>
    </xf>
    <xf numFmtId="164" fontId="42" fillId="0" borderId="33" xfId="0" applyNumberFormat="1" applyFont="1" applyBorder="1" applyAlignment="1">
      <alignment horizontal="left" vertical="center" wrapText="1"/>
    </xf>
    <xf numFmtId="0" fontId="41" fillId="14" borderId="0" xfId="0" applyFont="1" applyFill="1" applyAlignment="1">
      <alignment vertical="center"/>
    </xf>
    <xf numFmtId="0" fontId="0" fillId="14" borderId="0" xfId="0" applyFill="1" applyAlignment="1">
      <alignment vertical="top"/>
    </xf>
    <xf numFmtId="0" fontId="0" fillId="14" borderId="0" xfId="0" applyFill="1" applyAlignment="1">
      <alignment horizontal="center" vertical="top" wrapText="1"/>
    </xf>
    <xf numFmtId="0" fontId="2" fillId="14" borderId="0" xfId="0" applyFont="1" applyFill="1" applyBorder="1" applyAlignment="1">
      <alignment horizontal="center" vertical="top" wrapText="1"/>
    </xf>
    <xf numFmtId="0" fontId="0" fillId="14" borderId="0" xfId="0" applyFill="1" applyBorder="1" applyAlignment="1"/>
    <xf numFmtId="0" fontId="43" fillId="0" borderId="31" xfId="0" applyFont="1" applyFill="1" applyBorder="1" applyAlignment="1">
      <alignment horizontal="left" vertical="center"/>
    </xf>
    <xf numFmtId="0" fontId="43" fillId="0" borderId="30" xfId="0" applyFont="1" applyFill="1" applyBorder="1" applyAlignment="1">
      <alignment horizontal="left" vertical="center"/>
    </xf>
    <xf numFmtId="0" fontId="43" fillId="0" borderId="32" xfId="0" applyFont="1" applyFill="1" applyBorder="1" applyAlignment="1">
      <alignment horizontal="left" vertical="center"/>
    </xf>
    <xf numFmtId="0" fontId="43" fillId="0" borderId="33" xfId="0" applyFont="1" applyFill="1" applyBorder="1" applyAlignment="1">
      <alignment horizontal="left" vertical="center"/>
    </xf>
    <xf numFmtId="0" fontId="0" fillId="15" borderId="0" xfId="0" applyFill="1" applyAlignment="1">
      <alignment vertical="top"/>
    </xf>
    <xf numFmtId="0" fontId="0" fillId="15" borderId="0" xfId="0" applyFill="1" applyAlignment="1">
      <alignment horizontal="center" vertical="top" wrapText="1"/>
    </xf>
    <xf numFmtId="0" fontId="2" fillId="15" borderId="0" xfId="0" applyFont="1" applyFill="1" applyBorder="1" applyAlignment="1">
      <alignment horizontal="center" vertical="top" wrapText="1"/>
    </xf>
    <xf numFmtId="0" fontId="0" fillId="15" borderId="0" xfId="0" applyFill="1" applyBorder="1" applyAlignment="1"/>
    <xf numFmtId="49" fontId="41" fillId="15" borderId="0" xfId="0" applyNumberFormat="1" applyFont="1" applyFill="1" applyAlignment="1">
      <alignment vertical="center"/>
    </xf>
    <xf numFmtId="0" fontId="43" fillId="0" borderId="35" xfId="0" applyFont="1" applyBorder="1" applyAlignment="1">
      <alignment horizontal="left" vertical="center"/>
    </xf>
    <xf numFmtId="164" fontId="44" fillId="0" borderId="35" xfId="0" applyNumberFormat="1" applyFont="1" applyFill="1" applyBorder="1" applyAlignment="1">
      <alignment horizontal="center" vertical="center"/>
    </xf>
    <xf numFmtId="0" fontId="35" fillId="0" borderId="35" xfId="0" applyFont="1" applyBorder="1" applyAlignment="1">
      <alignment horizontal="left" vertical="center" wrapText="1"/>
    </xf>
    <xf numFmtId="0" fontId="43" fillId="0" borderId="36" xfId="0" applyFont="1" applyBorder="1" applyAlignment="1">
      <alignment vertical="center"/>
    </xf>
    <xf numFmtId="164" fontId="44" fillId="0" borderId="36" xfId="0" applyNumberFormat="1" applyFont="1" applyFill="1" applyBorder="1" applyAlignment="1">
      <alignment horizontal="center" vertical="center"/>
    </xf>
    <xf numFmtId="0" fontId="35" fillId="0" borderId="36" xfId="0" applyFont="1" applyBorder="1" applyAlignment="1">
      <alignment horizontal="left" vertical="center" wrapText="1"/>
    </xf>
    <xf numFmtId="0" fontId="43" fillId="0" borderId="34" xfId="0" applyFont="1" applyBorder="1" applyAlignment="1">
      <alignment horizontal="left" vertical="center"/>
    </xf>
    <xf numFmtId="164" fontId="44" fillId="0" borderId="34" xfId="0" applyNumberFormat="1" applyFont="1" applyFill="1" applyBorder="1" applyAlignment="1">
      <alignment horizontal="center" vertical="center"/>
    </xf>
    <xf numFmtId="0" fontId="35" fillId="0" borderId="34" xfId="0" applyFont="1" applyBorder="1" applyAlignment="1">
      <alignment horizontal="left" vertical="center" wrapText="1"/>
    </xf>
    <xf numFmtId="164" fontId="0" fillId="7" borderId="0" xfId="2" applyNumberFormat="1" applyFont="1" applyFill="1" applyAlignment="1">
      <alignment horizontal="center" vertical="center"/>
    </xf>
    <xf numFmtId="9" fontId="0" fillId="7" borderId="0" xfId="2" applyFont="1" applyFill="1" applyAlignment="1">
      <alignment horizontal="center" vertical="center"/>
    </xf>
    <xf numFmtId="1" fontId="0" fillId="7" borderId="0" xfId="2" applyNumberFormat="1" applyFont="1" applyFill="1" applyAlignment="1">
      <alignment horizontal="center" vertical="center"/>
    </xf>
    <xf numFmtId="165" fontId="0" fillId="7" borderId="0" xfId="2" applyNumberFormat="1" applyFont="1" applyFill="1" applyAlignment="1">
      <alignment horizontal="center" vertical="center"/>
    </xf>
    <xf numFmtId="0" fontId="0" fillId="7" borderId="0" xfId="0" applyFill="1" applyBorder="1" applyAlignment="1">
      <alignment horizontal="center" vertical="center"/>
    </xf>
    <xf numFmtId="0" fontId="4" fillId="7" borderId="0" xfId="0" applyFont="1" applyFill="1" applyBorder="1" applyAlignment="1">
      <alignment horizontal="center" vertical="center"/>
    </xf>
    <xf numFmtId="2" fontId="0" fillId="7" borderId="0" xfId="2" applyNumberFormat="1" applyFont="1" applyFill="1" applyAlignment="1">
      <alignment horizontal="center" vertical="center"/>
    </xf>
    <xf numFmtId="166" fontId="0" fillId="7" borderId="0" xfId="2" applyNumberFormat="1" applyFont="1" applyFill="1" applyAlignment="1">
      <alignment horizontal="center" vertical="center"/>
    </xf>
    <xf numFmtId="2" fontId="0" fillId="7" borderId="0" xfId="2" applyNumberFormat="1" applyFont="1" applyFill="1" applyBorder="1" applyAlignment="1">
      <alignment horizontal="center" vertical="center"/>
    </xf>
    <xf numFmtId="166" fontId="0" fillId="7" borderId="0" xfId="2" applyNumberFormat="1" applyFont="1" applyFill="1" applyBorder="1" applyAlignment="1">
      <alignment horizontal="center" vertical="center"/>
    </xf>
    <xf numFmtId="0" fontId="0" fillId="8" borderId="9" xfId="0" applyFill="1" applyBorder="1" applyAlignment="1">
      <alignment horizontal="center" vertical="top" wrapText="1"/>
    </xf>
    <xf numFmtId="0" fontId="0" fillId="8" borderId="3" xfId="0" applyFill="1" applyBorder="1" applyAlignment="1">
      <alignment horizontal="center" vertical="top" wrapText="1"/>
    </xf>
    <xf numFmtId="0" fontId="0" fillId="8" borderId="0" xfId="0" applyFill="1" applyBorder="1" applyAlignment="1">
      <alignment horizontal="center" vertical="top" wrapText="1"/>
    </xf>
    <xf numFmtId="0" fontId="0" fillId="13" borderId="9" xfId="0" applyFill="1" applyBorder="1" applyAlignment="1">
      <alignment horizontal="center" vertical="top" wrapText="1"/>
    </xf>
    <xf numFmtId="0" fontId="0" fillId="13" borderId="3" xfId="0" applyFill="1" applyBorder="1" applyAlignment="1">
      <alignment horizontal="center" vertical="top" wrapText="1"/>
    </xf>
    <xf numFmtId="0" fontId="0" fillId="13" borderId="0" xfId="0" applyFill="1" applyBorder="1" applyAlignment="1">
      <alignment horizontal="center" vertical="top" wrapText="1"/>
    </xf>
    <xf numFmtId="0" fontId="0" fillId="14" borderId="9" xfId="0" applyFill="1" applyBorder="1" applyAlignment="1">
      <alignment horizontal="center" vertical="top" wrapText="1"/>
    </xf>
    <xf numFmtId="0" fontId="0" fillId="14" borderId="3" xfId="0" applyFill="1" applyBorder="1" applyAlignment="1">
      <alignment horizontal="center" vertical="top" wrapText="1"/>
    </xf>
    <xf numFmtId="0" fontId="0" fillId="14" borderId="0" xfId="0" applyFill="1" applyBorder="1" applyAlignment="1">
      <alignment horizontal="center" vertical="top" wrapText="1"/>
    </xf>
    <xf numFmtId="0" fontId="2" fillId="15" borderId="0" xfId="0" applyFont="1" applyFill="1" applyAlignment="1">
      <alignment vertical="top"/>
    </xf>
    <xf numFmtId="0" fontId="0" fillId="15" borderId="0" xfId="0" applyFill="1" applyAlignment="1">
      <alignment horizontal="center" vertical="top"/>
    </xf>
    <xf numFmtId="0" fontId="0" fillId="15" borderId="9" xfId="0" applyFill="1" applyBorder="1" applyAlignment="1">
      <alignment vertical="top"/>
    </xf>
    <xf numFmtId="0" fontId="0" fillId="15" borderId="3" xfId="0" applyFill="1" applyBorder="1" applyAlignment="1">
      <alignment vertical="top"/>
    </xf>
    <xf numFmtId="0" fontId="0" fillId="15" borderId="0" xfId="0" applyFill="1" applyBorder="1" applyAlignment="1">
      <alignment horizontal="centerContinuous" vertical="top"/>
    </xf>
    <xf numFmtId="0" fontId="0" fillId="15" borderId="3" xfId="0" applyFill="1" applyBorder="1" applyAlignment="1">
      <alignment horizontal="centerContinuous" vertical="top"/>
    </xf>
    <xf numFmtId="0" fontId="0" fillId="15" borderId="0" xfId="0" applyFill="1" applyBorder="1" applyAlignment="1">
      <alignment wrapText="1"/>
    </xf>
    <xf numFmtId="0" fontId="4" fillId="0" borderId="0" xfId="0" applyFont="1" applyFill="1"/>
    <xf numFmtId="0" fontId="0" fillId="0" borderId="9" xfId="0" applyFill="1" applyBorder="1"/>
    <xf numFmtId="0" fontId="0" fillId="0" borderId="3" xfId="0" applyFill="1" applyBorder="1"/>
    <xf numFmtId="0" fontId="9" fillId="0" borderId="9" xfId="0" applyFont="1" applyFill="1" applyBorder="1" applyAlignment="1">
      <alignment horizontal="center"/>
    </xf>
    <xf numFmtId="0" fontId="9" fillId="0" borderId="3" xfId="0" applyFont="1" applyFill="1" applyBorder="1" applyAlignment="1">
      <alignment horizontal="center"/>
    </xf>
    <xf numFmtId="0" fontId="9" fillId="0" borderId="3" xfId="0" applyFont="1" applyFill="1" applyBorder="1" applyAlignment="1">
      <alignment horizontal="centerContinuous" wrapText="1"/>
    </xf>
    <xf numFmtId="0" fontId="10" fillId="0" borderId="10" xfId="0" applyFont="1" applyFill="1" applyBorder="1" applyAlignment="1">
      <alignment vertical="center"/>
    </xf>
    <xf numFmtId="0" fontId="2" fillId="8" borderId="0" xfId="0" applyFont="1" applyFill="1"/>
    <xf numFmtId="0" fontId="0" fillId="8" borderId="0" xfId="0" applyFill="1"/>
    <xf numFmtId="0" fontId="2" fillId="13" borderId="0" xfId="0" applyFont="1" applyFill="1"/>
    <xf numFmtId="0" fontId="0" fillId="13" borderId="0" xfId="0" applyFill="1"/>
    <xf numFmtId="0" fontId="0" fillId="14" borderId="0" xfId="0" applyFill="1"/>
    <xf numFmtId="0" fontId="0" fillId="15" borderId="0" xfId="0" applyFill="1"/>
    <xf numFmtId="0" fontId="2" fillId="15" borderId="0" xfId="0" applyFont="1" applyFill="1"/>
    <xf numFmtId="0" fontId="0" fillId="15" borderId="0" xfId="0" applyFill="1" applyAlignment="1">
      <alignment vertical="top" wrapText="1"/>
    </xf>
    <xf numFmtId="0" fontId="2" fillId="14" borderId="0" xfId="0" applyFont="1" applyFill="1" applyBorder="1"/>
    <xf numFmtId="0" fontId="0" fillId="14" borderId="0" xfId="0" applyFill="1" applyBorder="1" applyAlignment="1">
      <alignment vertical="top" wrapText="1"/>
    </xf>
    <xf numFmtId="0" fontId="2" fillId="13" borderId="0" xfId="0" applyFont="1" applyFill="1" applyAlignment="1">
      <alignment vertical="top" wrapText="1"/>
    </xf>
    <xf numFmtId="0" fontId="45" fillId="8" borderId="0" xfId="0" applyFont="1" applyFill="1" applyAlignment="1">
      <alignment vertical="top"/>
    </xf>
    <xf numFmtId="0" fontId="45" fillId="13" borderId="0" xfId="0" applyFont="1" applyFill="1" applyAlignment="1">
      <alignment vertical="top"/>
    </xf>
    <xf numFmtId="0" fontId="45" fillId="14" borderId="0" xfId="0" applyFont="1" applyFill="1" applyAlignment="1">
      <alignment vertical="top"/>
    </xf>
    <xf numFmtId="49" fontId="45" fillId="15" borderId="0" xfId="0" applyNumberFormat="1" applyFont="1" applyFill="1" applyAlignment="1">
      <alignment vertical="top"/>
    </xf>
    <xf numFmtId="0" fontId="45" fillId="8" borderId="0" xfId="0" applyFont="1" applyFill="1"/>
    <xf numFmtId="0" fontId="45" fillId="13" borderId="0" xfId="0" applyFont="1" applyFill="1"/>
    <xf numFmtId="0" fontId="45" fillId="14" borderId="0" xfId="0" applyFont="1" applyFill="1"/>
    <xf numFmtId="49" fontId="45" fillId="15" borderId="0" xfId="0" applyNumberFormat="1" applyFont="1" applyFill="1"/>
    <xf numFmtId="0" fontId="0" fillId="0" borderId="0" xfId="0" applyFill="1" applyAlignment="1">
      <alignment vertical="top" wrapText="1"/>
    </xf>
    <xf numFmtId="0" fontId="2" fillId="8" borderId="0" xfId="0" applyFont="1" applyFill="1" applyAlignment="1">
      <alignment vertical="top" wrapText="1"/>
    </xf>
    <xf numFmtId="0" fontId="31" fillId="0" borderId="0" xfId="0" applyFont="1" applyFill="1"/>
    <xf numFmtId="0" fontId="0" fillId="0" borderId="0" xfId="0" applyFill="1" applyAlignment="1">
      <alignment wrapText="1"/>
    </xf>
    <xf numFmtId="0" fontId="5" fillId="0" borderId="0" xfId="0" applyFont="1" applyFill="1" applyAlignment="1">
      <alignment wrapText="1"/>
    </xf>
    <xf numFmtId="164" fontId="5" fillId="0" borderId="0" xfId="0" applyNumberFormat="1" applyFont="1" applyFill="1" applyBorder="1" applyAlignment="1">
      <alignment horizontal="left" vertical="center" wrapText="1"/>
    </xf>
    <xf numFmtId="0" fontId="0" fillId="0" borderId="0" xfId="0" applyBorder="1" applyAlignment="1">
      <alignment wrapText="1"/>
    </xf>
    <xf numFmtId="0" fontId="0" fillId="0" borderId="0" xfId="0" applyAlignment="1">
      <alignment vertical="center" wrapText="1"/>
    </xf>
    <xf numFmtId="0" fontId="0" fillId="8" borderId="0" xfId="0" applyFill="1" applyAlignment="1">
      <alignment vertical="top" wrapText="1"/>
    </xf>
    <xf numFmtId="0" fontId="0" fillId="13" borderId="0" xfId="0" applyFill="1" applyAlignment="1">
      <alignment vertical="top" wrapText="1"/>
    </xf>
    <xf numFmtId="0" fontId="0" fillId="14" borderId="0" xfId="0" applyFill="1" applyAlignment="1">
      <alignment vertical="top" wrapText="1"/>
    </xf>
    <xf numFmtId="0" fontId="0" fillId="15" borderId="0" xfId="0" applyFill="1" applyAlignment="1">
      <alignment wrapText="1"/>
    </xf>
    <xf numFmtId="0" fontId="0" fillId="12" borderId="0" xfId="0" applyFill="1" applyAlignment="1">
      <alignment wrapText="1"/>
    </xf>
    <xf numFmtId="0" fontId="7" fillId="0" borderId="0" xfId="0" applyFont="1" applyAlignment="1">
      <alignment vertical="top" wrapText="1"/>
    </xf>
    <xf numFmtId="0" fontId="41" fillId="0" borderId="0" xfId="0" applyFont="1" applyFill="1" applyAlignment="1">
      <alignment vertical="center"/>
    </xf>
    <xf numFmtId="0" fontId="49" fillId="0" borderId="0" xfId="0" applyFont="1" applyFill="1" applyBorder="1" applyAlignment="1">
      <alignment vertical="center"/>
    </xf>
    <xf numFmtId="49" fontId="41" fillId="0" borderId="0" xfId="0" applyNumberFormat="1" applyFont="1" applyFill="1" applyAlignment="1">
      <alignment vertical="center"/>
    </xf>
    <xf numFmtId="166" fontId="7" fillId="11" borderId="10" xfId="2" applyNumberFormat="1" applyFont="1" applyFill="1" applyBorder="1" applyAlignment="1" applyProtection="1">
      <alignment horizontal="center" vertical="center"/>
      <protection locked="0"/>
    </xf>
    <xf numFmtId="165" fontId="7" fillId="11" borderId="10" xfId="2" applyNumberFormat="1" applyFont="1" applyFill="1" applyBorder="1" applyAlignment="1" applyProtection="1">
      <alignment horizontal="center" vertical="center"/>
      <protection locked="0"/>
    </xf>
    <xf numFmtId="3" fontId="7" fillId="11" borderId="10" xfId="2" applyNumberFormat="1" applyFont="1" applyFill="1" applyBorder="1" applyAlignment="1" applyProtection="1">
      <alignment horizontal="center" vertical="center"/>
      <protection locked="0"/>
    </xf>
    <xf numFmtId="164" fontId="7" fillId="11" borderId="10" xfId="2" applyNumberFormat="1" applyFont="1" applyFill="1" applyBorder="1" applyAlignment="1" applyProtection="1">
      <alignment horizontal="center" vertical="center"/>
      <protection locked="0"/>
    </xf>
    <xf numFmtId="166" fontId="7" fillId="11" borderId="10" xfId="2" applyNumberFormat="1" applyFont="1" applyFill="1" applyBorder="1" applyAlignment="1" applyProtection="1">
      <alignment horizontal="center" vertical="center"/>
    </xf>
    <xf numFmtId="0" fontId="0" fillId="0" borderId="0" xfId="0" applyFill="1" applyProtection="1"/>
    <xf numFmtId="0" fontId="31" fillId="12" borderId="0" xfId="0" applyFont="1" applyFill="1" applyProtection="1"/>
    <xf numFmtId="0" fontId="0" fillId="12" borderId="0" xfId="0" applyFill="1" applyProtection="1"/>
    <xf numFmtId="0" fontId="2" fillId="0" borderId="0" xfId="0" applyFont="1" applyFill="1" applyProtection="1"/>
    <xf numFmtId="0" fontId="0" fillId="0" borderId="21" xfId="0" applyFill="1" applyBorder="1" applyProtection="1"/>
    <xf numFmtId="0" fontId="26" fillId="0" borderId="22" xfId="0" applyFont="1" applyFill="1" applyBorder="1" applyProtection="1"/>
    <xf numFmtId="0" fontId="11" fillId="0" borderId="23" xfId="0" applyFont="1" applyFill="1" applyBorder="1" applyAlignment="1" applyProtection="1">
      <alignment horizontal="center" wrapText="1"/>
    </xf>
    <xf numFmtId="0" fontId="11" fillId="0" borderId="0" xfId="0" applyFont="1" applyFill="1" applyBorder="1" applyAlignment="1" applyProtection="1">
      <alignment horizontal="center" wrapText="1"/>
    </xf>
    <xf numFmtId="0" fontId="47" fillId="2" borderId="0" xfId="0" applyFont="1" applyFill="1" applyBorder="1" applyAlignment="1" applyProtection="1">
      <alignment horizontal="left" indent="2"/>
    </xf>
    <xf numFmtId="0" fontId="33" fillId="2" borderId="0" xfId="0" applyFont="1" applyFill="1" applyAlignment="1" applyProtection="1">
      <alignment horizontal="center" vertical="center"/>
    </xf>
    <xf numFmtId="0" fontId="0" fillId="2" borderId="0" xfId="0" applyFill="1" applyProtection="1"/>
    <xf numFmtId="0" fontId="5" fillId="0" borderId="0" xfId="0" applyFont="1" applyFill="1" applyBorder="1" applyProtection="1"/>
    <xf numFmtId="0" fontId="5" fillId="0" borderId="24" xfId="0" applyFont="1" applyFill="1" applyBorder="1" applyProtection="1"/>
    <xf numFmtId="0" fontId="49" fillId="0" borderId="0" xfId="0" applyFont="1" applyFill="1" applyBorder="1" applyAlignment="1" applyProtection="1">
      <alignment vertical="center"/>
    </xf>
    <xf numFmtId="0" fontId="5" fillId="0" borderId="25" xfId="0" applyFont="1" applyFill="1" applyBorder="1" applyProtection="1"/>
    <xf numFmtId="0" fontId="48" fillId="2" borderId="0" xfId="0" applyFont="1" applyFill="1" applyBorder="1" applyAlignment="1" applyProtection="1">
      <alignment horizontal="left" indent="2"/>
    </xf>
    <xf numFmtId="0" fontId="19" fillId="2" borderId="0" xfId="0" applyFont="1" applyFill="1" applyAlignment="1" applyProtection="1">
      <alignment horizontal="center"/>
    </xf>
    <xf numFmtId="0" fontId="5" fillId="2" borderId="0" xfId="0" applyFont="1" applyFill="1" applyBorder="1" applyProtection="1"/>
    <xf numFmtId="0" fontId="5" fillId="0" borderId="26" xfId="0" applyFont="1" applyFill="1" applyBorder="1" applyProtection="1"/>
    <xf numFmtId="0" fontId="32" fillId="0" borderId="27" xfId="0" applyFont="1" applyFill="1" applyBorder="1" applyAlignment="1" applyProtection="1">
      <alignment horizontal="left" vertical="center" wrapText="1"/>
    </xf>
    <xf numFmtId="0" fontId="5" fillId="0" borderId="28" xfId="0" applyFont="1" applyFill="1" applyBorder="1" applyProtection="1"/>
    <xf numFmtId="0" fontId="48" fillId="2" borderId="0" xfId="0" applyFont="1" applyFill="1" applyBorder="1" applyAlignment="1" applyProtection="1">
      <alignment horizontal="left" vertical="center" indent="2"/>
    </xf>
    <xf numFmtId="0" fontId="34" fillId="2" borderId="0" xfId="0" applyFont="1" applyFill="1" applyAlignment="1" applyProtection="1">
      <alignment horizontal="center"/>
    </xf>
    <xf numFmtId="0" fontId="0" fillId="0" borderId="0" xfId="0" applyFill="1" applyAlignment="1" applyProtection="1">
      <alignment vertical="top"/>
    </xf>
    <xf numFmtId="0" fontId="0" fillId="0" borderId="0" xfId="0" applyFill="1" applyAlignment="1" applyProtection="1">
      <alignment horizontal="center" vertical="top" wrapText="1"/>
    </xf>
    <xf numFmtId="0" fontId="2" fillId="0" borderId="0" xfId="0" applyFont="1" applyFill="1" applyBorder="1" applyAlignment="1" applyProtection="1">
      <alignment horizontal="center" vertical="top" wrapText="1"/>
    </xf>
    <xf numFmtId="0" fontId="0" fillId="0" borderId="20" xfId="0" applyFill="1" applyBorder="1" applyAlignment="1" applyProtection="1">
      <alignment vertical="top"/>
    </xf>
    <xf numFmtId="0" fontId="0" fillId="0" borderId="20" xfId="0" applyFill="1" applyBorder="1" applyAlignment="1" applyProtection="1">
      <alignment horizontal="center" vertical="top" wrapText="1"/>
    </xf>
    <xf numFmtId="0" fontId="2" fillId="0" borderId="20" xfId="0" applyFont="1" applyFill="1" applyBorder="1" applyAlignment="1" applyProtection="1">
      <alignment horizontal="center" vertical="top" wrapText="1"/>
    </xf>
    <xf numFmtId="0" fontId="0" fillId="0" borderId="20" xfId="0" applyFill="1" applyBorder="1" applyAlignment="1" applyProtection="1"/>
    <xf numFmtId="49" fontId="41" fillId="5" borderId="0" xfId="0" applyNumberFormat="1" applyFont="1" applyFill="1" applyAlignment="1" applyProtection="1">
      <alignment vertical="center"/>
    </xf>
    <xf numFmtId="0" fontId="0" fillId="5" borderId="0" xfId="0" applyFill="1" applyAlignment="1" applyProtection="1">
      <alignment vertical="top"/>
    </xf>
    <xf numFmtId="0" fontId="0" fillId="5" borderId="0" xfId="0" applyFill="1" applyAlignment="1" applyProtection="1">
      <alignment horizontal="center" vertical="top" wrapText="1"/>
    </xf>
    <xf numFmtId="0" fontId="0" fillId="0" borderId="15" xfId="0" applyBorder="1" applyProtection="1"/>
    <xf numFmtId="0" fontId="0" fillId="10" borderId="13" xfId="0" applyFill="1" applyBorder="1" applyAlignment="1" applyProtection="1">
      <alignment horizontal="centerContinuous"/>
    </xf>
    <xf numFmtId="0" fontId="45" fillId="10" borderId="8" xfId="0" applyFont="1" applyFill="1" applyBorder="1" applyAlignment="1" applyProtection="1">
      <alignment horizontal="centerContinuous"/>
    </xf>
    <xf numFmtId="0" fontId="0" fillId="10" borderId="8" xfId="0" applyFill="1" applyBorder="1" applyAlignment="1" applyProtection="1">
      <alignment horizontal="centerContinuous"/>
    </xf>
    <xf numFmtId="0" fontId="0" fillId="10" borderId="14" xfId="0" applyFill="1" applyBorder="1" applyAlignment="1" applyProtection="1">
      <alignment horizontal="centerContinuous"/>
    </xf>
    <xf numFmtId="0" fontId="0" fillId="0" borderId="0" xfId="0" applyProtection="1"/>
    <xf numFmtId="0" fontId="0" fillId="10" borderId="15" xfId="0" applyFill="1" applyBorder="1" applyProtection="1"/>
    <xf numFmtId="0" fontId="53" fillId="10" borderId="0" xfId="0" applyFont="1" applyFill="1" applyBorder="1" applyProtection="1"/>
    <xf numFmtId="0" fontId="0" fillId="10" borderId="0" xfId="0" applyFill="1" applyBorder="1" applyProtection="1"/>
    <xf numFmtId="0" fontId="0" fillId="10" borderId="11" xfId="0" applyFill="1" applyBorder="1" applyProtection="1"/>
    <xf numFmtId="0" fontId="41" fillId="0" borderId="37" xfId="0" applyFont="1" applyFill="1" applyBorder="1" applyProtection="1"/>
    <xf numFmtId="0" fontId="0" fillId="0" borderId="37" xfId="0" applyFill="1" applyBorder="1" applyProtection="1"/>
    <xf numFmtId="0" fontId="2" fillId="0" borderId="37" xfId="0" applyFont="1" applyFill="1" applyBorder="1" applyProtection="1"/>
    <xf numFmtId="0" fontId="2" fillId="0" borderId="0" xfId="0" applyFont="1" applyFill="1" applyBorder="1" applyProtection="1"/>
    <xf numFmtId="0" fontId="4" fillId="10" borderId="0" xfId="0" applyFont="1" applyFill="1" applyBorder="1" applyAlignment="1" applyProtection="1">
      <alignment horizontal="center"/>
    </xf>
    <xf numFmtId="0" fontId="26" fillId="10" borderId="11" xfId="0" applyFont="1" applyFill="1" applyBorder="1" applyProtection="1"/>
    <xf numFmtId="0" fontId="0" fillId="0" borderId="0" xfId="0" applyBorder="1" applyProtection="1"/>
    <xf numFmtId="0" fontId="0" fillId="0" borderId="0" xfId="0" applyFill="1" applyBorder="1" applyProtection="1"/>
    <xf numFmtId="0" fontId="27" fillId="0" borderId="15" xfId="0" applyFont="1" applyBorder="1" applyProtection="1"/>
    <xf numFmtId="0" fontId="7" fillId="10" borderId="11" xfId="0" applyFont="1" applyFill="1" applyBorder="1" applyProtection="1"/>
    <xf numFmtId="3" fontId="7" fillId="7" borderId="10" xfId="5" applyNumberFormat="1" applyFont="1" applyFill="1" applyBorder="1" applyAlignment="1" applyProtection="1">
      <alignment horizontal="center" vertical="center"/>
    </xf>
    <xf numFmtId="0" fontId="17" fillId="10" borderId="11" xfId="0" applyFont="1" applyFill="1" applyBorder="1" applyProtection="1"/>
    <xf numFmtId="0" fontId="53" fillId="0" borderId="0" xfId="0" applyFont="1" applyFill="1" applyBorder="1" applyAlignment="1" applyProtection="1">
      <alignment horizontal="right"/>
    </xf>
    <xf numFmtId="0" fontId="25" fillId="0" borderId="0" xfId="0" applyFont="1" applyFill="1" applyBorder="1" applyAlignment="1" applyProtection="1">
      <alignment horizontal="right"/>
    </xf>
    <xf numFmtId="166" fontId="7" fillId="0" borderId="0" xfId="2" applyNumberFormat="1" applyFont="1" applyFill="1" applyBorder="1" applyAlignment="1" applyProtection="1">
      <alignment horizontal="center" vertical="center"/>
    </xf>
    <xf numFmtId="3" fontId="7" fillId="11" borderId="10" xfId="2" applyNumberFormat="1" applyFont="1" applyFill="1" applyBorder="1" applyAlignment="1" applyProtection="1">
      <alignment horizontal="center" vertical="center"/>
    </xf>
    <xf numFmtId="166" fontId="7" fillId="0" borderId="2" xfId="2" applyNumberFormat="1" applyFont="1" applyFill="1" applyBorder="1" applyAlignment="1" applyProtection="1">
      <alignment horizontal="center" vertical="center"/>
    </xf>
    <xf numFmtId="0" fontId="7" fillId="10" borderId="0" xfId="0" applyFont="1" applyFill="1" applyBorder="1" applyProtection="1"/>
    <xf numFmtId="0" fontId="51" fillId="2" borderId="0" xfId="0" applyFont="1" applyFill="1" applyBorder="1" applyAlignment="1" applyProtection="1">
      <alignment horizontal="right"/>
    </xf>
    <xf numFmtId="0" fontId="2" fillId="0" borderId="0" xfId="0" applyFont="1" applyFill="1" applyBorder="1" applyAlignment="1" applyProtection="1">
      <alignment horizontal="right"/>
    </xf>
    <xf numFmtId="164" fontId="51" fillId="0" borderId="10" xfId="2" applyNumberFormat="1" applyFont="1" applyFill="1" applyBorder="1" applyAlignment="1" applyProtection="1">
      <alignment horizontal="center" vertical="center"/>
    </xf>
    <xf numFmtId="164" fontId="7" fillId="0" borderId="0" xfId="2" applyNumberFormat="1" applyFont="1" applyFill="1" applyBorder="1" applyAlignment="1" applyProtection="1">
      <alignment horizontal="center" vertical="center"/>
    </xf>
    <xf numFmtId="0" fontId="7" fillId="10" borderId="0" xfId="0" applyFont="1" applyFill="1" applyBorder="1" applyAlignment="1" applyProtection="1">
      <alignment horizontal="left" vertical="center"/>
    </xf>
    <xf numFmtId="164" fontId="51" fillId="0" borderId="0" xfId="2" applyNumberFormat="1" applyFont="1" applyFill="1" applyBorder="1" applyAlignment="1" applyProtection="1">
      <alignment horizontal="center" vertical="center"/>
    </xf>
    <xf numFmtId="0" fontId="7" fillId="10" borderId="0" xfId="0" applyFont="1" applyFill="1" applyProtection="1"/>
    <xf numFmtId="0" fontId="0" fillId="0" borderId="38" xfId="0" applyBorder="1" applyProtection="1"/>
    <xf numFmtId="0" fontId="8" fillId="10" borderId="0" xfId="0" applyFont="1" applyFill="1" applyBorder="1" applyAlignment="1" applyProtection="1">
      <alignment horizontal="left" vertical="center" indent="2"/>
    </xf>
    <xf numFmtId="165" fontId="7" fillId="7" borderId="10" xfId="2" applyNumberFormat="1" applyFont="1" applyFill="1" applyBorder="1" applyAlignment="1" applyProtection="1">
      <alignment horizontal="center" vertical="center"/>
    </xf>
    <xf numFmtId="0" fontId="41" fillId="0" borderId="0" xfId="0" applyFont="1" applyFill="1" applyBorder="1" applyProtection="1"/>
    <xf numFmtId="166" fontId="7" fillId="7" borderId="10" xfId="2" applyNumberFormat="1" applyFont="1" applyFill="1" applyBorder="1" applyAlignment="1" applyProtection="1">
      <alignment horizontal="center" vertical="center"/>
    </xf>
    <xf numFmtId="0" fontId="7" fillId="0" borderId="0" xfId="0" applyFont="1" applyFill="1" applyBorder="1" applyAlignment="1" applyProtection="1">
      <alignment horizontal="right"/>
    </xf>
    <xf numFmtId="0" fontId="4" fillId="0" borderId="0" xfId="0" applyFont="1" applyFill="1" applyBorder="1" applyAlignment="1" applyProtection="1">
      <alignment horizontal="right"/>
    </xf>
    <xf numFmtId="164" fontId="7" fillId="11" borderId="10" xfId="2" applyNumberFormat="1" applyFont="1" applyFill="1" applyBorder="1" applyAlignment="1" applyProtection="1">
      <alignment horizontal="center" vertical="center"/>
    </xf>
    <xf numFmtId="165" fontId="7" fillId="11" borderId="10" xfId="2" applyNumberFormat="1" applyFont="1" applyFill="1" applyBorder="1" applyAlignment="1" applyProtection="1">
      <alignment horizontal="center" vertical="center"/>
    </xf>
    <xf numFmtId="165" fontId="0" fillId="0" borderId="0" xfId="2" applyNumberFormat="1" applyFont="1" applyFill="1" applyBorder="1" applyAlignment="1" applyProtection="1">
      <alignment horizontal="center" vertical="center"/>
    </xf>
    <xf numFmtId="164" fontId="0" fillId="0" borderId="0" xfId="2" applyNumberFormat="1" applyFont="1" applyFill="1" applyBorder="1" applyAlignment="1" applyProtection="1">
      <alignment horizontal="center" vertical="center"/>
    </xf>
    <xf numFmtId="0" fontId="8" fillId="10" borderId="8" xfId="0" applyFont="1" applyFill="1" applyBorder="1" applyProtection="1"/>
    <xf numFmtId="0" fontId="7" fillId="10" borderId="8" xfId="0" applyFont="1" applyFill="1" applyBorder="1" applyProtection="1"/>
    <xf numFmtId="0" fontId="8" fillId="0" borderId="0" xfId="0" applyFont="1" applyFill="1" applyBorder="1" applyAlignment="1" applyProtection="1">
      <alignment horizontal="left" vertical="top" wrapText="1"/>
    </xf>
    <xf numFmtId="0" fontId="8" fillId="10" borderId="0" xfId="0" applyFont="1" applyFill="1" applyBorder="1" applyProtection="1"/>
    <xf numFmtId="0" fontId="7" fillId="10" borderId="0" xfId="0" applyFont="1" applyFill="1" applyBorder="1" applyAlignment="1" applyProtection="1">
      <alignment horizontal="left" indent="2"/>
    </xf>
    <xf numFmtId="169" fontId="0" fillId="0" borderId="15" xfId="2" applyNumberFormat="1" applyFont="1" applyBorder="1" applyProtection="1"/>
    <xf numFmtId="0" fontId="0" fillId="10" borderId="16" xfId="0" applyFill="1" applyBorder="1" applyProtection="1"/>
    <xf numFmtId="0" fontId="26" fillId="10" borderId="1" xfId="0" applyFont="1" applyFill="1" applyBorder="1" applyProtection="1"/>
    <xf numFmtId="0" fontId="0" fillId="10" borderId="1" xfId="0" applyFill="1" applyBorder="1" applyProtection="1"/>
    <xf numFmtId="0" fontId="17" fillId="10" borderId="12" xfId="0" applyFont="1" applyFill="1" applyBorder="1" applyProtection="1"/>
    <xf numFmtId="0" fontId="53" fillId="0" borderId="0" xfId="0" applyFont="1" applyAlignment="1" applyProtection="1">
      <alignment horizontal="right"/>
    </xf>
    <xf numFmtId="0" fontId="25" fillId="0" borderId="0" xfId="0" applyFont="1" applyAlignment="1" applyProtection="1">
      <alignment horizontal="right"/>
    </xf>
    <xf numFmtId="0" fontId="17" fillId="0" borderId="0" xfId="0" applyFont="1" applyFill="1" applyProtection="1"/>
    <xf numFmtId="0" fontId="52" fillId="0" borderId="0" xfId="0" applyFont="1" applyFill="1" applyAlignment="1" applyProtection="1">
      <alignment horizontal="right"/>
    </xf>
    <xf numFmtId="0" fontId="25" fillId="0" borderId="0" xfId="0" applyFont="1" applyFill="1" applyAlignment="1" applyProtection="1">
      <alignment horizontal="right"/>
    </xf>
    <xf numFmtId="166" fontId="0" fillId="0" borderId="0" xfId="2" applyNumberFormat="1" applyFont="1" applyFill="1" applyBorder="1" applyAlignment="1" applyProtection="1">
      <alignment horizontal="center" vertical="center"/>
    </xf>
    <xf numFmtId="0" fontId="0" fillId="0" borderId="40" xfId="0" applyBorder="1" applyProtection="1"/>
    <xf numFmtId="0" fontId="41" fillId="0" borderId="40" xfId="0" applyFont="1" applyFill="1" applyBorder="1" applyAlignment="1" applyProtection="1">
      <alignment horizontal="left"/>
    </xf>
    <xf numFmtId="0" fontId="2" fillId="0" borderId="40" xfId="0" applyFont="1" applyFill="1" applyBorder="1" applyProtection="1"/>
    <xf numFmtId="0" fontId="41" fillId="0" borderId="0" xfId="0" applyFont="1" applyFill="1" applyBorder="1" applyAlignment="1" applyProtection="1">
      <alignment horizontal="left"/>
    </xf>
    <xf numFmtId="0" fontId="51" fillId="2" borderId="0" xfId="0" applyFont="1" applyFill="1" applyAlignment="1" applyProtection="1">
      <alignment horizontal="right"/>
    </xf>
    <xf numFmtId="0" fontId="0" fillId="0" borderId="0" xfId="0" applyAlignment="1" applyProtection="1">
      <alignment horizontal="right"/>
    </xf>
    <xf numFmtId="0" fontId="8" fillId="0" borderId="0" xfId="0" applyFont="1" applyFill="1" applyAlignment="1" applyProtection="1">
      <alignment horizontal="right" vertical="top" wrapText="1"/>
    </xf>
    <xf numFmtId="164" fontId="51" fillId="0" borderId="8" xfId="2" applyNumberFormat="1" applyFont="1" applyFill="1" applyBorder="1" applyAlignment="1" applyProtection="1">
      <alignment horizontal="center" vertical="center"/>
    </xf>
    <xf numFmtId="0" fontId="2" fillId="0" borderId="0" xfId="0" applyFont="1" applyAlignment="1" applyProtection="1">
      <alignment horizontal="right"/>
    </xf>
    <xf numFmtId="0" fontId="41" fillId="0" borderId="40" xfId="0" applyFont="1" applyFill="1" applyBorder="1" applyProtection="1"/>
    <xf numFmtId="0" fontId="0" fillId="0" borderId="11" xfId="0" applyFill="1" applyBorder="1" applyProtection="1"/>
    <xf numFmtId="0" fontId="7" fillId="0" borderId="0" xfId="0" applyFont="1" applyAlignment="1" applyProtection="1">
      <alignment horizontal="right"/>
    </xf>
    <xf numFmtId="0" fontId="0" fillId="0" borderId="39" xfId="0" applyBorder="1" applyProtection="1"/>
    <xf numFmtId="0" fontId="8" fillId="0" borderId="0" xfId="0" applyFont="1" applyFill="1" applyBorder="1" applyAlignment="1" applyProtection="1">
      <alignment horizontal="right" vertical="top" wrapText="1"/>
    </xf>
    <xf numFmtId="0" fontId="4" fillId="0" borderId="0" xfId="0" applyFont="1" applyFill="1" applyBorder="1" applyAlignment="1" applyProtection="1">
      <alignment vertical="top" wrapText="1"/>
    </xf>
    <xf numFmtId="9" fontId="2" fillId="0" borderId="10" xfId="2" applyFont="1" applyFill="1" applyBorder="1" applyAlignment="1" applyProtection="1">
      <alignment horizontal="center" vertical="center"/>
    </xf>
    <xf numFmtId="0" fontId="4" fillId="0" borderId="38" xfId="0" applyFont="1" applyFill="1" applyBorder="1" applyAlignment="1" applyProtection="1">
      <alignment vertical="top" wrapText="1"/>
    </xf>
    <xf numFmtId="9" fontId="0" fillId="0" borderId="38" xfId="2" applyFont="1" applyFill="1" applyBorder="1" applyAlignment="1" applyProtection="1">
      <alignment horizontal="center" vertical="center"/>
    </xf>
    <xf numFmtId="0" fontId="4" fillId="0" borderId="0" xfId="0" applyFont="1" applyFill="1" applyBorder="1" applyAlignment="1" applyProtection="1">
      <alignment wrapText="1"/>
    </xf>
    <xf numFmtId="0" fontId="6" fillId="0" borderId="0" xfId="0" applyFont="1" applyProtection="1"/>
    <xf numFmtId="0" fontId="8" fillId="0" borderId="0" xfId="0" applyFont="1" applyProtection="1"/>
    <xf numFmtId="0" fontId="8" fillId="0" borderId="0" xfId="0" applyFont="1" applyFill="1" applyBorder="1" applyAlignment="1" applyProtection="1">
      <alignment horizontal="left" vertical="top"/>
    </xf>
    <xf numFmtId="0" fontId="0" fillId="10" borderId="0" xfId="0" applyFill="1" applyBorder="1" applyAlignment="1" applyProtection="1">
      <alignment horizontal="left" vertical="center" indent="2"/>
    </xf>
    <xf numFmtId="165" fontId="0" fillId="9" borderId="10" xfId="2" applyNumberFormat="1" applyFont="1" applyFill="1" applyBorder="1" applyAlignment="1" applyProtection="1">
      <alignment horizontal="center" vertical="center"/>
    </xf>
    <xf numFmtId="166" fontId="0" fillId="9" borderId="10" xfId="2" applyNumberFormat="1" applyFont="1" applyFill="1" applyBorder="1" applyAlignment="1" applyProtection="1">
      <alignment horizontal="center" vertical="center"/>
    </xf>
    <xf numFmtId="0" fontId="0" fillId="10" borderId="0" xfId="0" applyFill="1" applyBorder="1" applyAlignment="1" applyProtection="1">
      <alignment horizontal="left" vertical="center"/>
    </xf>
    <xf numFmtId="164" fontId="0" fillId="6" borderId="10" xfId="2" applyNumberFormat="1" applyFont="1" applyFill="1" applyBorder="1" applyAlignment="1" applyProtection="1">
      <alignment horizontal="center" vertical="center"/>
    </xf>
    <xf numFmtId="168" fontId="0" fillId="9" borderId="10" xfId="2" applyNumberFormat="1" applyFont="1" applyFill="1" applyBorder="1" applyAlignment="1" applyProtection="1">
      <alignment horizontal="center" vertical="center"/>
    </xf>
    <xf numFmtId="0" fontId="0" fillId="10" borderId="0" xfId="0" applyFill="1" applyProtection="1"/>
    <xf numFmtId="0" fontId="0" fillId="10" borderId="0" xfId="0" applyFill="1" applyBorder="1" applyAlignment="1" applyProtection="1">
      <alignment horizontal="left" vertical="center" wrapText="1"/>
    </xf>
    <xf numFmtId="166" fontId="0" fillId="7" borderId="10" xfId="2" applyNumberFormat="1" applyFont="1" applyFill="1" applyBorder="1" applyAlignment="1" applyProtection="1">
      <alignment horizontal="center" vertical="center"/>
    </xf>
    <xf numFmtId="166" fontId="0" fillId="10" borderId="0" xfId="2" applyNumberFormat="1" applyFont="1" applyFill="1" applyBorder="1" applyAlignment="1" applyProtection="1">
      <alignment horizontal="center" vertical="center"/>
    </xf>
    <xf numFmtId="0" fontId="13" fillId="0" borderId="0" xfId="0" applyFont="1" applyProtection="1"/>
    <xf numFmtId="9" fontId="13" fillId="0" borderId="10" xfId="5" applyNumberFormat="1" applyFont="1" applyFill="1" applyBorder="1" applyProtection="1"/>
    <xf numFmtId="0" fontId="0" fillId="0" borderId="0" xfId="0" applyFont="1" applyFill="1" applyAlignment="1" applyProtection="1">
      <alignment wrapText="1"/>
    </xf>
    <xf numFmtId="167" fontId="0" fillId="0" borderId="10" xfId="1" applyNumberFormat="1" applyFont="1" applyBorder="1" applyProtection="1"/>
    <xf numFmtId="37" fontId="0" fillId="0" borderId="10" xfId="0" applyNumberFormat="1" applyBorder="1" applyProtection="1"/>
    <xf numFmtId="0" fontId="24" fillId="0" borderId="0" xfId="0" applyFont="1" applyFill="1" applyProtection="1"/>
    <xf numFmtId="167" fontId="0" fillId="0" borderId="10" xfId="0" applyNumberFormat="1" applyFill="1" applyBorder="1" applyProtection="1"/>
    <xf numFmtId="0" fontId="2" fillId="0" borderId="0" xfId="0" applyFont="1" applyProtection="1"/>
    <xf numFmtId="2" fontId="13" fillId="0" borderId="10" xfId="5" applyNumberFormat="1" applyFont="1" applyFill="1" applyBorder="1" applyProtection="1"/>
    <xf numFmtId="167" fontId="0" fillId="0" borderId="10" xfId="0" applyNumberFormat="1" applyBorder="1" applyProtection="1"/>
    <xf numFmtId="0" fontId="5" fillId="0" borderId="0" xfId="0" applyFont="1" applyAlignment="1" applyProtection="1">
      <alignment horizontal="left" indent="1"/>
    </xf>
    <xf numFmtId="0" fontId="0" fillId="0" borderId="0" xfId="0" applyAlignment="1" applyProtection="1">
      <alignment horizontal="left" indent="1"/>
    </xf>
    <xf numFmtId="0" fontId="2" fillId="0" borderId="0" xfId="0" applyFont="1" applyAlignment="1" applyProtection="1">
      <alignment horizontal="left" indent="1"/>
    </xf>
    <xf numFmtId="0" fontId="13" fillId="0" borderId="0" xfId="0" applyFont="1" applyFill="1" applyBorder="1" applyProtection="1"/>
    <xf numFmtId="9" fontId="13" fillId="0" borderId="0" xfId="0" applyNumberFormat="1" applyFont="1" applyProtection="1"/>
    <xf numFmtId="9" fontId="0" fillId="0" borderId="10" xfId="5" applyNumberFormat="1" applyFont="1" applyFill="1" applyBorder="1" applyProtection="1"/>
    <xf numFmtId="165" fontId="0" fillId="0" borderId="10" xfId="1" applyNumberFormat="1" applyFont="1" applyBorder="1" applyProtection="1"/>
    <xf numFmtId="0" fontId="50" fillId="0" borderId="0" xfId="0" applyFont="1" applyFill="1" applyProtection="1"/>
    <xf numFmtId="0" fontId="49" fillId="9" borderId="0" xfId="0" applyFont="1" applyFill="1" applyBorder="1" applyAlignment="1" applyProtection="1">
      <alignment vertical="center"/>
      <protection locked="0"/>
    </xf>
    <xf numFmtId="0" fontId="33" fillId="0" borderId="0" xfId="0" applyFont="1" applyAlignment="1" applyProtection="1">
      <alignment horizontal="center" vertical="center"/>
    </xf>
    <xf numFmtId="0" fontId="19" fillId="0" borderId="0" xfId="0" applyFont="1" applyFill="1" applyAlignment="1" applyProtection="1">
      <alignment horizontal="center"/>
    </xf>
    <xf numFmtId="0" fontId="34" fillId="0" borderId="0" xfId="0" applyFont="1" applyFill="1" applyAlignment="1" applyProtection="1">
      <alignment horizontal="center"/>
    </xf>
    <xf numFmtId="0" fontId="41" fillId="8" borderId="0" xfId="0" applyFont="1" applyFill="1" applyAlignment="1" applyProtection="1">
      <alignment vertical="center"/>
    </xf>
    <xf numFmtId="0" fontId="0" fillId="8" borderId="0" xfId="0" applyFill="1" applyAlignment="1" applyProtection="1">
      <alignment vertical="top"/>
    </xf>
    <xf numFmtId="0" fontId="0" fillId="8" borderId="0" xfId="0" applyFill="1" applyAlignment="1" applyProtection="1">
      <alignment horizontal="center" vertical="top" wrapText="1"/>
    </xf>
    <xf numFmtId="0" fontId="2" fillId="8" borderId="0" xfId="0" applyFont="1" applyFill="1" applyBorder="1" applyAlignment="1" applyProtection="1">
      <alignment horizontal="center" vertical="top" wrapText="1"/>
    </xf>
    <xf numFmtId="0" fontId="0" fillId="8" borderId="0" xfId="0" applyFill="1" applyBorder="1" applyAlignment="1" applyProtection="1"/>
    <xf numFmtId="0" fontId="41" fillId="0" borderId="0" xfId="0" applyFont="1" applyFill="1" applyAlignment="1" applyProtection="1">
      <alignment vertical="center"/>
    </xf>
    <xf numFmtId="0" fontId="0" fillId="0" borderId="0" xfId="0" applyFill="1" applyBorder="1" applyAlignment="1" applyProtection="1"/>
    <xf numFmtId="0" fontId="38" fillId="0" borderId="0" xfId="0" applyFont="1" applyFill="1" applyAlignment="1" applyProtection="1">
      <alignment horizontal="left"/>
    </xf>
    <xf numFmtId="0" fontId="26" fillId="0" borderId="0" xfId="0" applyFont="1" applyFill="1" applyAlignment="1" applyProtection="1">
      <alignment horizontal="center" vertical="center" wrapText="1"/>
    </xf>
    <xf numFmtId="0" fontId="26" fillId="0" borderId="0" xfId="0" applyFont="1" applyFill="1" applyAlignment="1" applyProtection="1">
      <alignment horizontal="center" vertical="center"/>
    </xf>
    <xf numFmtId="0" fontId="40" fillId="0" borderId="18" xfId="0" applyFont="1" applyBorder="1" applyAlignment="1" applyProtection="1">
      <alignment vertical="center"/>
    </xf>
    <xf numFmtId="164" fontId="36" fillId="0" borderId="18" xfId="0" applyNumberFormat="1" applyFont="1" applyBorder="1" applyAlignment="1" applyProtection="1">
      <alignment horizontal="center" vertical="center"/>
    </xf>
    <xf numFmtId="164" fontId="35" fillId="0" borderId="18" xfId="0" applyNumberFormat="1" applyFont="1" applyBorder="1" applyAlignment="1" applyProtection="1">
      <alignment horizontal="left" vertical="center" wrapText="1"/>
    </xf>
    <xf numFmtId="0" fontId="40" fillId="0" borderId="0" xfId="0" applyFont="1" applyBorder="1" applyAlignment="1" applyProtection="1">
      <alignment vertical="center"/>
    </xf>
    <xf numFmtId="164" fontId="36" fillId="0" borderId="0" xfId="0" applyNumberFormat="1" applyFont="1" applyBorder="1" applyAlignment="1" applyProtection="1">
      <alignment horizontal="center" vertical="center"/>
    </xf>
    <xf numFmtId="0" fontId="35" fillId="0" borderId="0" xfId="0" applyFont="1" applyBorder="1" applyAlignment="1" applyProtection="1">
      <alignment horizontal="left" vertical="center" wrapText="1"/>
    </xf>
    <xf numFmtId="0" fontId="40" fillId="0" borderId="19" xfId="0" applyFont="1" applyBorder="1" applyAlignment="1" applyProtection="1">
      <alignment horizontal="left" vertical="center"/>
    </xf>
    <xf numFmtId="164" fontId="36" fillId="0" borderId="19" xfId="0" applyNumberFormat="1" applyFont="1" applyBorder="1" applyAlignment="1" applyProtection="1">
      <alignment horizontal="center" vertical="center"/>
    </xf>
    <xf numFmtId="0" fontId="35" fillId="0" borderId="19" xfId="0" applyFont="1" applyBorder="1" applyAlignment="1" applyProtection="1">
      <alignment horizontal="left" vertical="center" wrapText="1"/>
    </xf>
    <xf numFmtId="0" fontId="2" fillId="0" borderId="0" xfId="0" applyFont="1" applyFill="1" applyAlignment="1" applyProtection="1">
      <alignment vertical="top"/>
    </xf>
    <xf numFmtId="0" fontId="37" fillId="0" borderId="18" xfId="0" applyFont="1" applyBorder="1" applyAlignment="1" applyProtection="1">
      <alignment vertical="center"/>
    </xf>
    <xf numFmtId="0" fontId="0" fillId="0" borderId="18" xfId="0" applyFill="1" applyBorder="1" applyAlignment="1" applyProtection="1">
      <alignment vertical="top"/>
    </xf>
    <xf numFmtId="0" fontId="43" fillId="0" borderId="0" xfId="0" applyFont="1" applyAlignment="1" applyProtection="1">
      <alignment horizontal="left" vertical="center" indent="2"/>
    </xf>
    <xf numFmtId="0" fontId="43" fillId="0" borderId="19" xfId="0" applyFont="1" applyBorder="1" applyAlignment="1" applyProtection="1">
      <alignment horizontal="left" vertical="center" indent="2"/>
    </xf>
    <xf numFmtId="0" fontId="43" fillId="0" borderId="18" xfId="0" applyFont="1" applyBorder="1" applyAlignment="1" applyProtection="1">
      <alignment horizontal="left" vertical="center"/>
    </xf>
    <xf numFmtId="0" fontId="35" fillId="0" borderId="18" xfId="0" applyFont="1" applyBorder="1" applyAlignment="1" applyProtection="1">
      <alignment horizontal="left" vertical="center" wrapText="1"/>
    </xf>
    <xf numFmtId="0" fontId="43" fillId="0" borderId="19" xfId="0" applyFont="1" applyBorder="1" applyAlignment="1" applyProtection="1">
      <alignment vertical="center"/>
    </xf>
    <xf numFmtId="0" fontId="43" fillId="0" borderId="29" xfId="0" applyFont="1" applyBorder="1" applyAlignment="1" applyProtection="1">
      <alignment horizontal="left" vertical="center"/>
    </xf>
    <xf numFmtId="164" fontId="36" fillId="0" borderId="29" xfId="0" applyNumberFormat="1" applyFont="1" applyBorder="1" applyAlignment="1" applyProtection="1">
      <alignment horizontal="center" vertical="center"/>
    </xf>
    <xf numFmtId="0" fontId="35" fillId="0" borderId="29" xfId="0" applyFont="1" applyBorder="1" applyAlignment="1" applyProtection="1">
      <alignment horizontal="left" vertical="center" wrapText="1"/>
    </xf>
    <xf numFmtId="0" fontId="6" fillId="0" borderId="0" xfId="0" applyFont="1" applyFill="1" applyProtection="1"/>
    <xf numFmtId="0" fontId="7" fillId="0" borderId="0" xfId="0" applyFont="1" applyFill="1" applyProtection="1"/>
    <xf numFmtId="0" fontId="0" fillId="0" borderId="0" xfId="0" applyFill="1" applyAlignment="1" applyProtection="1">
      <alignment vertical="center"/>
    </xf>
    <xf numFmtId="0" fontId="8" fillId="0" borderId="0" xfId="0" applyFont="1" applyFill="1" applyAlignment="1" applyProtection="1">
      <alignment vertical="center"/>
    </xf>
    <xf numFmtId="0" fontId="7" fillId="0" borderId="0" xfId="0" applyFont="1" applyFill="1" applyAlignment="1" applyProtection="1">
      <alignment vertical="center"/>
    </xf>
    <xf numFmtId="0" fontId="0" fillId="0" borderId="21" xfId="0" applyFill="1" applyBorder="1" applyProtection="1">
      <protection locked="0"/>
    </xf>
    <xf numFmtId="0" fontId="26" fillId="0" borderId="22" xfId="0" applyFont="1" applyFill="1" applyBorder="1" applyProtection="1">
      <protection locked="0"/>
    </xf>
    <xf numFmtId="0" fontId="0" fillId="0" borderId="23" xfId="0" applyFill="1" applyBorder="1" applyProtection="1">
      <protection locked="0"/>
    </xf>
    <xf numFmtId="0" fontId="5" fillId="0" borderId="24" xfId="0" applyFont="1" applyFill="1" applyBorder="1" applyProtection="1">
      <protection locked="0"/>
    </xf>
    <xf numFmtId="0" fontId="9" fillId="0" borderId="25" xfId="0" applyFont="1" applyFill="1" applyBorder="1" applyAlignment="1" applyProtection="1">
      <alignment horizontal="center" vertical="center" wrapText="1"/>
      <protection locked="0"/>
    </xf>
    <xf numFmtId="0" fontId="5" fillId="0" borderId="26" xfId="0" applyFont="1" applyFill="1" applyBorder="1" applyProtection="1">
      <protection locked="0"/>
    </xf>
    <xf numFmtId="0" fontId="9" fillId="0" borderId="28" xfId="0" applyFont="1" applyFill="1" applyBorder="1" applyAlignment="1" applyProtection="1">
      <alignment horizontal="center" vertical="center" wrapText="1"/>
      <protection locked="0"/>
    </xf>
    <xf numFmtId="0" fontId="41" fillId="8" borderId="0" xfId="0" applyFont="1" applyFill="1" applyBorder="1" applyAlignment="1" applyProtection="1">
      <alignment horizontal="right" vertical="center"/>
    </xf>
    <xf numFmtId="0" fontId="41" fillId="13" borderId="0" xfId="0" applyFont="1" applyFill="1" applyBorder="1" applyAlignment="1" applyProtection="1">
      <alignment horizontal="right" vertical="center"/>
    </xf>
    <xf numFmtId="0" fontId="41" fillId="15" borderId="0" xfId="0" applyFont="1" applyFill="1" applyBorder="1" applyAlignment="1" applyProtection="1">
      <alignment horizontal="right" vertical="center"/>
    </xf>
    <xf numFmtId="0" fontId="41" fillId="14" borderId="0" xfId="0" applyFont="1" applyFill="1" applyBorder="1" applyAlignment="1" applyProtection="1">
      <alignment horizontal="right" vertical="center"/>
    </xf>
    <xf numFmtId="0" fontId="55" fillId="0" borderId="0" xfId="0" applyFont="1"/>
    <xf numFmtId="0" fontId="55" fillId="3" borderId="0" xfId="0" applyFont="1" applyFill="1"/>
    <xf numFmtId="164" fontId="36" fillId="0" borderId="35" xfId="0" applyNumberFormat="1" applyFont="1" applyBorder="1" applyAlignment="1" applyProtection="1">
      <alignment horizontal="center" vertical="center"/>
    </xf>
    <xf numFmtId="0" fontId="28" fillId="0" borderId="0" xfId="0" applyFont="1" applyAlignment="1">
      <alignment vertical="top" wrapText="1"/>
    </xf>
    <xf numFmtId="0" fontId="29" fillId="0" borderId="0" xfId="0" applyFont="1" applyAlignment="1">
      <alignment vertical="top" wrapText="1"/>
    </xf>
    <xf numFmtId="0" fontId="0" fillId="0" borderId="0" xfId="0" applyFont="1" applyAlignment="1">
      <alignment vertical="top" wrapText="1"/>
    </xf>
    <xf numFmtId="0" fontId="0" fillId="0" borderId="6" xfId="0" applyFill="1" applyBorder="1" applyAlignment="1">
      <alignment horizontal="left" vertical="center" wrapText="1"/>
    </xf>
    <xf numFmtId="0" fontId="0" fillId="0" borderId="0" xfId="0" applyFill="1" applyBorder="1" applyAlignment="1">
      <alignment horizontal="left" vertical="center" wrapText="1"/>
    </xf>
    <xf numFmtId="0" fontId="0" fillId="0" borderId="7" xfId="0" applyFill="1" applyBorder="1" applyAlignment="1">
      <alignment horizontal="left" vertical="center" wrapText="1"/>
    </xf>
    <xf numFmtId="0" fontId="8" fillId="0" borderId="0" xfId="0" applyFont="1" applyAlignment="1">
      <alignment vertical="center" wrapText="1"/>
    </xf>
    <xf numFmtId="0" fontId="7" fillId="0" borderId="0" xfId="0" applyFont="1" applyAlignment="1">
      <alignment vertical="center" wrapText="1"/>
    </xf>
    <xf numFmtId="0" fontId="0" fillId="0" borderId="0" xfId="0" applyAlignment="1">
      <alignment vertical="center"/>
    </xf>
    <xf numFmtId="0" fontId="8" fillId="3" borderId="0" xfId="0" applyFont="1" applyFill="1" applyAlignment="1">
      <alignment vertical="center" wrapText="1"/>
    </xf>
    <xf numFmtId="0" fontId="8" fillId="3" borderId="0" xfId="0" applyFont="1" applyFill="1" applyAlignment="1">
      <alignment vertical="center"/>
    </xf>
    <xf numFmtId="0" fontId="0" fillId="3" borderId="0" xfId="0" applyFill="1" applyAlignment="1">
      <alignment horizontal="center"/>
    </xf>
    <xf numFmtId="1" fontId="0" fillId="3" borderId="0" xfId="0" applyNumberFormat="1" applyFill="1" applyAlignment="1">
      <alignment horizontal="center"/>
    </xf>
    <xf numFmtId="0" fontId="8" fillId="0" borderId="0" xfId="0" applyFont="1" applyFill="1" applyAlignment="1" applyProtection="1">
      <alignment horizontal="right" vertical="top" wrapText="1"/>
    </xf>
    <xf numFmtId="0" fontId="7" fillId="0" borderId="0" xfId="0" applyFont="1" applyAlignment="1">
      <alignment horizontal="left" vertical="center" wrapText="1"/>
    </xf>
    <xf numFmtId="0" fontId="4" fillId="0" borderId="0" xfId="0" applyFont="1" applyAlignment="1">
      <alignment wrapText="1"/>
    </xf>
    <xf numFmtId="0" fontId="0" fillId="0" borderId="0" xfId="0" applyAlignment="1">
      <alignment wrapText="1"/>
    </xf>
  </cellXfs>
  <cellStyles count="6">
    <cellStyle name="Comma" xfId="5" builtinId="3"/>
    <cellStyle name="Currency" xfId="1" builtinId="4"/>
    <cellStyle name="Normal" xfId="0" builtinId="0"/>
    <cellStyle name="Normal 2" xfId="3" xr:uid="{DCFA3258-9E12-46B3-ACAD-4BBCA171AC23}"/>
    <cellStyle name="Percent" xfId="2" builtinId="5"/>
    <cellStyle name="Percent 2" xfId="4" xr:uid="{AE1E9CBB-CC1E-4E57-BBCB-497E24087D3D}"/>
  </cellStyles>
  <dxfs count="118">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
      <font>
        <b/>
        <i val="0"/>
        <color rgb="FF00B050"/>
      </font>
    </dxf>
    <dxf>
      <font>
        <color rgb="FFFF0000"/>
      </font>
    </dxf>
  </dxfs>
  <tableStyles count="0" defaultTableStyle="TableStyleMedium2" defaultPivotStyle="PivotStyleLight16"/>
  <colors>
    <mruColors>
      <color rgb="FF9966FF"/>
      <color rgb="FFE0C1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Published Price</a:t>
            </a:r>
            <a:r>
              <a:rPr lang="en-US" baseline="0"/>
              <a:t> and Net Price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Graphics!$E$10</c:f>
              <c:strCache>
                <c:ptCount val="1"/>
                <c:pt idx="0">
                  <c:v>Abilene Christian University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Graphics!$D$11:$D$13</c:f>
              <c:strCache>
                <c:ptCount val="3"/>
                <c:pt idx="0">
                  <c:v>Tuition and fees (in-district)</c:v>
                </c:pt>
                <c:pt idx="1">
                  <c:v>Net price (Cost of Attendance)</c:v>
                </c:pt>
                <c:pt idx="2">
                  <c:v>Net price: Low income students ($0-$30k)</c:v>
                </c:pt>
              </c:strCache>
            </c:strRef>
          </c:cat>
          <c:val>
            <c:numRef>
              <c:f>Graphics!$E$11:$E$13</c:f>
              <c:numCache>
                <c:formatCode>"$"#,##0_);\("$"#,##0\)</c:formatCode>
                <c:ptCount val="3"/>
                <c:pt idx="0">
                  <c:v>33330</c:v>
                </c:pt>
                <c:pt idx="1">
                  <c:v>27584</c:v>
                </c:pt>
                <c:pt idx="2">
                  <c:v>23549</c:v>
                </c:pt>
              </c:numCache>
            </c:numRef>
          </c:val>
          <c:extLst>
            <c:ext xmlns:c16="http://schemas.microsoft.com/office/drawing/2014/chart" uri="{C3380CC4-5D6E-409C-BE32-E72D297353CC}">
              <c16:uniqueId val="{00000000-AC48-4997-8CA8-BD95A8897795}"/>
            </c:ext>
          </c:extLst>
        </c:ser>
        <c:ser>
          <c:idx val="2"/>
          <c:order val="1"/>
          <c:tx>
            <c:strRef>
              <c:f>Graphics!$F$10</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Graphics!$D$11:$D$13</c:f>
              <c:strCache>
                <c:ptCount val="3"/>
                <c:pt idx="0">
                  <c:v>Tuition and fees (in-district)</c:v>
                </c:pt>
                <c:pt idx="1">
                  <c:v>Net price (Cost of Attendance)</c:v>
                </c:pt>
                <c:pt idx="2">
                  <c:v>Net price: Low income students ($0-$30k)</c:v>
                </c:pt>
              </c:strCache>
            </c:strRef>
          </c:cat>
          <c:val>
            <c:numRef>
              <c:f>Graphics!$F$11:$F$13</c:f>
              <c:numCache>
                <c:formatCode>"$"#,##0_);\("$"#,##0\)</c:formatCode>
                <c:ptCount val="3"/>
                <c:pt idx="0">
                  <c:v>29876.744850701587</c:v>
                </c:pt>
                <c:pt idx="1">
                  <c:v>26376.872431725398</c:v>
                </c:pt>
                <c:pt idx="2">
                  <c:v>21816.356361689544</c:v>
                </c:pt>
              </c:numCache>
            </c:numRef>
          </c:val>
          <c:extLst>
            <c:ext xmlns:c16="http://schemas.microsoft.com/office/drawing/2014/chart" uri="{C3380CC4-5D6E-409C-BE32-E72D297353CC}">
              <c16:uniqueId val="{00000001-AC48-4997-8CA8-BD95A8897795}"/>
            </c:ext>
          </c:extLst>
        </c:ser>
        <c:dLbls>
          <c:dLblPos val="outEnd"/>
          <c:showLegendKey val="0"/>
          <c:showVal val="1"/>
          <c:showCatName val="0"/>
          <c:showSerName val="0"/>
          <c:showPercent val="0"/>
          <c:showBubbleSize val="0"/>
        </c:dLbls>
        <c:gapWidth val="219"/>
        <c:overlap val="-27"/>
        <c:axId val="836057816"/>
        <c:axId val="836059456"/>
      </c:barChart>
      <c:catAx>
        <c:axId val="836057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1"/>
        <c:axPos val="l"/>
        <c:numFmt formatCode="&quot;$&quot;#,##0_);\(&quot;$&quot;#,##0\)" sourceLinked="1"/>
        <c:majorTickMark val="out"/>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Student Faculty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Graphics!$M$88</c:f>
              <c:strCache>
                <c:ptCount val="1"/>
                <c:pt idx="0">
                  <c:v>Student-to-faculty ratio</c:v>
                </c:pt>
              </c:strCache>
            </c:strRef>
          </c:tx>
          <c:spPr>
            <a:solidFill>
              <a:schemeClr val="accent5"/>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1-2082-45B5-A573-5D7B794433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Graphics!$N$87:$O$87</c:f>
              <c:strCache>
                <c:ptCount val="2"/>
                <c:pt idx="0">
                  <c:v>Abilene Christian University</c:v>
                </c:pt>
                <c:pt idx="1">
                  <c:v>Private Master's University</c:v>
                </c:pt>
              </c:strCache>
            </c:strRef>
          </c:cat>
          <c:val>
            <c:numRef>
              <c:f>Graphics!$N$88:$O$88</c:f>
              <c:numCache>
                <c:formatCode>0.0</c:formatCode>
                <c:ptCount val="2"/>
                <c:pt idx="0">
                  <c:v>15.526256983240225</c:v>
                </c:pt>
                <c:pt idx="1">
                  <c:v>15.667952643315759</c:v>
                </c:pt>
              </c:numCache>
            </c:numRef>
          </c:val>
          <c:extLst>
            <c:ext xmlns:c16="http://schemas.microsoft.com/office/drawing/2014/chart" uri="{C3380CC4-5D6E-409C-BE32-E72D297353CC}">
              <c16:uniqueId val="{00000002-2082-45B5-A573-5D7B79443324}"/>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0.0" sourceLinked="1"/>
        <c:majorTickMark val="none"/>
        <c:minorTickMark val="none"/>
        <c:tickLblPos val="nextTo"/>
        <c:crossAx val="83605781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Completions per 100 FTE Students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Graphics!$L$109</c:f>
              <c:strCache>
                <c:ptCount val="1"/>
                <c:pt idx="0">
                  <c:v>Completions per 100 FTE</c:v>
                </c:pt>
              </c:strCache>
            </c:strRef>
          </c:tx>
          <c:spPr>
            <a:solidFill>
              <a:schemeClr val="accent1"/>
            </a:solidFill>
            <a:ln>
              <a:noFill/>
            </a:ln>
            <a:effectLst/>
          </c:spPr>
          <c:invertIfNegative val="0"/>
          <c:dPt>
            <c:idx val="0"/>
            <c:invertIfNegative val="0"/>
            <c:bubble3D val="0"/>
            <c:spPr>
              <a:solidFill>
                <a:srgbClr val="9966FF"/>
              </a:solidFill>
              <a:ln>
                <a:noFill/>
              </a:ln>
              <a:effectLst/>
            </c:spPr>
            <c:extLst>
              <c:ext xmlns:c16="http://schemas.microsoft.com/office/drawing/2014/chart" uri="{C3380CC4-5D6E-409C-BE32-E72D297353CC}">
                <c16:uniqueId val="{00000001-9E6B-42D3-9395-D66420A431D8}"/>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9E6B-42D3-9395-D66420A431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Graphics!$M$108:$N$108</c:f>
              <c:strCache>
                <c:ptCount val="2"/>
                <c:pt idx="0">
                  <c:v>Abilene Christian University</c:v>
                </c:pt>
                <c:pt idx="1">
                  <c:v>Private Master's University</c:v>
                </c:pt>
              </c:strCache>
            </c:strRef>
          </c:cat>
          <c:val>
            <c:numRef>
              <c:f>Graphics!$M$109:$N$109</c:f>
              <c:numCache>
                <c:formatCode>0.0</c:formatCode>
                <c:ptCount val="2"/>
                <c:pt idx="0">
                  <c:v>24.148250460405158</c:v>
                </c:pt>
                <c:pt idx="1">
                  <c:v>33.337881923483778</c:v>
                </c:pt>
              </c:numCache>
            </c:numRef>
          </c:val>
          <c:extLst>
            <c:ext xmlns:c16="http://schemas.microsoft.com/office/drawing/2014/chart" uri="{C3380CC4-5D6E-409C-BE32-E72D297353CC}">
              <c16:uniqueId val="{00000004-9E6B-42D3-9395-D66420A431D8}"/>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0.0" sourceLinked="1"/>
        <c:majorTickMark val="none"/>
        <c:minorTickMark val="none"/>
        <c:tickLblPos val="nextTo"/>
        <c:crossAx val="83605781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 per</a:t>
            </a:r>
            <a:r>
              <a:rPr lang="en-US" baseline="0"/>
              <a:t> Completion and</a:t>
            </a:r>
          </a:p>
          <a:p>
            <a:pPr>
              <a:defRPr/>
            </a:pPr>
            <a:r>
              <a:rPr lang="en-US" baseline="0"/>
              <a:t>Education-related Spending per SCH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Graphics!$C$130</c:f>
              <c:strCache>
                <c:ptCount val="1"/>
                <c:pt idx="0">
                  <c:v>Student credit hours per completion</c:v>
                </c:pt>
              </c:strCache>
            </c:strRef>
          </c:tx>
          <c:spPr>
            <a:solidFill>
              <a:srgbClr val="9966FF"/>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1-517A-4ABC-9791-C8C295F2C4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Graphics!$D$128:$G$129</c:f>
              <c:multiLvlStrCache>
                <c:ptCount val="4"/>
                <c:lvl>
                  <c:pt idx="0">
                    <c:v>Abilene Christian University</c:v>
                  </c:pt>
                  <c:pt idx="1">
                    <c:v>Private Master's University</c:v>
                  </c:pt>
                  <c:pt idx="2">
                    <c:v>Abilene Christian University</c:v>
                  </c:pt>
                  <c:pt idx="3">
                    <c:v>Private Master's University</c:v>
                  </c:pt>
                </c:lvl>
                <c:lvl>
                  <c:pt idx="0">
                    <c:v>Student credit hours per completion</c:v>
                  </c:pt>
                  <c:pt idx="2">
                    <c:v>Spending per credit hour</c:v>
                  </c:pt>
                </c:lvl>
              </c:multiLvlStrCache>
            </c:multiLvlStrRef>
          </c:cat>
          <c:val>
            <c:numRef>
              <c:f>Graphics!$D$130:$G$130</c:f>
              <c:numCache>
                <c:formatCode>0</c:formatCode>
                <c:ptCount val="4"/>
                <c:pt idx="0">
                  <c:v>125.86653956148713</c:v>
                </c:pt>
                <c:pt idx="1">
                  <c:v>90.971299098749569</c:v>
                </c:pt>
              </c:numCache>
            </c:numRef>
          </c:val>
          <c:extLst>
            <c:ext xmlns:c16="http://schemas.microsoft.com/office/drawing/2014/chart" uri="{C3380CC4-5D6E-409C-BE32-E72D297353CC}">
              <c16:uniqueId val="{00000002-517A-4ABC-9791-C8C295F2C4AF}"/>
            </c:ext>
          </c:extLst>
        </c:ser>
        <c:dLbls>
          <c:showLegendKey val="0"/>
          <c:showVal val="0"/>
          <c:showCatName val="0"/>
          <c:showSerName val="0"/>
          <c:showPercent val="0"/>
          <c:showBubbleSize val="0"/>
        </c:dLbls>
        <c:gapWidth val="219"/>
        <c:axId val="836057816"/>
        <c:axId val="836059456"/>
      </c:barChart>
      <c:barChart>
        <c:barDir val="col"/>
        <c:grouping val="clustered"/>
        <c:varyColors val="0"/>
        <c:ser>
          <c:idx val="2"/>
          <c:order val="1"/>
          <c:tx>
            <c:strRef>
              <c:f>Graphics!$C$131</c:f>
              <c:strCache>
                <c:ptCount val="1"/>
                <c:pt idx="0">
                  <c:v>Spending per credit hour</c:v>
                </c:pt>
              </c:strCache>
            </c:strRef>
          </c:tx>
          <c:spPr>
            <a:solidFill>
              <a:srgbClr val="CC99FF"/>
            </a:solidFill>
            <a:ln>
              <a:noFill/>
            </a:ln>
            <a:effectLst/>
          </c:spPr>
          <c:invertIfNegative val="0"/>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4-517A-4ABC-9791-C8C295F2C4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Graphics!$D$128:$G$129</c:f>
              <c:multiLvlStrCache>
                <c:ptCount val="4"/>
                <c:lvl>
                  <c:pt idx="0">
                    <c:v>Abilene Christian University</c:v>
                  </c:pt>
                  <c:pt idx="1">
                    <c:v>Private Master's University</c:v>
                  </c:pt>
                  <c:pt idx="2">
                    <c:v>Abilene Christian University</c:v>
                  </c:pt>
                  <c:pt idx="3">
                    <c:v>Private Master's University</c:v>
                  </c:pt>
                </c:lvl>
                <c:lvl>
                  <c:pt idx="0">
                    <c:v>Student credit hours per completion</c:v>
                  </c:pt>
                  <c:pt idx="2">
                    <c:v>Spending per credit hour</c:v>
                  </c:pt>
                </c:lvl>
              </c:multiLvlStrCache>
            </c:multiLvlStrRef>
          </c:cat>
          <c:val>
            <c:numRef>
              <c:f>Graphics!$D$131:$G$131</c:f>
              <c:numCache>
                <c:formatCode>General</c:formatCode>
                <c:ptCount val="4"/>
                <c:pt idx="2" formatCode="_(&quot;$&quot;* #,##0_);_(&quot;$&quot;* \(#,##0\);_(&quot;$&quot;* &quot;-&quot;??_);_(@_)">
                  <c:v>933.87854037430418</c:v>
                </c:pt>
                <c:pt idx="3" formatCode="_(&quot;$&quot;* #,##0_);_(&quot;$&quot;* \(#,##0\);_(&quot;$&quot;* &quot;-&quot;??_);_(@_)">
                  <c:v>672.48968438347174</c:v>
                </c:pt>
              </c:numCache>
            </c:numRef>
          </c:val>
          <c:extLst>
            <c:ext xmlns:c16="http://schemas.microsoft.com/office/drawing/2014/chart" uri="{C3380CC4-5D6E-409C-BE32-E72D297353CC}">
              <c16:uniqueId val="{00000005-517A-4ABC-9791-C8C295F2C4AF}"/>
            </c:ext>
          </c:extLst>
        </c:ser>
        <c:dLbls>
          <c:showLegendKey val="0"/>
          <c:showVal val="0"/>
          <c:showCatName val="0"/>
          <c:showSerName val="0"/>
          <c:showPercent val="0"/>
          <c:showBubbleSize val="0"/>
        </c:dLbls>
        <c:gapWidth val="219"/>
        <c:axId val="637604200"/>
        <c:axId val="6376048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0" sourceLinked="0"/>
        <c:majorTickMark val="none"/>
        <c:minorTickMark val="none"/>
        <c:tickLblPos val="nextTo"/>
        <c:crossAx val="836057816"/>
        <c:crosses val="autoZero"/>
        <c:crossBetween val="between"/>
      </c:valAx>
      <c:valAx>
        <c:axId val="637604856"/>
        <c:scaling>
          <c:orientation val="minMax"/>
        </c:scaling>
        <c:delete val="1"/>
        <c:axPos val="r"/>
        <c:numFmt formatCode="&quot;$&quot;#,##0" sourceLinked="0"/>
        <c:majorTickMark val="out"/>
        <c:minorTickMark val="none"/>
        <c:tickLblPos val="nextTo"/>
        <c:crossAx val="637604200"/>
        <c:crosses val="max"/>
        <c:crossBetween val="between"/>
      </c:valAx>
      <c:catAx>
        <c:axId val="637604200"/>
        <c:scaling>
          <c:orientation val="minMax"/>
        </c:scaling>
        <c:delete val="1"/>
        <c:axPos val="b"/>
        <c:numFmt formatCode="General" sourceLinked="1"/>
        <c:majorTickMark val="out"/>
        <c:minorTickMark val="none"/>
        <c:tickLblPos val="nextTo"/>
        <c:crossAx val="6376048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Education-related Spending per</a:t>
            </a:r>
            <a:r>
              <a:rPr lang="en-US" baseline="0"/>
              <a:t> Completion and</a:t>
            </a:r>
          </a:p>
          <a:p>
            <a:pPr>
              <a:defRPr/>
            </a:pPr>
            <a:r>
              <a:rPr lang="en-US" baseline="0"/>
              <a:t>Completions per $100k in Spending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Graphics!$C$110</c:f>
              <c:strCache>
                <c:ptCount val="1"/>
                <c:pt idx="0">
                  <c:v>Spending per completion</c:v>
                </c:pt>
              </c:strCache>
            </c:strRef>
          </c:tx>
          <c:spPr>
            <a:solidFill>
              <a:srgbClr val="CC99FF"/>
            </a:solidFill>
            <a:ln>
              <a:noFill/>
            </a:ln>
            <a:effectLst/>
          </c:spPr>
          <c:invertIfNegative val="0"/>
          <c:dPt>
            <c:idx val="0"/>
            <c:invertIfNegative val="0"/>
            <c:bubble3D val="0"/>
            <c:spPr>
              <a:solidFill>
                <a:srgbClr val="9966FF"/>
              </a:solidFill>
              <a:ln>
                <a:noFill/>
              </a:ln>
              <a:effectLst/>
            </c:spPr>
            <c:extLst>
              <c:ext xmlns:c16="http://schemas.microsoft.com/office/drawing/2014/chart" uri="{C3380CC4-5D6E-409C-BE32-E72D297353CC}">
                <c16:uniqueId val="{00000001-9A87-43CC-BC76-D9D714B64097}"/>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9A87-43CC-BC76-D9D714B640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Graphics!$D$108:$G$109</c:f>
              <c:multiLvlStrCache>
                <c:ptCount val="4"/>
                <c:lvl>
                  <c:pt idx="0">
                    <c:v>Abilene Christian University</c:v>
                  </c:pt>
                  <c:pt idx="1">
                    <c:v>Private Master's University</c:v>
                  </c:pt>
                  <c:pt idx="2">
                    <c:v>Abilene Christian University</c:v>
                  </c:pt>
                  <c:pt idx="3">
                    <c:v>Private Master's University</c:v>
                  </c:pt>
                </c:lvl>
                <c:lvl>
                  <c:pt idx="0">
                    <c:v>Spending per completion</c:v>
                  </c:pt>
                  <c:pt idx="2">
                    <c:v>Completions per $100,000 of spending </c:v>
                  </c:pt>
                </c:lvl>
              </c:multiLvlStrCache>
            </c:multiLvlStrRef>
          </c:cat>
          <c:val>
            <c:numRef>
              <c:f>Graphics!$D$110:$G$110</c:f>
              <c:numCache>
                <c:formatCode>"$"#,##0</c:formatCode>
                <c:ptCount val="4"/>
                <c:pt idx="0">
                  <c:v>117544.06024764622</c:v>
                </c:pt>
                <c:pt idx="1">
                  <c:v>61177.260218872507</c:v>
                </c:pt>
              </c:numCache>
            </c:numRef>
          </c:val>
          <c:extLst>
            <c:ext xmlns:c16="http://schemas.microsoft.com/office/drawing/2014/chart" uri="{C3380CC4-5D6E-409C-BE32-E72D297353CC}">
              <c16:uniqueId val="{00000004-9A87-43CC-BC76-D9D714B64097}"/>
            </c:ext>
          </c:extLst>
        </c:ser>
        <c:dLbls>
          <c:showLegendKey val="0"/>
          <c:showVal val="0"/>
          <c:showCatName val="0"/>
          <c:showSerName val="0"/>
          <c:showPercent val="0"/>
          <c:showBubbleSize val="0"/>
        </c:dLbls>
        <c:gapWidth val="219"/>
        <c:axId val="836057816"/>
        <c:axId val="836059456"/>
      </c:barChart>
      <c:barChart>
        <c:barDir val="col"/>
        <c:grouping val="clustered"/>
        <c:varyColors val="0"/>
        <c:ser>
          <c:idx val="2"/>
          <c:order val="1"/>
          <c:tx>
            <c:strRef>
              <c:f>Graphics!$C$111</c:f>
              <c:strCache>
                <c:ptCount val="1"/>
                <c:pt idx="0">
                  <c:v>Completions per $100,000 of spending </c:v>
                </c:pt>
              </c:strCache>
            </c:strRef>
          </c:tx>
          <c:spPr>
            <a:solidFill>
              <a:schemeClr val="bg1">
                <a:lumMod val="75000"/>
              </a:schemeClr>
            </a:solidFill>
            <a:ln>
              <a:noFill/>
            </a:ln>
            <a:effectLst/>
          </c:spPr>
          <c:invertIfNegative val="0"/>
          <c:dPt>
            <c:idx val="2"/>
            <c:invertIfNegative val="0"/>
            <c:bubble3D val="0"/>
            <c:spPr>
              <a:solidFill>
                <a:srgbClr val="CC99FF"/>
              </a:solidFill>
              <a:ln>
                <a:noFill/>
              </a:ln>
              <a:effectLst/>
            </c:spPr>
            <c:extLst>
              <c:ext xmlns:c16="http://schemas.microsoft.com/office/drawing/2014/chart" uri="{C3380CC4-5D6E-409C-BE32-E72D297353CC}">
                <c16:uniqueId val="{00000006-9A87-43CC-BC76-D9D714B640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Graphics!$D$108:$G$109</c:f>
              <c:multiLvlStrCache>
                <c:ptCount val="4"/>
                <c:lvl>
                  <c:pt idx="0">
                    <c:v>Abilene Christian University</c:v>
                  </c:pt>
                  <c:pt idx="1">
                    <c:v>Private Master's University</c:v>
                  </c:pt>
                  <c:pt idx="2">
                    <c:v>Abilene Christian University</c:v>
                  </c:pt>
                  <c:pt idx="3">
                    <c:v>Private Master's University</c:v>
                  </c:pt>
                </c:lvl>
                <c:lvl>
                  <c:pt idx="0">
                    <c:v>Spending per completion</c:v>
                  </c:pt>
                  <c:pt idx="2">
                    <c:v>Completions per $100,000 of spending </c:v>
                  </c:pt>
                </c:lvl>
              </c:multiLvlStrCache>
            </c:multiLvlStrRef>
          </c:cat>
          <c:val>
            <c:numRef>
              <c:f>Graphics!$D$111:$G$111</c:f>
              <c:numCache>
                <c:formatCode>General</c:formatCode>
                <c:ptCount val="4"/>
                <c:pt idx="2" formatCode="0.0">
                  <c:v>0.85074481678883873</c:v>
                </c:pt>
                <c:pt idx="3" formatCode="0.0">
                  <c:v>2.0616409171986652</c:v>
                </c:pt>
              </c:numCache>
            </c:numRef>
          </c:val>
          <c:extLst>
            <c:ext xmlns:c16="http://schemas.microsoft.com/office/drawing/2014/chart" uri="{C3380CC4-5D6E-409C-BE32-E72D297353CC}">
              <c16:uniqueId val="{00000007-9A87-43CC-BC76-D9D714B64097}"/>
            </c:ext>
          </c:extLst>
        </c:ser>
        <c:dLbls>
          <c:showLegendKey val="0"/>
          <c:showVal val="0"/>
          <c:showCatName val="0"/>
          <c:showSerName val="0"/>
          <c:showPercent val="0"/>
          <c:showBubbleSize val="0"/>
        </c:dLbls>
        <c:gapWidth val="219"/>
        <c:axId val="637604200"/>
        <c:axId val="6376048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0"/>
        <c:axPos val="l"/>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36057816"/>
        <c:crosses val="autoZero"/>
        <c:crossBetween val="between"/>
      </c:valAx>
      <c:valAx>
        <c:axId val="637604856"/>
        <c:scaling>
          <c:orientation val="minMax"/>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37604200"/>
        <c:crosses val="max"/>
        <c:crossBetween val="between"/>
      </c:valAx>
      <c:catAx>
        <c:axId val="637604200"/>
        <c:scaling>
          <c:orientation val="minMax"/>
        </c:scaling>
        <c:delete val="1"/>
        <c:axPos val="b"/>
        <c:numFmt formatCode="General" sourceLinked="1"/>
        <c:majorTickMark val="out"/>
        <c:minorTickMark val="none"/>
        <c:tickLblPos val="nextTo"/>
        <c:crossAx val="6376048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 Total Revenue and 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Graphics!$E$49</c:f>
              <c:strCache>
                <c:ptCount val="1"/>
                <c:pt idx="0">
                  <c:v>Abilene Christian University</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Graphics!$D$50:$D$51</c:f>
              <c:strCache>
                <c:ptCount val="2"/>
                <c:pt idx="0">
                  <c:v>Revenue per FTE student</c:v>
                </c:pt>
                <c:pt idx="1">
                  <c:v>Spending per FTE student</c:v>
                </c:pt>
              </c:strCache>
            </c:strRef>
          </c:cat>
          <c:val>
            <c:numRef>
              <c:f>Graphics!$E$50:$E$51</c:f>
              <c:numCache>
                <c:formatCode>"$"#,##0</c:formatCode>
                <c:ptCount val="2"/>
                <c:pt idx="0">
                  <c:v>26615.346070811745</c:v>
                </c:pt>
                <c:pt idx="1">
                  <c:v>31408.847582037997</c:v>
                </c:pt>
              </c:numCache>
            </c:numRef>
          </c:val>
          <c:extLst>
            <c:ext xmlns:c16="http://schemas.microsoft.com/office/drawing/2014/chart" uri="{C3380CC4-5D6E-409C-BE32-E72D297353CC}">
              <c16:uniqueId val="{00000000-291C-4721-8245-5CD473CCAD35}"/>
            </c:ext>
          </c:extLst>
        </c:ser>
        <c:ser>
          <c:idx val="2"/>
          <c:order val="1"/>
          <c:tx>
            <c:strRef>
              <c:f>Graphics!$F$49</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Graphics!$D$50:$D$51</c:f>
              <c:strCache>
                <c:ptCount val="2"/>
                <c:pt idx="0">
                  <c:v>Revenue per FTE student</c:v>
                </c:pt>
                <c:pt idx="1">
                  <c:v>Spending per FTE student</c:v>
                </c:pt>
              </c:strCache>
            </c:strRef>
          </c:cat>
          <c:val>
            <c:numRef>
              <c:f>Graphics!$F$50:$F$51</c:f>
              <c:numCache>
                <c:formatCode>"$"#,##0</c:formatCode>
                <c:ptCount val="2"/>
                <c:pt idx="0">
                  <c:v>23242.836397944102</c:v>
                </c:pt>
                <c:pt idx="1">
                  <c:v>22695.334178455527</c:v>
                </c:pt>
              </c:numCache>
            </c:numRef>
          </c:val>
          <c:extLst>
            <c:ext xmlns:c16="http://schemas.microsoft.com/office/drawing/2014/chart" uri="{C3380CC4-5D6E-409C-BE32-E72D297353CC}">
              <c16:uniqueId val="{00000002-291C-4721-8245-5CD473CCAD35}"/>
            </c:ext>
          </c:extLst>
        </c:ser>
        <c:dLbls>
          <c:dLblPos val="outEnd"/>
          <c:showLegendKey val="0"/>
          <c:showVal val="1"/>
          <c:showCatName val="0"/>
          <c:showSerName val="0"/>
          <c:showPercent val="0"/>
          <c:showBubbleSize val="0"/>
        </c:dLbls>
        <c:gapWidth val="219"/>
        <c:overlap val="-27"/>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1"/>
        <c:axPos val="l"/>
        <c:numFmt formatCode="&quot;$&quot;#,##0" sourceLinked="1"/>
        <c:majorTickMark val="none"/>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Student</a:t>
            </a:r>
            <a:r>
              <a:rPr lang="en-US" baseline="0"/>
              <a:t> Share of Spending</a:t>
            </a:r>
            <a:endParaRPr lang="en-US"/>
          </a:p>
        </c:rich>
      </c:tx>
      <c:overlay val="0"/>
      <c:spPr>
        <a:noFill/>
        <a:ln>
          <a:noFill/>
        </a:ln>
        <a:effectLst/>
      </c:spPr>
    </c:title>
    <c:autoTitleDeleted val="0"/>
    <c:plotArea>
      <c:layout/>
      <c:doughnutChart>
        <c:varyColors val="1"/>
        <c:ser>
          <c:idx val="1"/>
          <c:order val="0"/>
          <c:tx>
            <c:strRef>
              <c:f>Graphics!$N$68</c:f>
              <c:strCache>
                <c:ptCount val="1"/>
                <c:pt idx="0">
                  <c:v>Private Master's University</c:v>
                </c:pt>
              </c:strCache>
            </c:strRef>
          </c:tx>
          <c:spPr>
            <a:solidFill>
              <a:schemeClr val="accent6">
                <a:lumMod val="60000"/>
                <a:lumOff val="40000"/>
              </a:schemeClr>
            </a:solidFill>
          </c:spPr>
          <c:dPt>
            <c:idx val="0"/>
            <c:bubble3D val="0"/>
            <c:spPr>
              <a:solidFill>
                <a:schemeClr val="bg1">
                  <a:lumMod val="75000"/>
                </a:schemeClr>
              </a:solidFill>
            </c:spPr>
            <c:extLst>
              <c:ext xmlns:c16="http://schemas.microsoft.com/office/drawing/2014/chart" uri="{C3380CC4-5D6E-409C-BE32-E72D297353CC}">
                <c16:uniqueId val="{00000009-FC39-4B3E-8A36-2472841ABDB1}"/>
              </c:ext>
            </c:extLst>
          </c:dPt>
          <c:dPt>
            <c:idx val="1"/>
            <c:bubble3D val="0"/>
            <c:extLst>
              <c:ext xmlns:c16="http://schemas.microsoft.com/office/drawing/2014/chart" uri="{C3380CC4-5D6E-409C-BE32-E72D297353CC}">
                <c16:uniqueId val="{00000008-FC39-4B3E-8A36-2472841ABDB1}"/>
              </c:ext>
            </c:extLst>
          </c:dPt>
          <c:dLbls>
            <c:dLbl>
              <c:idx val="0"/>
              <c:layout>
                <c:manualLayout>
                  <c:x val="0.22849872773536878"/>
                  <c:y val="0.2069445538057743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FC39-4B3E-8A36-2472841ABDB1}"/>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Graphics!$M$69:$M$70</c:f>
              <c:strCache>
                <c:ptCount val="2"/>
                <c:pt idx="0">
                  <c:v>x</c:v>
                </c:pt>
                <c:pt idx="1">
                  <c:v>share of student spending</c:v>
                </c:pt>
              </c:strCache>
            </c:strRef>
          </c:cat>
          <c:val>
            <c:numRef>
              <c:f>Graphics!$N$69:$N$70</c:f>
              <c:numCache>
                <c:formatCode>0%</c:formatCode>
                <c:ptCount val="2"/>
                <c:pt idx="0">
                  <c:v>0.20127332085392757</c:v>
                </c:pt>
                <c:pt idx="1">
                  <c:v>0.79872667914607243</c:v>
                </c:pt>
              </c:numCache>
            </c:numRef>
          </c:val>
          <c:extLst>
            <c:ext xmlns:c16="http://schemas.microsoft.com/office/drawing/2014/chart" uri="{C3380CC4-5D6E-409C-BE32-E72D297353CC}">
              <c16:uniqueId val="{00000007-FC39-4B3E-8A36-2472841ABDB1}"/>
            </c:ext>
          </c:extLst>
        </c:ser>
        <c:ser>
          <c:idx val="0"/>
          <c:order val="1"/>
          <c:tx>
            <c:strRef>
              <c:f>Graphics!$O$68</c:f>
              <c:strCache>
                <c:ptCount val="1"/>
                <c:pt idx="0">
                  <c:v>Abilene Christian University</c:v>
                </c:pt>
              </c:strCache>
            </c:strRef>
          </c:tx>
          <c:spPr>
            <a:solidFill>
              <a:schemeClr val="accent6"/>
            </a:solidFill>
          </c:spPr>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FC39-4B3E-8A36-2472841ABDB1}"/>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5-FC39-4B3E-8A36-2472841ABDB1}"/>
              </c:ext>
            </c:extLst>
          </c:dPt>
          <c:dLbls>
            <c:dLbl>
              <c:idx val="0"/>
              <c:layout>
                <c:manualLayout>
                  <c:x val="0.16111117789665597"/>
                  <c:y val="-0.14583333333333334"/>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FC39-4B3E-8A36-2472841ABDB1}"/>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39-4B3E-8A36-2472841ABDB1}"/>
                </c:ext>
              </c:extLst>
            </c:dLbl>
            <c:spPr>
              <a:noFill/>
              <a:ln>
                <a:noFill/>
              </a:ln>
              <a:effectLst/>
            </c:spPr>
            <c:showLegendKey val="0"/>
            <c:showVal val="1"/>
            <c:showCatName val="0"/>
            <c:showSerName val="1"/>
            <c:showPercent val="0"/>
            <c:showBubbleSize val="0"/>
            <c:showLeaderLines val="1"/>
            <c:extLst>
              <c:ext xmlns:c15="http://schemas.microsoft.com/office/drawing/2012/chart" uri="{CE6537A1-D6FC-4f65-9D91-7224C49458BB}"/>
            </c:extLst>
          </c:dLbls>
          <c:cat>
            <c:strRef>
              <c:f>Graphics!$M$69:$M$70</c:f>
              <c:strCache>
                <c:ptCount val="2"/>
                <c:pt idx="0">
                  <c:v>x</c:v>
                </c:pt>
                <c:pt idx="1">
                  <c:v>share of student spending</c:v>
                </c:pt>
              </c:strCache>
            </c:strRef>
          </c:cat>
          <c:val>
            <c:numRef>
              <c:f>Graphics!$O$69:$O$70</c:f>
              <c:numCache>
                <c:formatCode>0%</c:formatCode>
                <c:ptCount val="2"/>
                <c:pt idx="0">
                  <c:v>0.36415962544510727</c:v>
                </c:pt>
                <c:pt idx="1">
                  <c:v>0.63584037455489273</c:v>
                </c:pt>
              </c:numCache>
            </c:numRef>
          </c:val>
          <c:extLst>
            <c:ext xmlns:c16="http://schemas.microsoft.com/office/drawing/2014/chart" uri="{C3380CC4-5D6E-409C-BE32-E72D297353CC}">
              <c16:uniqueId val="{00000006-FC39-4B3E-8A36-2472841ABDB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Published Price</a:t>
            </a:r>
            <a:r>
              <a:rPr lang="en-US" baseline="0"/>
              <a:t> and Net Price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Graphics!$E$10</c:f>
              <c:strCache>
                <c:ptCount val="1"/>
                <c:pt idx="0">
                  <c:v>Abilene Christian University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Graphics!$D$11:$D$13</c:f>
              <c:strCache>
                <c:ptCount val="3"/>
                <c:pt idx="0">
                  <c:v>Tuition and fees (in-district)</c:v>
                </c:pt>
                <c:pt idx="1">
                  <c:v>Net price (Cost of Attendance)</c:v>
                </c:pt>
                <c:pt idx="2">
                  <c:v>Net price: Low income students ($0-$30k)</c:v>
                </c:pt>
              </c:strCache>
            </c:strRef>
          </c:cat>
          <c:val>
            <c:numRef>
              <c:f>Graphics!$E$11:$E$13</c:f>
              <c:numCache>
                <c:formatCode>"$"#,##0_);\("$"#,##0\)</c:formatCode>
                <c:ptCount val="3"/>
                <c:pt idx="0">
                  <c:v>33330</c:v>
                </c:pt>
                <c:pt idx="1">
                  <c:v>27584</c:v>
                </c:pt>
                <c:pt idx="2">
                  <c:v>23549</c:v>
                </c:pt>
              </c:numCache>
            </c:numRef>
          </c:val>
          <c:extLst>
            <c:ext xmlns:c16="http://schemas.microsoft.com/office/drawing/2014/chart" uri="{C3380CC4-5D6E-409C-BE32-E72D297353CC}">
              <c16:uniqueId val="{00000000-AA14-4B5F-A46B-A56C569D575D}"/>
            </c:ext>
          </c:extLst>
        </c:ser>
        <c:ser>
          <c:idx val="2"/>
          <c:order val="1"/>
          <c:tx>
            <c:strRef>
              <c:f>Graphics!$F$10</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Graphics!$D$11:$D$13</c:f>
              <c:strCache>
                <c:ptCount val="3"/>
                <c:pt idx="0">
                  <c:v>Tuition and fees (in-district)</c:v>
                </c:pt>
                <c:pt idx="1">
                  <c:v>Net price (Cost of Attendance)</c:v>
                </c:pt>
                <c:pt idx="2">
                  <c:v>Net price: Low income students ($0-$30k)</c:v>
                </c:pt>
              </c:strCache>
            </c:strRef>
          </c:cat>
          <c:val>
            <c:numRef>
              <c:f>Graphics!$F$11:$F$13</c:f>
              <c:numCache>
                <c:formatCode>"$"#,##0_);\("$"#,##0\)</c:formatCode>
                <c:ptCount val="3"/>
                <c:pt idx="0">
                  <c:v>29876.744850701587</c:v>
                </c:pt>
                <c:pt idx="1">
                  <c:v>26376.872431725398</c:v>
                </c:pt>
                <c:pt idx="2">
                  <c:v>21816.356361689544</c:v>
                </c:pt>
              </c:numCache>
            </c:numRef>
          </c:val>
          <c:extLst>
            <c:ext xmlns:c16="http://schemas.microsoft.com/office/drawing/2014/chart" uri="{C3380CC4-5D6E-409C-BE32-E72D297353CC}">
              <c16:uniqueId val="{00000001-AA14-4B5F-A46B-A56C569D575D}"/>
            </c:ext>
          </c:extLst>
        </c:ser>
        <c:dLbls>
          <c:dLblPos val="outEnd"/>
          <c:showLegendKey val="0"/>
          <c:showVal val="1"/>
          <c:showCatName val="0"/>
          <c:showSerName val="0"/>
          <c:showPercent val="0"/>
          <c:showBubbleSize val="0"/>
        </c:dLbls>
        <c:gapWidth val="219"/>
        <c:overlap val="-27"/>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1"/>
        <c:axPos val="l"/>
        <c:numFmt formatCode="&quot;$&quot;#,##0_);\(&quot;$&quot;#,##0\)" sourceLinked="1"/>
        <c:majorTickMark val="none"/>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Student Aid Access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Graphics!$O$10</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Graphics!$M$11:$M$13</c:f>
              <c:strCache>
                <c:ptCount val="3"/>
                <c:pt idx="0">
                  <c:v>% Institutional grant aid</c:v>
                </c:pt>
                <c:pt idx="1">
                  <c:v>% Federal loans</c:v>
                </c:pt>
                <c:pt idx="2">
                  <c:v>% Pell grants</c:v>
                </c:pt>
              </c:strCache>
            </c:strRef>
          </c:cat>
          <c:val>
            <c:numRef>
              <c:f>Graphics!$O$11:$O$13</c:f>
              <c:numCache>
                <c:formatCode>0%</c:formatCode>
                <c:ptCount val="3"/>
                <c:pt idx="0">
                  <c:v>0.93431318681318687</c:v>
                </c:pt>
                <c:pt idx="1">
                  <c:v>0.71060439560439559</c:v>
                </c:pt>
                <c:pt idx="2">
                  <c:v>0.4054945054945055</c:v>
                </c:pt>
              </c:numCache>
            </c:numRef>
          </c:val>
          <c:extLst>
            <c:ext xmlns:c16="http://schemas.microsoft.com/office/drawing/2014/chart" uri="{C3380CC4-5D6E-409C-BE32-E72D297353CC}">
              <c16:uniqueId val="{00000000-F379-4067-AB28-EBF71D5EB389}"/>
            </c:ext>
          </c:extLst>
        </c:ser>
        <c:ser>
          <c:idx val="2"/>
          <c:order val="1"/>
          <c:tx>
            <c:strRef>
              <c:f>Graphics!$N$10</c:f>
              <c:strCache>
                <c:ptCount val="1"/>
                <c:pt idx="0">
                  <c:v>Abilene Christian University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Graphics!$M$11:$M$13</c:f>
              <c:strCache>
                <c:ptCount val="3"/>
                <c:pt idx="0">
                  <c:v>% Institutional grant aid</c:v>
                </c:pt>
                <c:pt idx="1">
                  <c:v>% Federal loans</c:v>
                </c:pt>
                <c:pt idx="2">
                  <c:v>% Pell grants</c:v>
                </c:pt>
              </c:strCache>
            </c:strRef>
          </c:cat>
          <c:val>
            <c:numRef>
              <c:f>Graphics!$N$11:$N$13</c:f>
              <c:numCache>
                <c:formatCode>0%</c:formatCode>
                <c:ptCount val="3"/>
                <c:pt idx="0">
                  <c:v>1</c:v>
                </c:pt>
                <c:pt idx="1">
                  <c:v>0.56999999999999995</c:v>
                </c:pt>
                <c:pt idx="2">
                  <c:v>0.3</c:v>
                </c:pt>
              </c:numCache>
            </c:numRef>
          </c:val>
          <c:extLst>
            <c:ext xmlns:c16="http://schemas.microsoft.com/office/drawing/2014/chart" uri="{C3380CC4-5D6E-409C-BE32-E72D297353CC}">
              <c16:uniqueId val="{00000001-F379-4067-AB28-EBF71D5EB389}"/>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ax val="1"/>
          <c:min val="0"/>
        </c:scaling>
        <c:delete val="1"/>
        <c:axPos val="b"/>
        <c:numFmt formatCode="0%" sourceLinked="1"/>
        <c:majorTickMark val="none"/>
        <c:minorTickMark val="none"/>
        <c:tickLblPos val="nextTo"/>
        <c:crossAx val="83605781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Institutional</a:t>
            </a:r>
            <a:r>
              <a:rPr lang="en-US" baseline="0"/>
              <a:t> Grant Aid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Graphics!$E$30</c:f>
              <c:strCache>
                <c:ptCount val="1"/>
                <c:pt idx="0">
                  <c:v>Abilene Christian University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Graphics!$D$31:$D$32</c:f>
              <c:strCache>
                <c:ptCount val="2"/>
                <c:pt idx="0">
                  <c:v>Average institutional grant</c:v>
                </c:pt>
                <c:pt idx="1">
                  <c:v>Institutional grant aid per FTE student</c:v>
                </c:pt>
              </c:strCache>
            </c:strRef>
          </c:cat>
          <c:val>
            <c:numRef>
              <c:f>Graphics!$E$31:$E$32</c:f>
              <c:numCache>
                <c:formatCode>"$"#,##0_);\("$"#,##0\)</c:formatCode>
                <c:ptCount val="2"/>
                <c:pt idx="0">
                  <c:v>18220</c:v>
                </c:pt>
                <c:pt idx="1">
                  <c:v>12943.831606217616</c:v>
                </c:pt>
              </c:numCache>
            </c:numRef>
          </c:val>
          <c:extLst>
            <c:ext xmlns:c16="http://schemas.microsoft.com/office/drawing/2014/chart" uri="{C3380CC4-5D6E-409C-BE32-E72D297353CC}">
              <c16:uniqueId val="{00000000-71CF-48D7-8D10-1C7E32C32B56}"/>
            </c:ext>
          </c:extLst>
        </c:ser>
        <c:ser>
          <c:idx val="2"/>
          <c:order val="1"/>
          <c:tx>
            <c:strRef>
              <c:f>Graphics!$F$30</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Graphics!$D$31:$D$32</c:f>
              <c:strCache>
                <c:ptCount val="2"/>
                <c:pt idx="0">
                  <c:v>Average institutional grant</c:v>
                </c:pt>
                <c:pt idx="1">
                  <c:v>Institutional grant aid per FTE student</c:v>
                </c:pt>
              </c:strCache>
            </c:strRef>
          </c:cat>
          <c:val>
            <c:numRef>
              <c:f>Graphics!$F$31:$F$32</c:f>
              <c:numCache>
                <c:formatCode>"$"#,##0_);\("$"#,##0\)</c:formatCode>
                <c:ptCount val="2"/>
                <c:pt idx="0">
                  <c:v>16936.279778393353</c:v>
                </c:pt>
                <c:pt idx="1">
                  <c:v>8879.7925056883632</c:v>
                </c:pt>
              </c:numCache>
            </c:numRef>
          </c:val>
          <c:extLst>
            <c:ext xmlns:c16="http://schemas.microsoft.com/office/drawing/2014/chart" uri="{C3380CC4-5D6E-409C-BE32-E72D297353CC}">
              <c16:uniqueId val="{00000001-71CF-48D7-8D10-1C7E32C32B56}"/>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1"/>
        <c:axPos val="l"/>
        <c:numFmt formatCode="&quot;$&quot;#,##0_);\(&quot;$&quot;#,##0\)" sourceLinked="1"/>
        <c:majorTickMark val="none"/>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Tuition Discount Rate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Graphics!$L$31</c:f>
              <c:strCache>
                <c:ptCount val="1"/>
                <c:pt idx="0">
                  <c:v>Tuition Discount Rate</c:v>
                </c:pt>
              </c:strCache>
            </c:strRef>
          </c:tx>
          <c:spPr>
            <a:solidFill>
              <a:schemeClr val="accent3"/>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8-F659-41F8-965C-F488E5650E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Graphics!$M$30:$N$30</c:f>
              <c:strCache>
                <c:ptCount val="2"/>
                <c:pt idx="0">
                  <c:v>Private Master's University</c:v>
                </c:pt>
                <c:pt idx="1">
                  <c:v>Abilene Christian University</c:v>
                </c:pt>
              </c:strCache>
            </c:strRef>
          </c:cat>
          <c:val>
            <c:numRef>
              <c:f>Graphics!$M$31:$N$31</c:f>
              <c:numCache>
                <c:formatCode>0%</c:formatCode>
                <c:ptCount val="2"/>
                <c:pt idx="0">
                  <c:v>0.36502036838058827</c:v>
                </c:pt>
                <c:pt idx="1">
                  <c:v>0.43334051208902147</c:v>
                </c:pt>
              </c:numCache>
            </c:numRef>
          </c:val>
          <c:extLst>
            <c:ext xmlns:c16="http://schemas.microsoft.com/office/drawing/2014/chart" uri="{C3380CC4-5D6E-409C-BE32-E72D297353CC}">
              <c16:uniqueId val="{00000000-F659-41F8-965C-F488E5650EBA}"/>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b"/>
        <c:numFmt formatCode="0%" sourceLinked="1"/>
        <c:majorTickMark val="none"/>
        <c:minorTickMark val="none"/>
        <c:tickLblPos val="nextTo"/>
        <c:crossAx val="836057816"/>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Student Aid Access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44356955380579"/>
          <c:y val="0.17171296296296298"/>
          <c:w val="0.68555643044619419"/>
          <c:h val="0.6714577865266842"/>
        </c:manualLayout>
      </c:layout>
      <c:barChart>
        <c:barDir val="bar"/>
        <c:grouping val="clustered"/>
        <c:varyColors val="0"/>
        <c:ser>
          <c:idx val="0"/>
          <c:order val="0"/>
          <c:tx>
            <c:strRef>
              <c:f>Graphics!$O$10</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Graphics!$M$11:$M$13</c:f>
              <c:strCache>
                <c:ptCount val="3"/>
                <c:pt idx="0">
                  <c:v>% Institutional grant aid</c:v>
                </c:pt>
                <c:pt idx="1">
                  <c:v>% Federal loans</c:v>
                </c:pt>
                <c:pt idx="2">
                  <c:v>% Pell grants</c:v>
                </c:pt>
              </c:strCache>
            </c:strRef>
          </c:cat>
          <c:val>
            <c:numRef>
              <c:f>Graphics!$O$11:$O$13</c:f>
              <c:numCache>
                <c:formatCode>0%</c:formatCode>
                <c:ptCount val="3"/>
                <c:pt idx="0">
                  <c:v>0.93431318681318687</c:v>
                </c:pt>
                <c:pt idx="1">
                  <c:v>0.71060439560439559</c:v>
                </c:pt>
                <c:pt idx="2">
                  <c:v>0.4054945054945055</c:v>
                </c:pt>
              </c:numCache>
            </c:numRef>
          </c:val>
          <c:extLst>
            <c:ext xmlns:c16="http://schemas.microsoft.com/office/drawing/2014/chart" uri="{C3380CC4-5D6E-409C-BE32-E72D297353CC}">
              <c16:uniqueId val="{00000000-7DAC-42D3-A51B-3363C680A3EC}"/>
            </c:ext>
          </c:extLst>
        </c:ser>
        <c:ser>
          <c:idx val="2"/>
          <c:order val="1"/>
          <c:tx>
            <c:strRef>
              <c:f>Graphics!$N$10</c:f>
              <c:strCache>
                <c:ptCount val="1"/>
                <c:pt idx="0">
                  <c:v>Abilene Christian University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Graphics!$M$11:$M$13</c:f>
              <c:strCache>
                <c:ptCount val="3"/>
                <c:pt idx="0">
                  <c:v>% Institutional grant aid</c:v>
                </c:pt>
                <c:pt idx="1">
                  <c:v>% Federal loans</c:v>
                </c:pt>
                <c:pt idx="2">
                  <c:v>% Pell grants</c:v>
                </c:pt>
              </c:strCache>
            </c:strRef>
          </c:cat>
          <c:val>
            <c:numRef>
              <c:f>Graphics!$N$11:$N$13</c:f>
              <c:numCache>
                <c:formatCode>0%</c:formatCode>
                <c:ptCount val="3"/>
                <c:pt idx="0">
                  <c:v>1</c:v>
                </c:pt>
                <c:pt idx="1">
                  <c:v>0.56999999999999995</c:v>
                </c:pt>
                <c:pt idx="2">
                  <c:v>0.3</c:v>
                </c:pt>
              </c:numCache>
            </c:numRef>
          </c:val>
          <c:extLst>
            <c:ext xmlns:c16="http://schemas.microsoft.com/office/drawing/2014/chart" uri="{C3380CC4-5D6E-409C-BE32-E72D297353CC}">
              <c16:uniqueId val="{00000001-7DAC-42D3-A51B-3363C680A3EC}"/>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ax val="1"/>
          <c:min val="0"/>
        </c:scaling>
        <c:delete val="1"/>
        <c:axPos val="b"/>
        <c:numFmt formatCode="0%" sourceLinked="1"/>
        <c:majorTickMark val="none"/>
        <c:minorTickMark val="none"/>
        <c:tickLblPos val="nextTo"/>
        <c:crossAx val="83605781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Education-related</a:t>
            </a:r>
            <a:r>
              <a:rPr lang="en-US" baseline="0"/>
              <a:t> Unit </a:t>
            </a:r>
            <a:r>
              <a:rPr lang="en-US"/>
              <a:t>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Graphics!$E$68</c:f>
              <c:strCache>
                <c:ptCount val="1"/>
                <c:pt idx="0">
                  <c:v>Abilene Christian University</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Graphics!$D$69</c:f>
              <c:strCache>
                <c:ptCount val="1"/>
                <c:pt idx="0">
                  <c:v>Education-related spending per FTE student</c:v>
                </c:pt>
              </c:strCache>
            </c:strRef>
          </c:cat>
          <c:val>
            <c:numRef>
              <c:f>Graphics!$E$69</c:f>
              <c:numCache>
                <c:formatCode>"$"#,##0</c:formatCode>
                <c:ptCount val="1"/>
                <c:pt idx="0">
                  <c:v>26619.97392050537</c:v>
                </c:pt>
              </c:numCache>
            </c:numRef>
          </c:val>
          <c:extLst>
            <c:ext xmlns:c16="http://schemas.microsoft.com/office/drawing/2014/chart" uri="{C3380CC4-5D6E-409C-BE32-E72D297353CC}">
              <c16:uniqueId val="{00000000-C9E7-41DD-B9B0-D5E0473ECAF2}"/>
            </c:ext>
          </c:extLst>
        </c:ser>
        <c:ser>
          <c:idx val="2"/>
          <c:order val="1"/>
          <c:tx>
            <c:strRef>
              <c:f>Graphics!$F$68</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Graphics!$D$69</c:f>
              <c:strCache>
                <c:ptCount val="1"/>
                <c:pt idx="0">
                  <c:v>Education-related spending per FTE student</c:v>
                </c:pt>
              </c:strCache>
            </c:strRef>
          </c:cat>
          <c:val>
            <c:numRef>
              <c:f>Graphics!$F$69</c:f>
              <c:numCache>
                <c:formatCode>"$"#,##0</c:formatCode>
                <c:ptCount val="1"/>
                <c:pt idx="0">
                  <c:v>18895.327998831752</c:v>
                </c:pt>
              </c:numCache>
            </c:numRef>
          </c:val>
          <c:extLst>
            <c:ext xmlns:c16="http://schemas.microsoft.com/office/drawing/2014/chart" uri="{C3380CC4-5D6E-409C-BE32-E72D297353CC}">
              <c16:uniqueId val="{00000001-C9E7-41DD-B9B0-D5E0473ECAF2}"/>
            </c:ext>
          </c:extLst>
        </c:ser>
        <c:dLbls>
          <c:dLblPos val="outEnd"/>
          <c:showLegendKey val="0"/>
          <c:showVal val="1"/>
          <c:showCatName val="0"/>
          <c:showSerName val="0"/>
          <c:showPercent val="0"/>
          <c:showBubbleSize val="0"/>
        </c:dLbls>
        <c:gapWidth val="219"/>
        <c:overlap val="-27"/>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1"/>
        <c:axPos val="l"/>
        <c:numFmt formatCode="&quot;$&quot;#,##0" sourceLinked="1"/>
        <c:majorTickMark val="none"/>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 </a:t>
            </a:r>
            <a:r>
              <a:rPr lang="en-US" baseline="0"/>
              <a:t>and Percentage Compensation </a:t>
            </a:r>
            <a:r>
              <a:rPr lang="en-US"/>
              <a:t>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Graphics!$L$50</c:f>
              <c:strCache>
                <c:ptCount val="1"/>
                <c:pt idx="0">
                  <c:v>Compensation spending per FTE employee</c:v>
                </c:pt>
              </c:strCache>
            </c:strRef>
          </c:tx>
          <c:spPr>
            <a:solidFill>
              <a:schemeClr val="accent6"/>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1-C66D-43E0-8286-7414250D80A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Graphics!$M$49:$P$49</c:f>
              <c:strCache>
                <c:ptCount val="4"/>
                <c:pt idx="0">
                  <c:v>Abilene Christian University</c:v>
                </c:pt>
                <c:pt idx="1">
                  <c:v>Private Master's University</c:v>
                </c:pt>
                <c:pt idx="2">
                  <c:v>Abilene Christian University</c:v>
                </c:pt>
                <c:pt idx="3">
                  <c:v>Private Master's University</c:v>
                </c:pt>
              </c:strCache>
            </c:strRef>
          </c:cat>
          <c:val>
            <c:numRef>
              <c:f>Graphics!$M$50:$P$50</c:f>
              <c:numCache>
                <c:formatCode>"$"#,##0</c:formatCode>
                <c:ptCount val="4"/>
                <c:pt idx="0">
                  <c:v>93064.850938967138</c:v>
                </c:pt>
                <c:pt idx="1">
                  <c:v>81985.253908866478</c:v>
                </c:pt>
              </c:numCache>
            </c:numRef>
          </c:val>
          <c:extLst>
            <c:ext xmlns:c16="http://schemas.microsoft.com/office/drawing/2014/chart" uri="{C3380CC4-5D6E-409C-BE32-E72D297353CC}">
              <c16:uniqueId val="{00000000-5397-4109-BDF4-D9433FDAB9E7}"/>
            </c:ext>
          </c:extLst>
        </c:ser>
        <c:dLbls>
          <c:showLegendKey val="0"/>
          <c:showVal val="0"/>
          <c:showCatName val="0"/>
          <c:showSerName val="0"/>
          <c:showPercent val="0"/>
          <c:showBubbleSize val="0"/>
        </c:dLbls>
        <c:gapWidth val="219"/>
        <c:axId val="836057816"/>
        <c:axId val="836059456"/>
      </c:barChart>
      <c:barChart>
        <c:barDir val="col"/>
        <c:grouping val="clustered"/>
        <c:varyColors val="0"/>
        <c:ser>
          <c:idx val="2"/>
          <c:order val="1"/>
          <c:tx>
            <c:strRef>
              <c:f>Graphics!$L$51</c:f>
              <c:strCache>
                <c:ptCount val="1"/>
                <c:pt idx="0">
                  <c:v>Compensation share of total spending</c:v>
                </c:pt>
              </c:strCache>
            </c:strRef>
          </c:tx>
          <c:spPr>
            <a:solidFill>
              <a:schemeClr val="accent6">
                <a:lumMod val="60000"/>
                <a:lumOff val="40000"/>
              </a:schemeClr>
            </a:solidFill>
            <a:ln>
              <a:noFill/>
            </a:ln>
            <a:effectLst/>
          </c:spPr>
          <c:invertIfNegative val="0"/>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16-5397-4109-BDF4-D9433FDAB9E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Graphics!$M$49:$P$49</c:f>
              <c:strCache>
                <c:ptCount val="4"/>
                <c:pt idx="0">
                  <c:v>Abilene Christian University</c:v>
                </c:pt>
                <c:pt idx="1">
                  <c:v>Private Master's University</c:v>
                </c:pt>
                <c:pt idx="2">
                  <c:v>Abilene Christian University</c:v>
                </c:pt>
                <c:pt idx="3">
                  <c:v>Private Master's University</c:v>
                </c:pt>
              </c:strCache>
            </c:strRef>
          </c:cat>
          <c:val>
            <c:numRef>
              <c:f>Graphics!$M$51:$P$51</c:f>
              <c:numCache>
                <c:formatCode>General</c:formatCode>
                <c:ptCount val="4"/>
                <c:pt idx="2" formatCode="0%">
                  <c:v>0.54501032272693151</c:v>
                </c:pt>
                <c:pt idx="3" formatCode="0%">
                  <c:v>0.55089696679035804</c:v>
                </c:pt>
              </c:numCache>
            </c:numRef>
          </c:val>
          <c:extLst>
            <c:ext xmlns:c16="http://schemas.microsoft.com/office/drawing/2014/chart" uri="{C3380CC4-5D6E-409C-BE32-E72D297353CC}">
              <c16:uniqueId val="{00000001-5397-4109-BDF4-D9433FDAB9E7}"/>
            </c:ext>
          </c:extLst>
        </c:ser>
        <c:dLbls>
          <c:showLegendKey val="0"/>
          <c:showVal val="0"/>
          <c:showCatName val="0"/>
          <c:showSerName val="0"/>
          <c:showPercent val="0"/>
          <c:showBubbleSize val="0"/>
        </c:dLbls>
        <c:gapWidth val="219"/>
        <c:axId val="637604200"/>
        <c:axId val="6376048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36057816"/>
        <c:crosses val="autoZero"/>
        <c:crossBetween val="between"/>
      </c:valAx>
      <c:valAx>
        <c:axId val="637604856"/>
        <c:scaling>
          <c:orientation val="minMax"/>
          <c:max val="1"/>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37604200"/>
        <c:crosses val="max"/>
        <c:crossBetween val="between"/>
      </c:valAx>
      <c:catAx>
        <c:axId val="637604200"/>
        <c:scaling>
          <c:orientation val="minMax"/>
        </c:scaling>
        <c:delete val="1"/>
        <c:axPos val="b"/>
        <c:numFmt formatCode="General" sourceLinked="1"/>
        <c:majorTickMark val="out"/>
        <c:minorTickMark val="none"/>
        <c:tickLblPos val="nextTo"/>
        <c:crossAx val="637604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Faculty Throughput:</a:t>
            </a:r>
          </a:p>
          <a:p>
            <a:pPr>
              <a:defRPr/>
            </a:pPr>
            <a:r>
              <a:rPr lang="en-US" baseline="0"/>
              <a:t>Student Credit Hours Per FTE Faculty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Graphics!$D$88</c:f>
              <c:strCache>
                <c:ptCount val="1"/>
                <c:pt idx="0">
                  <c:v>Faculty throughput</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3-80E0-4F77-B56F-5B218F4B0380}"/>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4-80E0-4F77-B56F-5B218F4B038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Graphics!$E$87:$F$87</c:f>
              <c:strCache>
                <c:ptCount val="2"/>
                <c:pt idx="0">
                  <c:v>Private Master's University</c:v>
                </c:pt>
                <c:pt idx="1">
                  <c:v>Abilene Christian University</c:v>
                </c:pt>
              </c:strCache>
            </c:strRef>
          </c:cat>
          <c:val>
            <c:numRef>
              <c:f>Graphics!$E$88:$F$88</c:f>
              <c:numCache>
                <c:formatCode>0</c:formatCode>
                <c:ptCount val="2"/>
                <c:pt idx="0">
                  <c:v>440.23144315890784</c:v>
                </c:pt>
                <c:pt idx="1">
                  <c:v>442.57206703910617</c:v>
                </c:pt>
              </c:numCache>
            </c:numRef>
          </c:val>
          <c:extLst>
            <c:ext xmlns:c16="http://schemas.microsoft.com/office/drawing/2014/chart" uri="{C3380CC4-5D6E-409C-BE32-E72D297353CC}">
              <c16:uniqueId val="{00000000-80E0-4F77-B56F-5B218F4B0380}"/>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b"/>
        <c:numFmt formatCode="0" sourceLinked="1"/>
        <c:majorTickMark val="none"/>
        <c:minorTickMark val="none"/>
        <c:tickLblPos val="nextTo"/>
        <c:crossAx val="836057816"/>
        <c:crosses val="autoZero"/>
        <c:crossBetween val="between"/>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Student Faculty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Graphics!$M$88</c:f>
              <c:strCache>
                <c:ptCount val="1"/>
                <c:pt idx="0">
                  <c:v>Student-to-faculty ratio</c:v>
                </c:pt>
              </c:strCache>
            </c:strRef>
          </c:tx>
          <c:spPr>
            <a:solidFill>
              <a:schemeClr val="accent5"/>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3-9CF4-4F9E-A2AE-0D1393921F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Graphics!$N$87:$O$87</c:f>
              <c:strCache>
                <c:ptCount val="2"/>
                <c:pt idx="0">
                  <c:v>Abilene Christian University</c:v>
                </c:pt>
                <c:pt idx="1">
                  <c:v>Private Master's University</c:v>
                </c:pt>
              </c:strCache>
            </c:strRef>
          </c:cat>
          <c:val>
            <c:numRef>
              <c:f>Graphics!$N$88:$O$88</c:f>
              <c:numCache>
                <c:formatCode>0.0</c:formatCode>
                <c:ptCount val="2"/>
                <c:pt idx="0">
                  <c:v>15.526256983240225</c:v>
                </c:pt>
                <c:pt idx="1">
                  <c:v>15.667952643315759</c:v>
                </c:pt>
              </c:numCache>
            </c:numRef>
          </c:val>
          <c:extLst>
            <c:ext xmlns:c16="http://schemas.microsoft.com/office/drawing/2014/chart" uri="{C3380CC4-5D6E-409C-BE32-E72D297353CC}">
              <c16:uniqueId val="{00000004-9CF4-4F9E-A2AE-0D1393921FF1}"/>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0.0" sourceLinked="1"/>
        <c:majorTickMark val="none"/>
        <c:minorTickMark val="none"/>
        <c:tickLblPos val="nextTo"/>
        <c:crossAx val="83605781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Education-related Spending per</a:t>
            </a:r>
            <a:r>
              <a:rPr lang="en-US" baseline="0"/>
              <a:t> Completion and</a:t>
            </a:r>
          </a:p>
          <a:p>
            <a:pPr>
              <a:defRPr/>
            </a:pPr>
            <a:r>
              <a:rPr lang="en-US" baseline="0"/>
              <a:t>Completions per $100k in Spending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Graphics!$C$110</c:f>
              <c:strCache>
                <c:ptCount val="1"/>
                <c:pt idx="0">
                  <c:v>Spending per completion</c:v>
                </c:pt>
              </c:strCache>
            </c:strRef>
          </c:tx>
          <c:spPr>
            <a:solidFill>
              <a:srgbClr val="CC99FF"/>
            </a:solidFill>
            <a:ln>
              <a:noFill/>
            </a:ln>
            <a:effectLst/>
          </c:spPr>
          <c:invertIfNegative val="0"/>
          <c:dPt>
            <c:idx val="0"/>
            <c:invertIfNegative val="0"/>
            <c:bubble3D val="0"/>
            <c:spPr>
              <a:solidFill>
                <a:srgbClr val="9966FF"/>
              </a:solidFill>
              <a:ln>
                <a:noFill/>
              </a:ln>
              <a:effectLst/>
            </c:spPr>
            <c:extLst>
              <c:ext xmlns:c16="http://schemas.microsoft.com/office/drawing/2014/chart" uri="{C3380CC4-5D6E-409C-BE32-E72D297353CC}">
                <c16:uniqueId val="{00000006-FF41-49E7-863D-B6AEFF87D1F0}"/>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F72B-4777-AB4F-6DE8BB5D80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Graphics!$D$108:$G$109</c:f>
              <c:multiLvlStrCache>
                <c:ptCount val="4"/>
                <c:lvl>
                  <c:pt idx="0">
                    <c:v>Abilene Christian University</c:v>
                  </c:pt>
                  <c:pt idx="1">
                    <c:v>Private Master's University</c:v>
                  </c:pt>
                  <c:pt idx="2">
                    <c:v>Abilene Christian University</c:v>
                  </c:pt>
                  <c:pt idx="3">
                    <c:v>Private Master's University</c:v>
                  </c:pt>
                </c:lvl>
                <c:lvl>
                  <c:pt idx="0">
                    <c:v>Spending per completion</c:v>
                  </c:pt>
                  <c:pt idx="2">
                    <c:v>Completions per $100,000 of spending </c:v>
                  </c:pt>
                </c:lvl>
              </c:multiLvlStrCache>
            </c:multiLvlStrRef>
          </c:cat>
          <c:val>
            <c:numRef>
              <c:f>Graphics!$D$110:$G$110</c:f>
              <c:numCache>
                <c:formatCode>"$"#,##0</c:formatCode>
                <c:ptCount val="4"/>
                <c:pt idx="0">
                  <c:v>117544.06024764622</c:v>
                </c:pt>
                <c:pt idx="1">
                  <c:v>61177.260218872507</c:v>
                </c:pt>
              </c:numCache>
            </c:numRef>
          </c:val>
          <c:extLst>
            <c:ext xmlns:c16="http://schemas.microsoft.com/office/drawing/2014/chart" uri="{C3380CC4-5D6E-409C-BE32-E72D297353CC}">
              <c16:uniqueId val="{00000002-FF41-49E7-863D-B6AEFF87D1F0}"/>
            </c:ext>
          </c:extLst>
        </c:ser>
        <c:dLbls>
          <c:showLegendKey val="0"/>
          <c:showVal val="0"/>
          <c:showCatName val="0"/>
          <c:showSerName val="0"/>
          <c:showPercent val="0"/>
          <c:showBubbleSize val="0"/>
        </c:dLbls>
        <c:gapWidth val="219"/>
        <c:axId val="836057816"/>
        <c:axId val="836059456"/>
      </c:barChart>
      <c:barChart>
        <c:barDir val="col"/>
        <c:grouping val="clustered"/>
        <c:varyColors val="0"/>
        <c:ser>
          <c:idx val="2"/>
          <c:order val="1"/>
          <c:tx>
            <c:strRef>
              <c:f>Graphics!$C$111</c:f>
              <c:strCache>
                <c:ptCount val="1"/>
                <c:pt idx="0">
                  <c:v>Completions per $100,000 of spending </c:v>
                </c:pt>
              </c:strCache>
            </c:strRef>
          </c:tx>
          <c:spPr>
            <a:solidFill>
              <a:schemeClr val="bg1">
                <a:lumMod val="75000"/>
              </a:schemeClr>
            </a:solidFill>
            <a:ln>
              <a:noFill/>
            </a:ln>
            <a:effectLst/>
          </c:spPr>
          <c:invertIfNegative val="0"/>
          <c:dPt>
            <c:idx val="2"/>
            <c:invertIfNegative val="0"/>
            <c:bubble3D val="0"/>
            <c:spPr>
              <a:solidFill>
                <a:srgbClr val="CC99FF"/>
              </a:solidFill>
              <a:ln>
                <a:noFill/>
              </a:ln>
              <a:effectLst/>
            </c:spPr>
            <c:extLst>
              <c:ext xmlns:c16="http://schemas.microsoft.com/office/drawing/2014/chart" uri="{C3380CC4-5D6E-409C-BE32-E72D297353CC}">
                <c16:uniqueId val="{00000008-FF41-49E7-863D-B6AEFF87D1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Graphics!$D$108:$G$109</c:f>
              <c:multiLvlStrCache>
                <c:ptCount val="4"/>
                <c:lvl>
                  <c:pt idx="0">
                    <c:v>Abilene Christian University</c:v>
                  </c:pt>
                  <c:pt idx="1">
                    <c:v>Private Master's University</c:v>
                  </c:pt>
                  <c:pt idx="2">
                    <c:v>Abilene Christian University</c:v>
                  </c:pt>
                  <c:pt idx="3">
                    <c:v>Private Master's University</c:v>
                  </c:pt>
                </c:lvl>
                <c:lvl>
                  <c:pt idx="0">
                    <c:v>Spending per completion</c:v>
                  </c:pt>
                  <c:pt idx="2">
                    <c:v>Completions per $100,000 of spending </c:v>
                  </c:pt>
                </c:lvl>
              </c:multiLvlStrCache>
            </c:multiLvlStrRef>
          </c:cat>
          <c:val>
            <c:numRef>
              <c:f>Graphics!$D$111:$G$111</c:f>
              <c:numCache>
                <c:formatCode>General</c:formatCode>
                <c:ptCount val="4"/>
                <c:pt idx="2" formatCode="0.0">
                  <c:v>0.85074481678883873</c:v>
                </c:pt>
                <c:pt idx="3" formatCode="0.0">
                  <c:v>2.0616409171986652</c:v>
                </c:pt>
              </c:numCache>
            </c:numRef>
          </c:val>
          <c:extLst>
            <c:ext xmlns:c16="http://schemas.microsoft.com/office/drawing/2014/chart" uri="{C3380CC4-5D6E-409C-BE32-E72D297353CC}">
              <c16:uniqueId val="{00000005-FF41-49E7-863D-B6AEFF87D1F0}"/>
            </c:ext>
          </c:extLst>
        </c:ser>
        <c:dLbls>
          <c:showLegendKey val="0"/>
          <c:showVal val="0"/>
          <c:showCatName val="0"/>
          <c:showSerName val="0"/>
          <c:showPercent val="0"/>
          <c:showBubbleSize val="0"/>
        </c:dLbls>
        <c:gapWidth val="219"/>
        <c:axId val="637604200"/>
        <c:axId val="6376048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0"/>
        <c:axPos val="l"/>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7816"/>
        <c:crosses val="autoZero"/>
        <c:crossBetween val="between"/>
      </c:valAx>
      <c:valAx>
        <c:axId val="637604856"/>
        <c:scaling>
          <c:orientation val="minMax"/>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604200"/>
        <c:crosses val="max"/>
        <c:crossBetween val="between"/>
      </c:valAx>
      <c:catAx>
        <c:axId val="637604200"/>
        <c:scaling>
          <c:orientation val="minMax"/>
        </c:scaling>
        <c:delete val="1"/>
        <c:axPos val="b"/>
        <c:numFmt formatCode="General" sourceLinked="1"/>
        <c:majorTickMark val="out"/>
        <c:minorTickMark val="none"/>
        <c:tickLblPos val="nextTo"/>
        <c:crossAx val="6376048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Completions per 100 FTE Students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Graphics!$L$109</c:f>
              <c:strCache>
                <c:ptCount val="1"/>
                <c:pt idx="0">
                  <c:v>Completions per 100 FTE</c:v>
                </c:pt>
              </c:strCache>
            </c:strRef>
          </c:tx>
          <c:spPr>
            <a:solidFill>
              <a:schemeClr val="accent1"/>
            </a:solidFill>
            <a:ln>
              <a:noFill/>
            </a:ln>
            <a:effectLst/>
          </c:spPr>
          <c:invertIfNegative val="0"/>
          <c:dPt>
            <c:idx val="0"/>
            <c:invertIfNegative val="0"/>
            <c:bubble3D val="0"/>
            <c:spPr>
              <a:solidFill>
                <a:srgbClr val="9966FF"/>
              </a:solidFill>
              <a:ln>
                <a:noFill/>
              </a:ln>
              <a:effectLst/>
            </c:spPr>
            <c:extLst>
              <c:ext xmlns:c16="http://schemas.microsoft.com/office/drawing/2014/chart" uri="{C3380CC4-5D6E-409C-BE32-E72D297353CC}">
                <c16:uniqueId val="{00000007-724E-4392-B328-600853CFAD91}"/>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724E-4392-B328-600853CFAD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Graphics!$M$108:$N$108</c:f>
              <c:strCache>
                <c:ptCount val="2"/>
                <c:pt idx="0">
                  <c:v>Abilene Christian University</c:v>
                </c:pt>
                <c:pt idx="1">
                  <c:v>Private Master's University</c:v>
                </c:pt>
              </c:strCache>
            </c:strRef>
          </c:cat>
          <c:val>
            <c:numRef>
              <c:f>Graphics!$M$109:$N$109</c:f>
              <c:numCache>
                <c:formatCode>0.0</c:formatCode>
                <c:ptCount val="2"/>
                <c:pt idx="0">
                  <c:v>24.148250460405158</c:v>
                </c:pt>
                <c:pt idx="1">
                  <c:v>33.337881923483778</c:v>
                </c:pt>
              </c:numCache>
            </c:numRef>
          </c:val>
          <c:extLst>
            <c:ext xmlns:c16="http://schemas.microsoft.com/office/drawing/2014/chart" uri="{C3380CC4-5D6E-409C-BE32-E72D297353CC}">
              <c16:uniqueId val="{00000002-724E-4392-B328-600853CFAD91}"/>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0.0" sourceLinked="1"/>
        <c:majorTickMark val="none"/>
        <c:minorTickMark val="none"/>
        <c:tickLblPos val="nextTo"/>
        <c:crossAx val="83605781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 per</a:t>
            </a:r>
            <a:r>
              <a:rPr lang="en-US" baseline="0"/>
              <a:t> Completion and</a:t>
            </a:r>
          </a:p>
          <a:p>
            <a:pPr>
              <a:defRPr/>
            </a:pPr>
            <a:r>
              <a:rPr lang="en-US" baseline="0"/>
              <a:t>Education-related Spending per SCH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Graphics!$C$130</c:f>
              <c:strCache>
                <c:ptCount val="1"/>
                <c:pt idx="0">
                  <c:v>Student credit hours per completion</c:v>
                </c:pt>
              </c:strCache>
            </c:strRef>
          </c:tx>
          <c:spPr>
            <a:solidFill>
              <a:srgbClr val="9966FF"/>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8ABC-4812-B8C0-D22F7E749C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Graphics!$D$128:$G$129</c:f>
              <c:multiLvlStrCache>
                <c:ptCount val="4"/>
                <c:lvl>
                  <c:pt idx="0">
                    <c:v>Abilene Christian University</c:v>
                  </c:pt>
                  <c:pt idx="1">
                    <c:v>Private Master's University</c:v>
                  </c:pt>
                  <c:pt idx="2">
                    <c:v>Abilene Christian University</c:v>
                  </c:pt>
                  <c:pt idx="3">
                    <c:v>Private Master's University</c:v>
                  </c:pt>
                </c:lvl>
                <c:lvl>
                  <c:pt idx="0">
                    <c:v>Student credit hours per completion</c:v>
                  </c:pt>
                  <c:pt idx="2">
                    <c:v>Spending per credit hour</c:v>
                  </c:pt>
                </c:lvl>
              </c:multiLvlStrCache>
            </c:multiLvlStrRef>
          </c:cat>
          <c:val>
            <c:numRef>
              <c:f>Graphics!$D$130:$G$130</c:f>
              <c:numCache>
                <c:formatCode>0</c:formatCode>
                <c:ptCount val="4"/>
                <c:pt idx="0">
                  <c:v>125.86653956148713</c:v>
                </c:pt>
                <c:pt idx="1">
                  <c:v>90.971299098749569</c:v>
                </c:pt>
              </c:numCache>
            </c:numRef>
          </c:val>
          <c:extLst>
            <c:ext xmlns:c16="http://schemas.microsoft.com/office/drawing/2014/chart" uri="{C3380CC4-5D6E-409C-BE32-E72D297353CC}">
              <c16:uniqueId val="{00000004-8ABC-4812-B8C0-D22F7E749CA1}"/>
            </c:ext>
          </c:extLst>
        </c:ser>
        <c:dLbls>
          <c:showLegendKey val="0"/>
          <c:showVal val="0"/>
          <c:showCatName val="0"/>
          <c:showSerName val="0"/>
          <c:showPercent val="0"/>
          <c:showBubbleSize val="0"/>
        </c:dLbls>
        <c:gapWidth val="219"/>
        <c:axId val="836057816"/>
        <c:axId val="836059456"/>
      </c:barChart>
      <c:barChart>
        <c:barDir val="col"/>
        <c:grouping val="clustered"/>
        <c:varyColors val="0"/>
        <c:ser>
          <c:idx val="2"/>
          <c:order val="1"/>
          <c:tx>
            <c:strRef>
              <c:f>Graphics!$C$131</c:f>
              <c:strCache>
                <c:ptCount val="1"/>
                <c:pt idx="0">
                  <c:v>Spending per credit hour</c:v>
                </c:pt>
              </c:strCache>
            </c:strRef>
          </c:tx>
          <c:spPr>
            <a:solidFill>
              <a:srgbClr val="CC99FF"/>
            </a:solidFill>
            <a:ln>
              <a:noFill/>
            </a:ln>
            <a:effectLst/>
          </c:spPr>
          <c:invertIfNegative val="0"/>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D-8ABC-4812-B8C0-D22F7E749C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Graphics!$D$128:$G$129</c:f>
              <c:multiLvlStrCache>
                <c:ptCount val="4"/>
                <c:lvl>
                  <c:pt idx="0">
                    <c:v>Abilene Christian University</c:v>
                  </c:pt>
                  <c:pt idx="1">
                    <c:v>Private Master's University</c:v>
                  </c:pt>
                  <c:pt idx="2">
                    <c:v>Abilene Christian University</c:v>
                  </c:pt>
                  <c:pt idx="3">
                    <c:v>Private Master's University</c:v>
                  </c:pt>
                </c:lvl>
                <c:lvl>
                  <c:pt idx="0">
                    <c:v>Student credit hours per completion</c:v>
                  </c:pt>
                  <c:pt idx="2">
                    <c:v>Spending per credit hour</c:v>
                  </c:pt>
                </c:lvl>
              </c:multiLvlStrCache>
            </c:multiLvlStrRef>
          </c:cat>
          <c:val>
            <c:numRef>
              <c:f>Graphics!$D$131:$G$131</c:f>
              <c:numCache>
                <c:formatCode>General</c:formatCode>
                <c:ptCount val="4"/>
                <c:pt idx="2" formatCode="_(&quot;$&quot;* #,##0_);_(&quot;$&quot;* \(#,##0\);_(&quot;$&quot;* &quot;-&quot;??_);_(@_)">
                  <c:v>933.87854037430418</c:v>
                </c:pt>
                <c:pt idx="3" formatCode="_(&quot;$&quot;* #,##0_);_(&quot;$&quot;* \(#,##0\);_(&quot;$&quot;* &quot;-&quot;??_);_(@_)">
                  <c:v>672.48968438347174</c:v>
                </c:pt>
              </c:numCache>
            </c:numRef>
          </c:val>
          <c:extLst>
            <c:ext xmlns:c16="http://schemas.microsoft.com/office/drawing/2014/chart" uri="{C3380CC4-5D6E-409C-BE32-E72D297353CC}">
              <c16:uniqueId val="{00000007-8ABC-4812-B8C0-D22F7E749CA1}"/>
            </c:ext>
          </c:extLst>
        </c:ser>
        <c:dLbls>
          <c:showLegendKey val="0"/>
          <c:showVal val="0"/>
          <c:showCatName val="0"/>
          <c:showSerName val="0"/>
          <c:showPercent val="0"/>
          <c:showBubbleSize val="0"/>
        </c:dLbls>
        <c:gapWidth val="219"/>
        <c:axId val="637604200"/>
        <c:axId val="6376048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0" sourceLinked="0"/>
        <c:majorTickMark val="none"/>
        <c:minorTickMark val="none"/>
        <c:tickLblPos val="nextTo"/>
        <c:crossAx val="836057816"/>
        <c:crosses val="autoZero"/>
        <c:crossBetween val="between"/>
      </c:valAx>
      <c:valAx>
        <c:axId val="637604856"/>
        <c:scaling>
          <c:orientation val="minMax"/>
        </c:scaling>
        <c:delete val="1"/>
        <c:axPos val="r"/>
        <c:numFmt formatCode="&quot;$&quot;#,##0" sourceLinked="0"/>
        <c:majorTickMark val="out"/>
        <c:minorTickMark val="none"/>
        <c:tickLblPos val="nextTo"/>
        <c:crossAx val="637604200"/>
        <c:crosses val="max"/>
        <c:crossBetween val="between"/>
      </c:valAx>
      <c:catAx>
        <c:axId val="637604200"/>
        <c:scaling>
          <c:orientation val="minMax"/>
        </c:scaling>
        <c:delete val="1"/>
        <c:axPos val="b"/>
        <c:numFmt formatCode="General" sourceLinked="1"/>
        <c:majorTickMark val="out"/>
        <c:minorTickMark val="none"/>
        <c:tickLblPos val="nextTo"/>
        <c:crossAx val="6376048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Institutional</a:t>
            </a:r>
            <a:r>
              <a:rPr lang="en-US" baseline="0"/>
              <a:t> Grant Aid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Graphics!$E$30</c:f>
              <c:strCache>
                <c:ptCount val="1"/>
                <c:pt idx="0">
                  <c:v>Abilene Christian University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Graphics!$D$31:$D$32</c:f>
              <c:strCache>
                <c:ptCount val="2"/>
                <c:pt idx="0">
                  <c:v>Average institutional grant</c:v>
                </c:pt>
                <c:pt idx="1">
                  <c:v>Institutional grant aid per FTE student</c:v>
                </c:pt>
              </c:strCache>
            </c:strRef>
          </c:cat>
          <c:val>
            <c:numRef>
              <c:f>Graphics!$E$31:$E$32</c:f>
              <c:numCache>
                <c:formatCode>"$"#,##0_);\("$"#,##0\)</c:formatCode>
                <c:ptCount val="2"/>
                <c:pt idx="0">
                  <c:v>18220</c:v>
                </c:pt>
                <c:pt idx="1">
                  <c:v>12943.831606217616</c:v>
                </c:pt>
              </c:numCache>
            </c:numRef>
          </c:val>
          <c:extLst>
            <c:ext xmlns:c16="http://schemas.microsoft.com/office/drawing/2014/chart" uri="{C3380CC4-5D6E-409C-BE32-E72D297353CC}">
              <c16:uniqueId val="{00000000-11DD-46C6-BAE9-D86C1BF52099}"/>
            </c:ext>
          </c:extLst>
        </c:ser>
        <c:ser>
          <c:idx val="2"/>
          <c:order val="1"/>
          <c:tx>
            <c:strRef>
              <c:f>Graphics!$F$30</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Graphics!$D$31:$D$32</c:f>
              <c:strCache>
                <c:ptCount val="2"/>
                <c:pt idx="0">
                  <c:v>Average institutional grant</c:v>
                </c:pt>
                <c:pt idx="1">
                  <c:v>Institutional grant aid per FTE student</c:v>
                </c:pt>
              </c:strCache>
            </c:strRef>
          </c:cat>
          <c:val>
            <c:numRef>
              <c:f>Graphics!$F$31:$F$32</c:f>
              <c:numCache>
                <c:formatCode>"$"#,##0_);\("$"#,##0\)</c:formatCode>
                <c:ptCount val="2"/>
                <c:pt idx="0">
                  <c:v>16936.279778393353</c:v>
                </c:pt>
                <c:pt idx="1">
                  <c:v>8879.7925056883632</c:v>
                </c:pt>
              </c:numCache>
            </c:numRef>
          </c:val>
          <c:extLst>
            <c:ext xmlns:c16="http://schemas.microsoft.com/office/drawing/2014/chart" uri="{C3380CC4-5D6E-409C-BE32-E72D297353CC}">
              <c16:uniqueId val="{00000001-11DD-46C6-BAE9-D86C1BF52099}"/>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quot;$&quot;#,##0_);\(&quot;$&quot;#,##0\)" sourceLinked="1"/>
        <c:majorTickMark val="out"/>
        <c:minorTickMark val="none"/>
        <c:tickLblPos val="nextTo"/>
        <c:crossAx val="8360578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Tuition Discount Rate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Graphics!$L$31</c:f>
              <c:strCache>
                <c:ptCount val="1"/>
                <c:pt idx="0">
                  <c:v>Tuition Discount Rate</c:v>
                </c:pt>
              </c:strCache>
            </c:strRef>
          </c:tx>
          <c:spPr>
            <a:solidFill>
              <a:schemeClr val="accent3"/>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2F0-4DE8-B05A-91E69E2E8C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Graphics!$M$30:$N$30</c:f>
              <c:strCache>
                <c:ptCount val="2"/>
                <c:pt idx="0">
                  <c:v>Private Master's University</c:v>
                </c:pt>
                <c:pt idx="1">
                  <c:v>Abilene Christian University</c:v>
                </c:pt>
              </c:strCache>
            </c:strRef>
          </c:cat>
          <c:val>
            <c:numRef>
              <c:f>Graphics!$M$31:$N$31</c:f>
              <c:numCache>
                <c:formatCode>0%</c:formatCode>
                <c:ptCount val="2"/>
                <c:pt idx="0">
                  <c:v>0.36502036838058827</c:v>
                </c:pt>
                <c:pt idx="1">
                  <c:v>0.43334051208902147</c:v>
                </c:pt>
              </c:numCache>
            </c:numRef>
          </c:val>
          <c:extLst>
            <c:ext xmlns:c16="http://schemas.microsoft.com/office/drawing/2014/chart" uri="{C3380CC4-5D6E-409C-BE32-E72D297353CC}">
              <c16:uniqueId val="{00000002-C2F0-4DE8-B05A-91E69E2E8C38}"/>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b"/>
        <c:numFmt formatCode="0%" sourceLinked="1"/>
        <c:majorTickMark val="none"/>
        <c:minorTickMark val="none"/>
        <c:tickLblPos val="nextTo"/>
        <c:crossAx val="836057816"/>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 Total Revenue and 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Graphics!$E$49</c:f>
              <c:strCache>
                <c:ptCount val="1"/>
                <c:pt idx="0">
                  <c:v>Abilene Christian University</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Graphics!$D$50:$D$51</c:f>
              <c:strCache>
                <c:ptCount val="2"/>
                <c:pt idx="0">
                  <c:v>Revenue per FTE student</c:v>
                </c:pt>
                <c:pt idx="1">
                  <c:v>Spending per FTE student</c:v>
                </c:pt>
              </c:strCache>
            </c:strRef>
          </c:cat>
          <c:val>
            <c:numRef>
              <c:f>Graphics!$E$50:$E$51</c:f>
              <c:numCache>
                <c:formatCode>"$"#,##0</c:formatCode>
                <c:ptCount val="2"/>
                <c:pt idx="0">
                  <c:v>26615.346070811745</c:v>
                </c:pt>
                <c:pt idx="1">
                  <c:v>31408.847582037997</c:v>
                </c:pt>
              </c:numCache>
            </c:numRef>
          </c:val>
          <c:extLst>
            <c:ext xmlns:c16="http://schemas.microsoft.com/office/drawing/2014/chart" uri="{C3380CC4-5D6E-409C-BE32-E72D297353CC}">
              <c16:uniqueId val="{00000000-B57E-4E18-ADFA-C938BD708F97}"/>
            </c:ext>
          </c:extLst>
        </c:ser>
        <c:ser>
          <c:idx val="2"/>
          <c:order val="1"/>
          <c:tx>
            <c:strRef>
              <c:f>Graphics!$F$49</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Graphics!$D$50:$D$51</c:f>
              <c:strCache>
                <c:ptCount val="2"/>
                <c:pt idx="0">
                  <c:v>Revenue per FTE student</c:v>
                </c:pt>
                <c:pt idx="1">
                  <c:v>Spending per FTE student</c:v>
                </c:pt>
              </c:strCache>
            </c:strRef>
          </c:cat>
          <c:val>
            <c:numRef>
              <c:f>Graphics!$F$50:$F$51</c:f>
              <c:numCache>
                <c:formatCode>"$"#,##0</c:formatCode>
                <c:ptCount val="2"/>
                <c:pt idx="0">
                  <c:v>23242.836397944102</c:v>
                </c:pt>
                <c:pt idx="1">
                  <c:v>22695.334178455527</c:v>
                </c:pt>
              </c:numCache>
            </c:numRef>
          </c:val>
          <c:extLst>
            <c:ext xmlns:c16="http://schemas.microsoft.com/office/drawing/2014/chart" uri="{C3380CC4-5D6E-409C-BE32-E72D297353CC}">
              <c16:uniqueId val="{00000001-B57E-4E18-ADFA-C938BD708F97}"/>
            </c:ext>
          </c:extLst>
        </c:ser>
        <c:dLbls>
          <c:dLblPos val="outEnd"/>
          <c:showLegendKey val="0"/>
          <c:showVal val="1"/>
          <c:showCatName val="0"/>
          <c:showSerName val="0"/>
          <c:showPercent val="0"/>
          <c:showBubbleSize val="0"/>
        </c:dLbls>
        <c:gapWidth val="219"/>
        <c:overlap val="-27"/>
        <c:axId val="836057816"/>
        <c:axId val="836059456"/>
      </c:barChart>
      <c:catAx>
        <c:axId val="836057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l"/>
        <c:numFmt formatCode="&quot;$&quot;#,##0" sourceLinked="1"/>
        <c:majorTickMark val="out"/>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Student</a:t>
            </a:r>
            <a:r>
              <a:rPr lang="en-US" baseline="0"/>
              <a:t> Share of Spending</a:t>
            </a:r>
            <a:endParaRPr lang="en-US"/>
          </a:p>
        </c:rich>
      </c:tx>
      <c:overlay val="0"/>
      <c:spPr>
        <a:noFill/>
        <a:ln>
          <a:noFill/>
        </a:ln>
        <a:effectLst/>
      </c:spPr>
    </c:title>
    <c:autoTitleDeleted val="0"/>
    <c:plotArea>
      <c:layout/>
      <c:doughnutChart>
        <c:varyColors val="1"/>
        <c:ser>
          <c:idx val="1"/>
          <c:order val="0"/>
          <c:tx>
            <c:strRef>
              <c:f>Graphics!$N$68</c:f>
              <c:strCache>
                <c:ptCount val="1"/>
                <c:pt idx="0">
                  <c:v>Private Master's University</c:v>
                </c:pt>
              </c:strCache>
            </c:strRef>
          </c:tx>
          <c:spPr>
            <a:solidFill>
              <a:schemeClr val="accent6">
                <a:lumMod val="60000"/>
                <a:lumOff val="40000"/>
              </a:schemeClr>
            </a:solidFill>
          </c:spPr>
          <c:dPt>
            <c:idx val="0"/>
            <c:bubble3D val="0"/>
            <c:spPr>
              <a:solidFill>
                <a:schemeClr val="bg1">
                  <a:lumMod val="75000"/>
                </a:schemeClr>
              </a:solidFill>
            </c:spPr>
            <c:extLst>
              <c:ext xmlns:c16="http://schemas.microsoft.com/office/drawing/2014/chart" uri="{C3380CC4-5D6E-409C-BE32-E72D297353CC}">
                <c16:uniqueId val="{00000001-3C13-462D-92BB-07A3E5D23625}"/>
              </c:ext>
            </c:extLst>
          </c:dPt>
          <c:dPt>
            <c:idx val="1"/>
            <c:bubble3D val="0"/>
            <c:extLst>
              <c:ext xmlns:c16="http://schemas.microsoft.com/office/drawing/2014/chart" uri="{C3380CC4-5D6E-409C-BE32-E72D297353CC}">
                <c16:uniqueId val="{00000002-3C13-462D-92BB-07A3E5D23625}"/>
              </c:ext>
            </c:extLst>
          </c:dPt>
          <c:dLbls>
            <c:dLbl>
              <c:idx val="0"/>
              <c:layout>
                <c:manualLayout>
                  <c:x val="0.30068066491688539"/>
                  <c:y val="-0.1898148148148148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C13-462D-92BB-07A3E5D23625}"/>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Graphics!$M$69:$M$70</c:f>
              <c:strCache>
                <c:ptCount val="2"/>
                <c:pt idx="0">
                  <c:v>x</c:v>
                </c:pt>
                <c:pt idx="1">
                  <c:v>share of student spending</c:v>
                </c:pt>
              </c:strCache>
            </c:strRef>
          </c:cat>
          <c:val>
            <c:numRef>
              <c:f>Graphics!$N$69:$N$70</c:f>
              <c:numCache>
                <c:formatCode>0%</c:formatCode>
                <c:ptCount val="2"/>
                <c:pt idx="0">
                  <c:v>0.20127332085392757</c:v>
                </c:pt>
                <c:pt idx="1">
                  <c:v>0.79872667914607243</c:v>
                </c:pt>
              </c:numCache>
            </c:numRef>
          </c:val>
          <c:extLst>
            <c:ext xmlns:c16="http://schemas.microsoft.com/office/drawing/2014/chart" uri="{C3380CC4-5D6E-409C-BE32-E72D297353CC}">
              <c16:uniqueId val="{00000003-3C13-462D-92BB-07A3E5D23625}"/>
            </c:ext>
          </c:extLst>
        </c:ser>
        <c:ser>
          <c:idx val="0"/>
          <c:order val="1"/>
          <c:tx>
            <c:strRef>
              <c:f>Graphics!$O$68</c:f>
              <c:strCache>
                <c:ptCount val="1"/>
                <c:pt idx="0">
                  <c:v>Abilene Christian University</c:v>
                </c:pt>
              </c:strCache>
            </c:strRef>
          </c:tx>
          <c:spPr>
            <a:solidFill>
              <a:schemeClr val="accent6"/>
            </a:solidFill>
          </c:spPr>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3C13-462D-92BB-07A3E5D23625}"/>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7-3C13-462D-92BB-07A3E5D23625}"/>
              </c:ext>
            </c:extLst>
          </c:dPt>
          <c:dLbls>
            <c:dLbl>
              <c:idx val="0"/>
              <c:layout>
                <c:manualLayout>
                  <c:x val="0.328832239720035"/>
                  <c:y val="-2.777777777777777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C13-462D-92BB-07A3E5D23625}"/>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13-462D-92BB-07A3E5D23625}"/>
                </c:ext>
              </c:extLst>
            </c:dLbl>
            <c:spPr>
              <a:noFill/>
              <a:ln>
                <a:noFill/>
              </a:ln>
              <a:effectLst/>
            </c:spPr>
            <c:showLegendKey val="0"/>
            <c:showVal val="1"/>
            <c:showCatName val="0"/>
            <c:showSerName val="1"/>
            <c:showPercent val="0"/>
            <c:showBubbleSize val="0"/>
            <c:showLeaderLines val="1"/>
            <c:extLst>
              <c:ext xmlns:c15="http://schemas.microsoft.com/office/drawing/2012/chart" uri="{CE6537A1-D6FC-4f65-9D91-7224C49458BB}"/>
            </c:extLst>
          </c:dLbls>
          <c:cat>
            <c:strRef>
              <c:f>Graphics!$M$69:$M$70</c:f>
              <c:strCache>
                <c:ptCount val="2"/>
                <c:pt idx="0">
                  <c:v>x</c:v>
                </c:pt>
                <c:pt idx="1">
                  <c:v>share of student spending</c:v>
                </c:pt>
              </c:strCache>
            </c:strRef>
          </c:cat>
          <c:val>
            <c:numRef>
              <c:f>Graphics!$O$69:$O$70</c:f>
              <c:numCache>
                <c:formatCode>0%</c:formatCode>
                <c:ptCount val="2"/>
                <c:pt idx="0">
                  <c:v>0.36415962544510727</c:v>
                </c:pt>
                <c:pt idx="1">
                  <c:v>0.63584037455489273</c:v>
                </c:pt>
              </c:numCache>
            </c:numRef>
          </c:val>
          <c:extLst>
            <c:ext xmlns:c16="http://schemas.microsoft.com/office/drawing/2014/chart" uri="{C3380CC4-5D6E-409C-BE32-E72D297353CC}">
              <c16:uniqueId val="{00000008-3C13-462D-92BB-07A3E5D23625}"/>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Unit and</a:t>
            </a:r>
            <a:r>
              <a:rPr lang="en-US" baseline="0"/>
              <a:t> Percentage Compensation </a:t>
            </a:r>
            <a:r>
              <a:rPr lang="en-US"/>
              <a:t>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Graphics!$L$50</c:f>
              <c:strCache>
                <c:ptCount val="1"/>
                <c:pt idx="0">
                  <c:v>Compensation spending per FTE employee</c:v>
                </c:pt>
              </c:strCache>
            </c:strRef>
          </c:tx>
          <c:spPr>
            <a:solidFill>
              <a:schemeClr val="accent6"/>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1-BDC7-4F07-9472-641EB009EB9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Graphics!$M$49:$P$49</c:f>
              <c:strCache>
                <c:ptCount val="4"/>
                <c:pt idx="0">
                  <c:v>Abilene Christian University</c:v>
                </c:pt>
                <c:pt idx="1">
                  <c:v>Private Master's University</c:v>
                </c:pt>
                <c:pt idx="2">
                  <c:v>Abilene Christian University</c:v>
                </c:pt>
                <c:pt idx="3">
                  <c:v>Private Master's University</c:v>
                </c:pt>
              </c:strCache>
            </c:strRef>
          </c:cat>
          <c:val>
            <c:numRef>
              <c:f>Graphics!$M$50:$P$50</c:f>
              <c:numCache>
                <c:formatCode>"$"#,##0</c:formatCode>
                <c:ptCount val="4"/>
                <c:pt idx="0">
                  <c:v>93064.850938967138</c:v>
                </c:pt>
                <c:pt idx="1">
                  <c:v>81985.253908866478</c:v>
                </c:pt>
              </c:numCache>
            </c:numRef>
          </c:val>
          <c:extLst>
            <c:ext xmlns:c16="http://schemas.microsoft.com/office/drawing/2014/chart" uri="{C3380CC4-5D6E-409C-BE32-E72D297353CC}">
              <c16:uniqueId val="{00000002-D596-4838-83FA-37BFA9C71BB4}"/>
            </c:ext>
          </c:extLst>
        </c:ser>
        <c:dLbls>
          <c:showLegendKey val="0"/>
          <c:showVal val="0"/>
          <c:showCatName val="0"/>
          <c:showSerName val="0"/>
          <c:showPercent val="0"/>
          <c:showBubbleSize val="0"/>
        </c:dLbls>
        <c:gapWidth val="219"/>
        <c:axId val="836057816"/>
        <c:axId val="836059456"/>
      </c:barChart>
      <c:barChart>
        <c:barDir val="col"/>
        <c:grouping val="clustered"/>
        <c:varyColors val="0"/>
        <c:ser>
          <c:idx val="2"/>
          <c:order val="1"/>
          <c:tx>
            <c:strRef>
              <c:f>Graphics!$L$51</c:f>
              <c:strCache>
                <c:ptCount val="1"/>
                <c:pt idx="0">
                  <c:v>Compensation share of total spending</c:v>
                </c:pt>
              </c:strCache>
            </c:strRef>
          </c:tx>
          <c:spPr>
            <a:solidFill>
              <a:schemeClr val="accent6">
                <a:lumMod val="60000"/>
                <a:lumOff val="40000"/>
              </a:schemeClr>
            </a:solidFill>
            <a:ln>
              <a:noFill/>
            </a:ln>
            <a:effectLst/>
          </c:spPr>
          <c:invertIfNegative val="0"/>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4-D596-4838-83FA-37BFA9C71B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Graphics!$M$49:$P$49</c:f>
              <c:strCache>
                <c:ptCount val="4"/>
                <c:pt idx="0">
                  <c:v>Abilene Christian University</c:v>
                </c:pt>
                <c:pt idx="1">
                  <c:v>Private Master's University</c:v>
                </c:pt>
                <c:pt idx="2">
                  <c:v>Abilene Christian University</c:v>
                </c:pt>
                <c:pt idx="3">
                  <c:v>Private Master's University</c:v>
                </c:pt>
              </c:strCache>
            </c:strRef>
          </c:cat>
          <c:val>
            <c:numRef>
              <c:f>Graphics!$M$51:$P$51</c:f>
              <c:numCache>
                <c:formatCode>General</c:formatCode>
                <c:ptCount val="4"/>
                <c:pt idx="2" formatCode="0%">
                  <c:v>0.54501032272693151</c:v>
                </c:pt>
                <c:pt idx="3" formatCode="0%">
                  <c:v>0.55089696679035804</c:v>
                </c:pt>
              </c:numCache>
            </c:numRef>
          </c:val>
          <c:extLst>
            <c:ext xmlns:c16="http://schemas.microsoft.com/office/drawing/2014/chart" uri="{C3380CC4-5D6E-409C-BE32-E72D297353CC}">
              <c16:uniqueId val="{00000005-D596-4838-83FA-37BFA9C71BB4}"/>
            </c:ext>
          </c:extLst>
        </c:ser>
        <c:dLbls>
          <c:showLegendKey val="0"/>
          <c:showVal val="0"/>
          <c:showCatName val="0"/>
          <c:showSerName val="0"/>
          <c:showPercent val="0"/>
          <c:showBubbleSize val="0"/>
        </c:dLbls>
        <c:gapWidth val="219"/>
        <c:axId val="637604200"/>
        <c:axId val="6376048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36057816"/>
        <c:crosses val="autoZero"/>
        <c:crossBetween val="between"/>
      </c:valAx>
      <c:valAx>
        <c:axId val="637604856"/>
        <c:scaling>
          <c:orientation val="minMax"/>
          <c:max val="1"/>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37604200"/>
        <c:crosses val="max"/>
        <c:crossBetween val="between"/>
      </c:valAx>
      <c:catAx>
        <c:axId val="637604200"/>
        <c:scaling>
          <c:orientation val="minMax"/>
        </c:scaling>
        <c:delete val="1"/>
        <c:axPos val="b"/>
        <c:numFmt formatCode="General" sourceLinked="1"/>
        <c:majorTickMark val="out"/>
        <c:minorTickMark val="none"/>
        <c:tickLblPos val="nextTo"/>
        <c:crossAx val="637604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Education-related</a:t>
            </a:r>
            <a:r>
              <a:rPr lang="en-US" baseline="0"/>
              <a:t> Unit </a:t>
            </a:r>
            <a:r>
              <a:rPr lang="en-US"/>
              <a:t>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Graphics!$E$68</c:f>
              <c:strCache>
                <c:ptCount val="1"/>
                <c:pt idx="0">
                  <c:v>Abilene Christian University</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Graphics!$D$69</c:f>
              <c:strCache>
                <c:ptCount val="1"/>
                <c:pt idx="0">
                  <c:v>Education-related spending per FTE student</c:v>
                </c:pt>
              </c:strCache>
            </c:strRef>
          </c:cat>
          <c:val>
            <c:numRef>
              <c:f>Graphics!$E$69</c:f>
              <c:numCache>
                <c:formatCode>"$"#,##0</c:formatCode>
                <c:ptCount val="1"/>
                <c:pt idx="0">
                  <c:v>26619.97392050537</c:v>
                </c:pt>
              </c:numCache>
            </c:numRef>
          </c:val>
          <c:extLst>
            <c:ext xmlns:c16="http://schemas.microsoft.com/office/drawing/2014/chart" uri="{C3380CC4-5D6E-409C-BE32-E72D297353CC}">
              <c16:uniqueId val="{00000000-C1AB-4A49-A48D-6B3D18CC3630}"/>
            </c:ext>
          </c:extLst>
        </c:ser>
        <c:ser>
          <c:idx val="2"/>
          <c:order val="1"/>
          <c:tx>
            <c:strRef>
              <c:f>Graphics!$F$68</c:f>
              <c:strCache>
                <c:ptCount val="1"/>
                <c:pt idx="0">
                  <c:v>Private Master's University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Graphics!$D$69</c:f>
              <c:strCache>
                <c:ptCount val="1"/>
                <c:pt idx="0">
                  <c:v>Education-related spending per FTE student</c:v>
                </c:pt>
              </c:strCache>
            </c:strRef>
          </c:cat>
          <c:val>
            <c:numRef>
              <c:f>Graphics!$F$69</c:f>
              <c:numCache>
                <c:formatCode>"$"#,##0</c:formatCode>
                <c:ptCount val="1"/>
                <c:pt idx="0">
                  <c:v>18895.327998831752</c:v>
                </c:pt>
              </c:numCache>
            </c:numRef>
          </c:val>
          <c:extLst>
            <c:ext xmlns:c16="http://schemas.microsoft.com/office/drawing/2014/chart" uri="{C3380CC4-5D6E-409C-BE32-E72D297353CC}">
              <c16:uniqueId val="{00000001-C1AB-4A49-A48D-6B3D18CC3630}"/>
            </c:ext>
          </c:extLst>
        </c:ser>
        <c:dLbls>
          <c:dLblPos val="outEnd"/>
          <c:showLegendKey val="0"/>
          <c:showVal val="1"/>
          <c:showCatName val="0"/>
          <c:showSerName val="0"/>
          <c:showPercent val="0"/>
          <c:showBubbleSize val="0"/>
        </c:dLbls>
        <c:gapWidth val="219"/>
        <c:overlap val="-27"/>
        <c:axId val="836057816"/>
        <c:axId val="836059456"/>
      </c:barChart>
      <c:catAx>
        <c:axId val="83605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scaling>
        <c:delete val="1"/>
        <c:axPos val="l"/>
        <c:numFmt formatCode="&quot;$&quot;#,##0" sourceLinked="1"/>
        <c:majorTickMark val="none"/>
        <c:minorTickMark val="none"/>
        <c:tickLblPos val="nextTo"/>
        <c:crossAx val="83605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Faculty Throughput:</a:t>
            </a:r>
          </a:p>
          <a:p>
            <a:pPr>
              <a:defRPr/>
            </a:pPr>
            <a:r>
              <a:rPr lang="en-US" baseline="0"/>
              <a:t>Student Credit Hours Per FTE Faculty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Graphics!$D$88</c:f>
              <c:strCache>
                <c:ptCount val="1"/>
                <c:pt idx="0">
                  <c:v>Faculty throughput</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A610-438F-B708-D3DDAAAA57F5}"/>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A610-438F-B708-D3DDAAAA57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Graphics!$E$87:$F$87</c:f>
              <c:strCache>
                <c:ptCount val="2"/>
                <c:pt idx="0">
                  <c:v>Private Master's University</c:v>
                </c:pt>
                <c:pt idx="1">
                  <c:v>Abilene Christian University</c:v>
                </c:pt>
              </c:strCache>
            </c:strRef>
          </c:cat>
          <c:val>
            <c:numRef>
              <c:f>Graphics!$E$88:$F$88</c:f>
              <c:numCache>
                <c:formatCode>0</c:formatCode>
                <c:ptCount val="2"/>
                <c:pt idx="0">
                  <c:v>440.23144315890784</c:v>
                </c:pt>
                <c:pt idx="1">
                  <c:v>442.57206703910617</c:v>
                </c:pt>
              </c:numCache>
            </c:numRef>
          </c:val>
          <c:extLst>
            <c:ext xmlns:c16="http://schemas.microsoft.com/office/drawing/2014/chart" uri="{C3380CC4-5D6E-409C-BE32-E72D297353CC}">
              <c16:uniqueId val="{00000004-A610-438F-B708-D3DDAAAA57F5}"/>
            </c:ext>
          </c:extLst>
        </c:ser>
        <c:dLbls>
          <c:dLblPos val="outEnd"/>
          <c:showLegendKey val="0"/>
          <c:showVal val="1"/>
          <c:showCatName val="0"/>
          <c:showSerName val="0"/>
          <c:showPercent val="0"/>
          <c:showBubbleSize val="0"/>
        </c:dLbls>
        <c:gapWidth val="219"/>
        <c:axId val="836057816"/>
        <c:axId val="836059456"/>
      </c:barChart>
      <c:catAx>
        <c:axId val="836057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059456"/>
        <c:crosses val="autoZero"/>
        <c:auto val="1"/>
        <c:lblAlgn val="ctr"/>
        <c:lblOffset val="100"/>
        <c:noMultiLvlLbl val="0"/>
      </c:catAx>
      <c:valAx>
        <c:axId val="836059456"/>
        <c:scaling>
          <c:orientation val="minMax"/>
          <c:min val="0"/>
        </c:scaling>
        <c:delete val="1"/>
        <c:axPos val="b"/>
        <c:numFmt formatCode="0" sourceLinked="1"/>
        <c:majorTickMark val="none"/>
        <c:minorTickMark val="none"/>
        <c:tickLblPos val="nextTo"/>
        <c:crossAx val="836057816"/>
        <c:crosses val="autoZero"/>
        <c:crossBetween val="between"/>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1</xdr:col>
      <xdr:colOff>46015</xdr:colOff>
      <xdr:row>20</xdr:row>
      <xdr:rowOff>161925</xdr:rowOff>
    </xdr:from>
    <xdr:to>
      <xdr:col>4</xdr:col>
      <xdr:colOff>47625</xdr:colOff>
      <xdr:row>24</xdr:row>
      <xdr:rowOff>15741</xdr:rowOff>
    </xdr:to>
    <xdr:pic>
      <xdr:nvPicPr>
        <xdr:cNvPr id="2" name="Picture 1">
          <a:extLst>
            <a:ext uri="{FF2B5EF4-FFF2-40B4-BE49-F238E27FC236}">
              <a16:creationId xmlns:a16="http://schemas.microsoft.com/office/drawing/2014/main" id="{F8719C57-AA03-48ED-89E0-D27564AFA24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2715" y="4648200"/>
          <a:ext cx="1830410" cy="615816"/>
        </a:xfrm>
        <a:prstGeom prst="rect">
          <a:avLst/>
        </a:prstGeom>
        <a:noFill/>
        <a:ln w="9525">
          <a:noFill/>
          <a:miter lim="800000"/>
          <a:headEnd/>
          <a:tailEnd/>
        </a:ln>
        <a:effectLst/>
      </xdr:spPr>
    </xdr:pic>
    <xdr:clientData/>
  </xdr:twoCellAnchor>
  <xdr:twoCellAnchor editAs="oneCell">
    <xdr:from>
      <xdr:col>10</xdr:col>
      <xdr:colOff>9525</xdr:colOff>
      <xdr:row>19</xdr:row>
      <xdr:rowOff>155946</xdr:rowOff>
    </xdr:from>
    <xdr:to>
      <xdr:col>14</xdr:col>
      <xdr:colOff>66675</xdr:colOff>
      <xdr:row>25</xdr:row>
      <xdr:rowOff>25030</xdr:rowOff>
    </xdr:to>
    <xdr:pic>
      <xdr:nvPicPr>
        <xdr:cNvPr id="3" name="Picture 2">
          <a:extLst>
            <a:ext uri="{FF2B5EF4-FFF2-40B4-BE49-F238E27FC236}">
              <a16:creationId xmlns:a16="http://schemas.microsoft.com/office/drawing/2014/main" id="{A0CF888E-1487-48B8-AFD8-9E0A7DFDCD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2625" y="4451721"/>
          <a:ext cx="2495550" cy="101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1447801</xdr:colOff>
      <xdr:row>1</xdr:row>
      <xdr:rowOff>44162</xdr:rowOff>
    </xdr:from>
    <xdr:to>
      <xdr:col>9</xdr:col>
      <xdr:colOff>3465</xdr:colOff>
      <xdr:row>5</xdr:row>
      <xdr:rowOff>76199</xdr:rowOff>
    </xdr:to>
    <xdr:sp macro="" textlink="">
      <xdr:nvSpPr>
        <xdr:cNvPr id="12" name="TextBox 11">
          <a:extLst>
            <a:ext uri="{FF2B5EF4-FFF2-40B4-BE49-F238E27FC236}">
              <a16:creationId xmlns:a16="http://schemas.microsoft.com/office/drawing/2014/main" id="{F5F11DB7-F8DF-477E-AFF1-B1DE1D629B4E}"/>
            </a:ext>
          </a:extLst>
        </xdr:cNvPr>
        <xdr:cNvSpPr txBox="1"/>
      </xdr:nvSpPr>
      <xdr:spPr>
        <a:xfrm>
          <a:off x="6715126" y="463262"/>
          <a:ext cx="4708814" cy="965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300"/>
            </a:spcAft>
          </a:pPr>
          <a:r>
            <a:rPr lang="en-US" sz="800" i="1">
              <a:solidFill>
                <a:sysClr val="windowText" lastClr="000000"/>
              </a:solidFill>
              <a:sym typeface="Wingdings" panose="05000000000000000000" pitchFamily="2" charset="2"/>
            </a:rPr>
            <a:t>Comparative Position</a:t>
          </a:r>
        </a:p>
        <a:p>
          <a:r>
            <a:rPr lang="en-US" sz="1100">
              <a:solidFill>
                <a:schemeClr val="accent6"/>
              </a:solidFill>
              <a:sym typeface="Wingdings" panose="05000000000000000000" pitchFamily="2" charset="2"/>
            </a:rPr>
            <a:t></a:t>
          </a:r>
          <a:r>
            <a:rPr lang="en-US" sz="1100">
              <a:sym typeface="Wingdings" panose="05000000000000000000" pitchFamily="2" charset="2"/>
            </a:rPr>
            <a:t> </a:t>
          </a:r>
          <a:r>
            <a:rPr lang="en-US" sz="800">
              <a:sym typeface="Wingdings" panose="05000000000000000000" pitchFamily="2" charset="2"/>
            </a:rPr>
            <a:t>= College is within one standard deviation</a:t>
          </a:r>
          <a:r>
            <a:rPr lang="en-US" sz="800" baseline="0">
              <a:sym typeface="Wingdings" panose="05000000000000000000" pitchFamily="2" charset="2"/>
            </a:rPr>
            <a:t> of the Carnegie group average in their institutional sector.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sym typeface="Wingdings" panose="05000000000000000000" pitchFamily="2" charset="2"/>
            </a:rPr>
            <a:t></a:t>
          </a:r>
          <a:r>
            <a:rPr kumimoji="0" lang="en-US" sz="1100" b="0" i="0" u="none" strike="noStrike" kern="0" cap="none" spc="0" normalizeH="0" baseline="0" noProof="0">
              <a:ln>
                <a:noFill/>
              </a:ln>
              <a:solidFill>
                <a:srgbClr val="FF0000"/>
              </a:solidFill>
              <a:effectLst/>
              <a:uLnTx/>
              <a:uFillTx/>
              <a:latin typeface="+mn-lt"/>
              <a:ea typeface="+mn-ea"/>
              <a:cs typeface="+mn-cs"/>
              <a:sym typeface="Wingdings" panose="05000000000000000000" pitchFamily="2" charset="2"/>
            </a:rPr>
            <a:t> </a:t>
          </a:r>
          <a:r>
            <a:rPr kumimoji="0" lang="en-US" sz="800" b="0" i="0" u="none" strike="noStrike" kern="0" cap="none" spc="0" normalizeH="0" baseline="0" noProof="0">
              <a:ln>
                <a:noFill/>
              </a:ln>
              <a:solidFill>
                <a:prstClr val="black"/>
              </a:solidFill>
              <a:effectLst/>
              <a:uLnTx/>
              <a:uFillTx/>
              <a:latin typeface="+mn-lt"/>
              <a:ea typeface="+mn-ea"/>
              <a:cs typeface="+mn-cs"/>
              <a:sym typeface="Wingdings" panose="05000000000000000000" pitchFamily="2" charset="2"/>
            </a:rPr>
            <a:t>= College is at least one standard deviation above the Carnegie group average in their institutional sector.</a:t>
          </a:r>
        </a:p>
        <a:p>
          <a:r>
            <a:rPr lang="en-US" sz="1100" baseline="0">
              <a:sym typeface="Wingdings" panose="05000000000000000000" pitchFamily="2" charset="2"/>
            </a:rPr>
            <a:t> </a:t>
          </a:r>
          <a:r>
            <a:rPr lang="en-US" sz="800" baseline="0">
              <a:sym typeface="Wingdings" panose="05000000000000000000" pitchFamily="2" charset="2"/>
            </a:rPr>
            <a:t>= College is at least one standard deviation below the Carnegie group average in their institutional sector.</a:t>
          </a:r>
        </a:p>
        <a:p>
          <a:r>
            <a:rPr lang="en-US" sz="800" baseline="0">
              <a:solidFill>
                <a:sysClr val="windowText" lastClr="000000"/>
              </a:solidFill>
              <a:sym typeface="Wingdings" panose="05000000000000000000" pitchFamily="2" charset="2"/>
            </a:rPr>
            <a:t>A </a:t>
          </a:r>
          <a:r>
            <a:rPr lang="en-US" sz="800" baseline="0">
              <a:solidFill>
                <a:srgbClr val="FF0000"/>
              </a:solidFill>
              <a:sym typeface="Wingdings" panose="05000000000000000000" pitchFamily="2" charset="2"/>
            </a:rPr>
            <a:t>red icon</a:t>
          </a:r>
          <a:r>
            <a:rPr lang="en-US" sz="800" baseline="0">
              <a:sym typeface="Wingdings" panose="05000000000000000000" pitchFamily="2" charset="2"/>
            </a:rPr>
            <a:t> indicates the metric's comparative position is a potential financial concern.</a:t>
          </a:r>
          <a:endParaRPr lang="en-US" sz="800"/>
        </a:p>
      </xdr:txBody>
    </xdr:sp>
    <xdr:clientData/>
  </xdr:twoCellAnchor>
  <xdr:twoCellAnchor>
    <xdr:from>
      <xdr:col>2</xdr:col>
      <xdr:colOff>0</xdr:colOff>
      <xdr:row>9</xdr:row>
      <xdr:rowOff>0</xdr:rowOff>
    </xdr:from>
    <xdr:to>
      <xdr:col>3</xdr:col>
      <xdr:colOff>4403148</xdr:colOff>
      <xdr:row>17</xdr:row>
      <xdr:rowOff>110836</xdr:rowOff>
    </xdr:to>
    <xdr:graphicFrame macro="">
      <xdr:nvGraphicFramePr>
        <xdr:cNvPr id="16" name="Chart 15">
          <a:extLst>
            <a:ext uri="{FF2B5EF4-FFF2-40B4-BE49-F238E27FC236}">
              <a16:creationId xmlns:a16="http://schemas.microsoft.com/office/drawing/2014/main" id="{A0A93FA4-6B37-4BF6-8D1D-1C4C6B3DC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3</xdr:col>
      <xdr:colOff>4403148</xdr:colOff>
      <xdr:row>27</xdr:row>
      <xdr:rowOff>15586</xdr:rowOff>
    </xdr:to>
    <xdr:graphicFrame macro="">
      <xdr:nvGraphicFramePr>
        <xdr:cNvPr id="17" name="Chart 16">
          <a:extLst>
            <a:ext uri="{FF2B5EF4-FFF2-40B4-BE49-F238E27FC236}">
              <a16:creationId xmlns:a16="http://schemas.microsoft.com/office/drawing/2014/main" id="{69C5289E-3E17-400D-8164-A63665AF3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28</xdr:row>
      <xdr:rowOff>0</xdr:rowOff>
    </xdr:from>
    <xdr:to>
      <xdr:col>3</xdr:col>
      <xdr:colOff>4403148</xdr:colOff>
      <xdr:row>38</xdr:row>
      <xdr:rowOff>58882</xdr:rowOff>
    </xdr:to>
    <xdr:graphicFrame macro="">
      <xdr:nvGraphicFramePr>
        <xdr:cNvPr id="18" name="Chart 17">
          <a:extLst>
            <a:ext uri="{FF2B5EF4-FFF2-40B4-BE49-F238E27FC236}">
              <a16:creationId xmlns:a16="http://schemas.microsoft.com/office/drawing/2014/main" id="{6BE09BF1-8A91-4EC5-BAA0-3FA184DD3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39</xdr:row>
      <xdr:rowOff>0</xdr:rowOff>
    </xdr:from>
    <xdr:to>
      <xdr:col>3</xdr:col>
      <xdr:colOff>4410075</xdr:colOff>
      <xdr:row>50</xdr:row>
      <xdr:rowOff>85725</xdr:rowOff>
    </xdr:to>
    <xdr:graphicFrame macro="">
      <xdr:nvGraphicFramePr>
        <xdr:cNvPr id="19" name="Chart 18">
          <a:extLst>
            <a:ext uri="{FF2B5EF4-FFF2-40B4-BE49-F238E27FC236}">
              <a16:creationId xmlns:a16="http://schemas.microsoft.com/office/drawing/2014/main" id="{4EF590C9-9A20-4C84-8BAF-110901948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4410075</xdr:colOff>
      <xdr:row>19</xdr:row>
      <xdr:rowOff>123825</xdr:rowOff>
    </xdr:to>
    <xdr:graphicFrame macro="">
      <xdr:nvGraphicFramePr>
        <xdr:cNvPr id="3" name="Chart 2">
          <a:extLst>
            <a:ext uri="{FF2B5EF4-FFF2-40B4-BE49-F238E27FC236}">
              <a16:creationId xmlns:a16="http://schemas.microsoft.com/office/drawing/2014/main" id="{5E1ED320-9FB3-4AA1-81FF-460A37F38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19050</xdr:rowOff>
    </xdr:from>
    <xdr:to>
      <xdr:col>3</xdr:col>
      <xdr:colOff>4410075</xdr:colOff>
      <xdr:row>59</xdr:row>
      <xdr:rowOff>0</xdr:rowOff>
    </xdr:to>
    <xdr:graphicFrame macro="">
      <xdr:nvGraphicFramePr>
        <xdr:cNvPr id="4" name="Chart 3">
          <a:extLst>
            <a:ext uri="{FF2B5EF4-FFF2-40B4-BE49-F238E27FC236}">
              <a16:creationId xmlns:a16="http://schemas.microsoft.com/office/drawing/2014/main" id="{2C3925F4-A440-420D-9E26-8373B6F68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20</xdr:row>
      <xdr:rowOff>9525</xdr:rowOff>
    </xdr:from>
    <xdr:to>
      <xdr:col>3</xdr:col>
      <xdr:colOff>4410075</xdr:colOff>
      <xdr:row>31</xdr:row>
      <xdr:rowOff>85725</xdr:rowOff>
    </xdr:to>
    <xdr:graphicFrame macro="">
      <xdr:nvGraphicFramePr>
        <xdr:cNvPr id="6" name="Chart 5">
          <a:extLst>
            <a:ext uri="{FF2B5EF4-FFF2-40B4-BE49-F238E27FC236}">
              <a16:creationId xmlns:a16="http://schemas.microsoft.com/office/drawing/2014/main" id="{E9A71676-D2CD-4671-AB58-D3650FE66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32</xdr:row>
      <xdr:rowOff>0</xdr:rowOff>
    </xdr:from>
    <xdr:to>
      <xdr:col>3</xdr:col>
      <xdr:colOff>4410075</xdr:colOff>
      <xdr:row>44</xdr:row>
      <xdr:rowOff>171450</xdr:rowOff>
    </xdr:to>
    <xdr:graphicFrame macro="">
      <xdr:nvGraphicFramePr>
        <xdr:cNvPr id="8" name="Chart 7">
          <a:extLst>
            <a:ext uri="{FF2B5EF4-FFF2-40B4-BE49-F238E27FC236}">
              <a16:creationId xmlns:a16="http://schemas.microsoft.com/office/drawing/2014/main" id="{8514F6C3-1857-410B-9F3A-7669667F3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1447800</xdr:colOff>
      <xdr:row>1</xdr:row>
      <xdr:rowOff>38100</xdr:rowOff>
    </xdr:from>
    <xdr:to>
      <xdr:col>9</xdr:col>
      <xdr:colOff>3464</xdr:colOff>
      <xdr:row>5</xdr:row>
      <xdr:rowOff>70137</xdr:rowOff>
    </xdr:to>
    <xdr:sp macro="" textlink="">
      <xdr:nvSpPr>
        <xdr:cNvPr id="7" name="TextBox 6">
          <a:extLst>
            <a:ext uri="{FF2B5EF4-FFF2-40B4-BE49-F238E27FC236}">
              <a16:creationId xmlns:a16="http://schemas.microsoft.com/office/drawing/2014/main" id="{CD3C2246-DB66-4554-A493-41EF0037FB4D}"/>
            </a:ext>
          </a:extLst>
        </xdr:cNvPr>
        <xdr:cNvSpPr txBox="1"/>
      </xdr:nvSpPr>
      <xdr:spPr>
        <a:xfrm>
          <a:off x="6715125" y="457200"/>
          <a:ext cx="4708814" cy="965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300"/>
            </a:spcAft>
          </a:pPr>
          <a:r>
            <a:rPr lang="en-US" sz="800" i="1">
              <a:solidFill>
                <a:sysClr val="windowText" lastClr="000000"/>
              </a:solidFill>
              <a:sym typeface="Wingdings" panose="05000000000000000000" pitchFamily="2" charset="2"/>
            </a:rPr>
            <a:t>Comparative Position</a:t>
          </a:r>
        </a:p>
        <a:p>
          <a:r>
            <a:rPr lang="en-US" sz="1100">
              <a:solidFill>
                <a:schemeClr val="accent6"/>
              </a:solidFill>
              <a:sym typeface="Wingdings" panose="05000000000000000000" pitchFamily="2" charset="2"/>
            </a:rPr>
            <a:t></a:t>
          </a:r>
          <a:r>
            <a:rPr lang="en-US" sz="1100">
              <a:sym typeface="Wingdings" panose="05000000000000000000" pitchFamily="2" charset="2"/>
            </a:rPr>
            <a:t> </a:t>
          </a:r>
          <a:r>
            <a:rPr lang="en-US" sz="800">
              <a:sym typeface="Wingdings" panose="05000000000000000000" pitchFamily="2" charset="2"/>
            </a:rPr>
            <a:t>= College is within one standard deviation</a:t>
          </a:r>
          <a:r>
            <a:rPr lang="en-US" sz="800" baseline="0">
              <a:sym typeface="Wingdings" panose="05000000000000000000" pitchFamily="2" charset="2"/>
            </a:rPr>
            <a:t> of the Carnegie group average in their institutional sector.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sym typeface="Wingdings" panose="05000000000000000000" pitchFamily="2" charset="2"/>
            </a:rPr>
            <a:t></a:t>
          </a:r>
          <a:r>
            <a:rPr kumimoji="0" lang="en-US" sz="1100" b="0" i="0" u="none" strike="noStrike" kern="0" cap="none" spc="0" normalizeH="0" baseline="0" noProof="0">
              <a:ln>
                <a:noFill/>
              </a:ln>
              <a:solidFill>
                <a:srgbClr val="FF0000"/>
              </a:solidFill>
              <a:effectLst/>
              <a:uLnTx/>
              <a:uFillTx/>
              <a:latin typeface="+mn-lt"/>
              <a:ea typeface="+mn-ea"/>
              <a:cs typeface="+mn-cs"/>
              <a:sym typeface="Wingdings" panose="05000000000000000000" pitchFamily="2" charset="2"/>
            </a:rPr>
            <a:t> </a:t>
          </a:r>
          <a:r>
            <a:rPr kumimoji="0" lang="en-US" sz="800" b="0" i="0" u="none" strike="noStrike" kern="0" cap="none" spc="0" normalizeH="0" baseline="0" noProof="0">
              <a:ln>
                <a:noFill/>
              </a:ln>
              <a:solidFill>
                <a:prstClr val="black"/>
              </a:solidFill>
              <a:effectLst/>
              <a:uLnTx/>
              <a:uFillTx/>
              <a:latin typeface="+mn-lt"/>
              <a:ea typeface="+mn-ea"/>
              <a:cs typeface="+mn-cs"/>
              <a:sym typeface="Wingdings" panose="05000000000000000000" pitchFamily="2" charset="2"/>
            </a:rPr>
            <a:t>= College is at least one standard deviation above the Carnegie group average in their institutional sector.</a:t>
          </a:r>
        </a:p>
        <a:p>
          <a:r>
            <a:rPr lang="en-US" sz="1100" baseline="0">
              <a:sym typeface="Wingdings" panose="05000000000000000000" pitchFamily="2" charset="2"/>
            </a:rPr>
            <a:t> </a:t>
          </a:r>
          <a:r>
            <a:rPr lang="en-US" sz="800" baseline="0">
              <a:sym typeface="Wingdings" panose="05000000000000000000" pitchFamily="2" charset="2"/>
            </a:rPr>
            <a:t>= College is at least one standard deviation below the Carnegie group average in their institutional sector.</a:t>
          </a:r>
        </a:p>
        <a:p>
          <a:r>
            <a:rPr lang="en-US" sz="800" baseline="0">
              <a:solidFill>
                <a:sysClr val="windowText" lastClr="000000"/>
              </a:solidFill>
              <a:sym typeface="Wingdings" panose="05000000000000000000" pitchFamily="2" charset="2"/>
            </a:rPr>
            <a:t>A </a:t>
          </a:r>
          <a:r>
            <a:rPr lang="en-US" sz="800" baseline="0">
              <a:solidFill>
                <a:srgbClr val="FF0000"/>
              </a:solidFill>
              <a:sym typeface="Wingdings" panose="05000000000000000000" pitchFamily="2" charset="2"/>
            </a:rPr>
            <a:t>red icon</a:t>
          </a:r>
          <a:r>
            <a:rPr lang="en-US" sz="800" baseline="0">
              <a:sym typeface="Wingdings" panose="05000000000000000000" pitchFamily="2" charset="2"/>
            </a:rPr>
            <a:t> indicates the metric's comparative position is a potential financial concern.</a:t>
          </a:r>
          <a:endParaRPr 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4410075</xdr:colOff>
      <xdr:row>21</xdr:row>
      <xdr:rowOff>28575</xdr:rowOff>
    </xdr:to>
    <xdr:graphicFrame macro="">
      <xdr:nvGraphicFramePr>
        <xdr:cNvPr id="5" name="Chart 4">
          <a:extLst>
            <a:ext uri="{FF2B5EF4-FFF2-40B4-BE49-F238E27FC236}">
              <a16:creationId xmlns:a16="http://schemas.microsoft.com/office/drawing/2014/main" id="{484234F9-5067-4FEA-BFF6-0144EDD19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5294</xdr:colOff>
      <xdr:row>22</xdr:row>
      <xdr:rowOff>0</xdr:rowOff>
    </xdr:from>
    <xdr:to>
      <xdr:col>3</xdr:col>
      <xdr:colOff>4415369</xdr:colOff>
      <xdr:row>34</xdr:row>
      <xdr:rowOff>171450</xdr:rowOff>
    </xdr:to>
    <xdr:graphicFrame macro="">
      <xdr:nvGraphicFramePr>
        <xdr:cNvPr id="6" name="Chart 5">
          <a:extLst>
            <a:ext uri="{FF2B5EF4-FFF2-40B4-BE49-F238E27FC236}">
              <a16:creationId xmlns:a16="http://schemas.microsoft.com/office/drawing/2014/main" id="{098ABA4C-816E-4236-B9E2-A66662E5A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1447800</xdr:colOff>
      <xdr:row>1</xdr:row>
      <xdr:rowOff>38100</xdr:rowOff>
    </xdr:from>
    <xdr:to>
      <xdr:col>9</xdr:col>
      <xdr:colOff>3464</xdr:colOff>
      <xdr:row>5</xdr:row>
      <xdr:rowOff>70137</xdr:rowOff>
    </xdr:to>
    <xdr:sp macro="" textlink="">
      <xdr:nvSpPr>
        <xdr:cNvPr id="8" name="TextBox 7">
          <a:extLst>
            <a:ext uri="{FF2B5EF4-FFF2-40B4-BE49-F238E27FC236}">
              <a16:creationId xmlns:a16="http://schemas.microsoft.com/office/drawing/2014/main" id="{BB7DBEBE-7470-4451-8C74-ED4C96B781BE}"/>
            </a:ext>
          </a:extLst>
        </xdr:cNvPr>
        <xdr:cNvSpPr txBox="1"/>
      </xdr:nvSpPr>
      <xdr:spPr>
        <a:xfrm>
          <a:off x="6715125" y="457200"/>
          <a:ext cx="4708814" cy="965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300"/>
            </a:spcAft>
          </a:pPr>
          <a:r>
            <a:rPr lang="en-US" sz="800" i="1">
              <a:solidFill>
                <a:sysClr val="windowText" lastClr="000000"/>
              </a:solidFill>
              <a:sym typeface="Wingdings" panose="05000000000000000000" pitchFamily="2" charset="2"/>
            </a:rPr>
            <a:t>Comparative Position</a:t>
          </a:r>
        </a:p>
        <a:p>
          <a:r>
            <a:rPr lang="en-US" sz="1100">
              <a:solidFill>
                <a:schemeClr val="accent6"/>
              </a:solidFill>
              <a:sym typeface="Wingdings" panose="05000000000000000000" pitchFamily="2" charset="2"/>
            </a:rPr>
            <a:t></a:t>
          </a:r>
          <a:r>
            <a:rPr lang="en-US" sz="1100">
              <a:sym typeface="Wingdings" panose="05000000000000000000" pitchFamily="2" charset="2"/>
            </a:rPr>
            <a:t> </a:t>
          </a:r>
          <a:r>
            <a:rPr lang="en-US" sz="800">
              <a:sym typeface="Wingdings" panose="05000000000000000000" pitchFamily="2" charset="2"/>
            </a:rPr>
            <a:t>= College is within one standard deviation</a:t>
          </a:r>
          <a:r>
            <a:rPr lang="en-US" sz="800" baseline="0">
              <a:sym typeface="Wingdings" panose="05000000000000000000" pitchFamily="2" charset="2"/>
            </a:rPr>
            <a:t> of the Carnegie group average in their institutional sector.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sym typeface="Wingdings" panose="05000000000000000000" pitchFamily="2" charset="2"/>
            </a:rPr>
            <a:t></a:t>
          </a:r>
          <a:r>
            <a:rPr kumimoji="0" lang="en-US" sz="1100" b="0" i="0" u="none" strike="noStrike" kern="0" cap="none" spc="0" normalizeH="0" baseline="0" noProof="0">
              <a:ln>
                <a:noFill/>
              </a:ln>
              <a:solidFill>
                <a:srgbClr val="FF0000"/>
              </a:solidFill>
              <a:effectLst/>
              <a:uLnTx/>
              <a:uFillTx/>
              <a:latin typeface="+mn-lt"/>
              <a:ea typeface="+mn-ea"/>
              <a:cs typeface="+mn-cs"/>
              <a:sym typeface="Wingdings" panose="05000000000000000000" pitchFamily="2" charset="2"/>
            </a:rPr>
            <a:t> </a:t>
          </a:r>
          <a:r>
            <a:rPr kumimoji="0" lang="en-US" sz="800" b="0" i="0" u="none" strike="noStrike" kern="0" cap="none" spc="0" normalizeH="0" baseline="0" noProof="0">
              <a:ln>
                <a:noFill/>
              </a:ln>
              <a:solidFill>
                <a:prstClr val="black"/>
              </a:solidFill>
              <a:effectLst/>
              <a:uLnTx/>
              <a:uFillTx/>
              <a:latin typeface="+mn-lt"/>
              <a:ea typeface="+mn-ea"/>
              <a:cs typeface="+mn-cs"/>
              <a:sym typeface="Wingdings" panose="05000000000000000000" pitchFamily="2" charset="2"/>
            </a:rPr>
            <a:t>= College is at least one standard deviation above the Carnegie group average in their institutional sector.</a:t>
          </a:r>
        </a:p>
        <a:p>
          <a:r>
            <a:rPr lang="en-US" sz="1100" baseline="0">
              <a:sym typeface="Wingdings" panose="05000000000000000000" pitchFamily="2" charset="2"/>
            </a:rPr>
            <a:t> </a:t>
          </a:r>
          <a:r>
            <a:rPr lang="en-US" sz="800" baseline="0">
              <a:sym typeface="Wingdings" panose="05000000000000000000" pitchFamily="2" charset="2"/>
            </a:rPr>
            <a:t>= College is at least one standard deviation below the Carnegie group average in their institutional sector.</a:t>
          </a:r>
        </a:p>
        <a:p>
          <a:r>
            <a:rPr lang="en-US" sz="800" baseline="0">
              <a:solidFill>
                <a:sysClr val="windowText" lastClr="000000"/>
              </a:solidFill>
              <a:sym typeface="Wingdings" panose="05000000000000000000" pitchFamily="2" charset="2"/>
            </a:rPr>
            <a:t>A </a:t>
          </a:r>
          <a:r>
            <a:rPr lang="en-US" sz="800" baseline="0">
              <a:solidFill>
                <a:srgbClr val="FF0000"/>
              </a:solidFill>
              <a:sym typeface="Wingdings" panose="05000000000000000000" pitchFamily="2" charset="2"/>
            </a:rPr>
            <a:t>red icon</a:t>
          </a:r>
          <a:r>
            <a:rPr lang="en-US" sz="800" baseline="0">
              <a:sym typeface="Wingdings" panose="05000000000000000000" pitchFamily="2" charset="2"/>
            </a:rPr>
            <a:t> indicates the metric's comparative position is a potential financial concern.</a:t>
          </a:r>
          <a:endParaRPr lang="en-US" sz="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19</xdr:row>
      <xdr:rowOff>133350</xdr:rowOff>
    </xdr:from>
    <xdr:to>
      <xdr:col>3</xdr:col>
      <xdr:colOff>4410075</xdr:colOff>
      <xdr:row>31</xdr:row>
      <xdr:rowOff>0</xdr:rowOff>
    </xdr:to>
    <xdr:graphicFrame macro="">
      <xdr:nvGraphicFramePr>
        <xdr:cNvPr id="16" name="Chart 15">
          <a:extLst>
            <a:ext uri="{FF2B5EF4-FFF2-40B4-BE49-F238E27FC236}">
              <a16:creationId xmlns:a16="http://schemas.microsoft.com/office/drawing/2014/main" id="{F9882F8C-204C-47BF-A687-FAC02B996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32</xdr:row>
      <xdr:rowOff>0</xdr:rowOff>
    </xdr:from>
    <xdr:to>
      <xdr:col>3</xdr:col>
      <xdr:colOff>4410075</xdr:colOff>
      <xdr:row>41</xdr:row>
      <xdr:rowOff>123825</xdr:rowOff>
    </xdr:to>
    <xdr:graphicFrame macro="">
      <xdr:nvGraphicFramePr>
        <xdr:cNvPr id="17" name="Chart 16">
          <a:extLst>
            <a:ext uri="{FF2B5EF4-FFF2-40B4-BE49-F238E27FC236}">
              <a16:creationId xmlns:a16="http://schemas.microsoft.com/office/drawing/2014/main" id="{1CB0AB38-5B7F-4CCC-9D1F-10B33D575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9</xdr:row>
      <xdr:rowOff>0</xdr:rowOff>
    </xdr:from>
    <xdr:to>
      <xdr:col>3</xdr:col>
      <xdr:colOff>4410075</xdr:colOff>
      <xdr:row>18</xdr:row>
      <xdr:rowOff>142875</xdr:rowOff>
    </xdr:to>
    <xdr:graphicFrame macro="">
      <xdr:nvGraphicFramePr>
        <xdr:cNvPr id="18" name="Chart 17">
          <a:extLst>
            <a:ext uri="{FF2B5EF4-FFF2-40B4-BE49-F238E27FC236}">
              <a16:creationId xmlns:a16="http://schemas.microsoft.com/office/drawing/2014/main" id="{DB7AC000-F5F5-464D-B0EF-CC8E591F4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1447800</xdr:colOff>
      <xdr:row>1</xdr:row>
      <xdr:rowOff>38100</xdr:rowOff>
    </xdr:from>
    <xdr:to>
      <xdr:col>9</xdr:col>
      <xdr:colOff>3464</xdr:colOff>
      <xdr:row>5</xdr:row>
      <xdr:rowOff>70137</xdr:rowOff>
    </xdr:to>
    <xdr:sp macro="" textlink="">
      <xdr:nvSpPr>
        <xdr:cNvPr id="6" name="TextBox 5">
          <a:extLst>
            <a:ext uri="{FF2B5EF4-FFF2-40B4-BE49-F238E27FC236}">
              <a16:creationId xmlns:a16="http://schemas.microsoft.com/office/drawing/2014/main" id="{8BD53E57-D762-4AA0-A729-154656106A2E}"/>
            </a:ext>
          </a:extLst>
        </xdr:cNvPr>
        <xdr:cNvSpPr txBox="1"/>
      </xdr:nvSpPr>
      <xdr:spPr>
        <a:xfrm>
          <a:off x="6715125" y="457200"/>
          <a:ext cx="4708814" cy="965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300"/>
            </a:spcAft>
          </a:pPr>
          <a:r>
            <a:rPr lang="en-US" sz="800" i="1">
              <a:solidFill>
                <a:sysClr val="windowText" lastClr="000000"/>
              </a:solidFill>
              <a:sym typeface="Wingdings" panose="05000000000000000000" pitchFamily="2" charset="2"/>
            </a:rPr>
            <a:t>Comparative Position</a:t>
          </a:r>
        </a:p>
        <a:p>
          <a:r>
            <a:rPr lang="en-US" sz="1100">
              <a:solidFill>
                <a:schemeClr val="accent6"/>
              </a:solidFill>
              <a:sym typeface="Wingdings" panose="05000000000000000000" pitchFamily="2" charset="2"/>
            </a:rPr>
            <a:t></a:t>
          </a:r>
          <a:r>
            <a:rPr lang="en-US" sz="1100">
              <a:sym typeface="Wingdings" panose="05000000000000000000" pitchFamily="2" charset="2"/>
            </a:rPr>
            <a:t> </a:t>
          </a:r>
          <a:r>
            <a:rPr lang="en-US" sz="800">
              <a:sym typeface="Wingdings" panose="05000000000000000000" pitchFamily="2" charset="2"/>
            </a:rPr>
            <a:t>= College is within one standard deviation</a:t>
          </a:r>
          <a:r>
            <a:rPr lang="en-US" sz="800" baseline="0">
              <a:sym typeface="Wingdings" panose="05000000000000000000" pitchFamily="2" charset="2"/>
            </a:rPr>
            <a:t> of the Carnegie group average in their institutional sector.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sym typeface="Wingdings" panose="05000000000000000000" pitchFamily="2" charset="2"/>
            </a:rPr>
            <a:t></a:t>
          </a:r>
          <a:r>
            <a:rPr kumimoji="0" lang="en-US" sz="1100" b="0" i="0" u="none" strike="noStrike" kern="0" cap="none" spc="0" normalizeH="0" baseline="0" noProof="0">
              <a:ln>
                <a:noFill/>
              </a:ln>
              <a:solidFill>
                <a:srgbClr val="FF0000"/>
              </a:solidFill>
              <a:effectLst/>
              <a:uLnTx/>
              <a:uFillTx/>
              <a:latin typeface="+mn-lt"/>
              <a:ea typeface="+mn-ea"/>
              <a:cs typeface="+mn-cs"/>
              <a:sym typeface="Wingdings" panose="05000000000000000000" pitchFamily="2" charset="2"/>
            </a:rPr>
            <a:t> </a:t>
          </a:r>
          <a:r>
            <a:rPr kumimoji="0" lang="en-US" sz="800" b="0" i="0" u="none" strike="noStrike" kern="0" cap="none" spc="0" normalizeH="0" baseline="0" noProof="0">
              <a:ln>
                <a:noFill/>
              </a:ln>
              <a:solidFill>
                <a:prstClr val="black"/>
              </a:solidFill>
              <a:effectLst/>
              <a:uLnTx/>
              <a:uFillTx/>
              <a:latin typeface="+mn-lt"/>
              <a:ea typeface="+mn-ea"/>
              <a:cs typeface="+mn-cs"/>
              <a:sym typeface="Wingdings" panose="05000000000000000000" pitchFamily="2" charset="2"/>
            </a:rPr>
            <a:t>= College is at least one standard deviation above the Carnegie group average in their institutional sector.</a:t>
          </a:r>
        </a:p>
        <a:p>
          <a:r>
            <a:rPr lang="en-US" sz="1100" baseline="0">
              <a:sym typeface="Wingdings" panose="05000000000000000000" pitchFamily="2" charset="2"/>
            </a:rPr>
            <a:t> </a:t>
          </a:r>
          <a:r>
            <a:rPr lang="en-US" sz="800" baseline="0">
              <a:sym typeface="Wingdings" panose="05000000000000000000" pitchFamily="2" charset="2"/>
            </a:rPr>
            <a:t>= College is at least one standard deviation below the Carnegie group average in their institutional sector.</a:t>
          </a:r>
        </a:p>
        <a:p>
          <a:r>
            <a:rPr lang="en-US" sz="800" baseline="0">
              <a:solidFill>
                <a:sysClr val="windowText" lastClr="000000"/>
              </a:solidFill>
              <a:sym typeface="Wingdings" panose="05000000000000000000" pitchFamily="2" charset="2"/>
            </a:rPr>
            <a:t>A </a:t>
          </a:r>
          <a:r>
            <a:rPr lang="en-US" sz="800" baseline="0">
              <a:solidFill>
                <a:srgbClr val="FF0000"/>
              </a:solidFill>
              <a:sym typeface="Wingdings" panose="05000000000000000000" pitchFamily="2" charset="2"/>
            </a:rPr>
            <a:t>red icon</a:t>
          </a:r>
          <a:r>
            <a:rPr lang="en-US" sz="800" baseline="0">
              <a:sym typeface="Wingdings" panose="05000000000000000000" pitchFamily="2" charset="2"/>
            </a:rPr>
            <a:t> indicates the metric's comparative position is a potential financial concern.</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152400</xdr:colOff>
      <xdr:row>43</xdr:row>
      <xdr:rowOff>180975</xdr:rowOff>
    </xdr:from>
    <xdr:to>
      <xdr:col>8</xdr:col>
      <xdr:colOff>552450</xdr:colOff>
      <xdr:row>59</xdr:row>
      <xdr:rowOff>180975</xdr:rowOff>
    </xdr:to>
    <xdr:graphicFrame macro="">
      <xdr:nvGraphicFramePr>
        <xdr:cNvPr id="2" name="Chart 1">
          <a:extLst>
            <a:ext uri="{FF2B5EF4-FFF2-40B4-BE49-F238E27FC236}">
              <a16:creationId xmlns:a16="http://schemas.microsoft.com/office/drawing/2014/main" id="{87145896-C08C-407B-8B5F-3E07D0E53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428625</xdr:colOff>
      <xdr:row>61</xdr:row>
      <xdr:rowOff>133350</xdr:rowOff>
    </xdr:from>
    <xdr:to>
      <xdr:col>17</xdr:col>
      <xdr:colOff>542925</xdr:colOff>
      <xdr:row>77</xdr:row>
      <xdr:rowOff>133350</xdr:rowOff>
    </xdr:to>
    <xdr:graphicFrame macro="">
      <xdr:nvGraphicFramePr>
        <xdr:cNvPr id="5" name="Chart 4">
          <a:extLst>
            <a:ext uri="{FF2B5EF4-FFF2-40B4-BE49-F238E27FC236}">
              <a16:creationId xmlns:a16="http://schemas.microsoft.com/office/drawing/2014/main" id="{803DB51D-F6E0-43FB-90D0-8619E3A394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209550</xdr:colOff>
      <xdr:row>4</xdr:row>
      <xdr:rowOff>161925</xdr:rowOff>
    </xdr:from>
    <xdr:to>
      <xdr:col>9</xdr:col>
      <xdr:colOff>0</xdr:colOff>
      <xdr:row>20</xdr:row>
      <xdr:rowOff>161925</xdr:rowOff>
    </xdr:to>
    <xdr:graphicFrame macro="">
      <xdr:nvGraphicFramePr>
        <xdr:cNvPr id="4" name="Chart 3">
          <a:extLst>
            <a:ext uri="{FF2B5EF4-FFF2-40B4-BE49-F238E27FC236}">
              <a16:creationId xmlns:a16="http://schemas.microsoft.com/office/drawing/2014/main" id="{D5532CB1-FD03-4594-B406-E4A97C170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428625</xdr:colOff>
      <xdr:row>4</xdr:row>
      <xdr:rowOff>142875</xdr:rowOff>
    </xdr:from>
    <xdr:to>
      <xdr:col>17</xdr:col>
      <xdr:colOff>542925</xdr:colOff>
      <xdr:row>20</xdr:row>
      <xdr:rowOff>142875</xdr:rowOff>
    </xdr:to>
    <xdr:graphicFrame macro="">
      <xdr:nvGraphicFramePr>
        <xdr:cNvPr id="6" name="Chart 5">
          <a:extLst>
            <a:ext uri="{FF2B5EF4-FFF2-40B4-BE49-F238E27FC236}">
              <a16:creationId xmlns:a16="http://schemas.microsoft.com/office/drawing/2014/main" id="{7370CE1E-7FAF-4CA9-A56A-72CE89A00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22</xdr:row>
      <xdr:rowOff>114300</xdr:rowOff>
    </xdr:from>
    <xdr:to>
      <xdr:col>8</xdr:col>
      <xdr:colOff>552450</xdr:colOff>
      <xdr:row>38</xdr:row>
      <xdr:rowOff>104775</xdr:rowOff>
    </xdr:to>
    <xdr:graphicFrame macro="">
      <xdr:nvGraphicFramePr>
        <xdr:cNvPr id="7" name="Chart 6">
          <a:extLst>
            <a:ext uri="{FF2B5EF4-FFF2-40B4-BE49-F238E27FC236}">
              <a16:creationId xmlns:a16="http://schemas.microsoft.com/office/drawing/2014/main" id="{AFA5C6A7-B891-47CB-83B3-E22FC5CDF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428625</xdr:colOff>
      <xdr:row>22</xdr:row>
      <xdr:rowOff>114300</xdr:rowOff>
    </xdr:from>
    <xdr:to>
      <xdr:col>17</xdr:col>
      <xdr:colOff>542925</xdr:colOff>
      <xdr:row>38</xdr:row>
      <xdr:rowOff>104775</xdr:rowOff>
    </xdr:to>
    <xdr:graphicFrame macro="">
      <xdr:nvGraphicFramePr>
        <xdr:cNvPr id="8" name="Chart 7">
          <a:extLst>
            <a:ext uri="{FF2B5EF4-FFF2-40B4-BE49-F238E27FC236}">
              <a16:creationId xmlns:a16="http://schemas.microsoft.com/office/drawing/2014/main" id="{BAAB3CB5-083C-49C7-B7F8-6E6451322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61</xdr:row>
      <xdr:rowOff>133350</xdr:rowOff>
    </xdr:from>
    <xdr:to>
      <xdr:col>8</xdr:col>
      <xdr:colOff>552450</xdr:colOff>
      <xdr:row>77</xdr:row>
      <xdr:rowOff>133350</xdr:rowOff>
    </xdr:to>
    <xdr:graphicFrame macro="">
      <xdr:nvGraphicFramePr>
        <xdr:cNvPr id="9" name="Chart 8">
          <a:extLst>
            <a:ext uri="{FF2B5EF4-FFF2-40B4-BE49-F238E27FC236}">
              <a16:creationId xmlns:a16="http://schemas.microsoft.com/office/drawing/2014/main" id="{7DC62E40-9C61-412E-9F75-E30E4DA9E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428625</xdr:colOff>
      <xdr:row>43</xdr:row>
      <xdr:rowOff>180975</xdr:rowOff>
    </xdr:from>
    <xdr:to>
      <xdr:col>17</xdr:col>
      <xdr:colOff>542925</xdr:colOff>
      <xdr:row>59</xdr:row>
      <xdr:rowOff>180975</xdr:rowOff>
    </xdr:to>
    <xdr:graphicFrame macro="">
      <xdr:nvGraphicFramePr>
        <xdr:cNvPr id="10" name="Chart 9">
          <a:extLst>
            <a:ext uri="{FF2B5EF4-FFF2-40B4-BE49-F238E27FC236}">
              <a16:creationId xmlns:a16="http://schemas.microsoft.com/office/drawing/2014/main" id="{FB56C3C2-8FA1-47C7-A734-1009EED76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152400</xdr:colOff>
      <xdr:row>83</xdr:row>
      <xdr:rowOff>19050</xdr:rowOff>
    </xdr:from>
    <xdr:to>
      <xdr:col>8</xdr:col>
      <xdr:colOff>552450</xdr:colOff>
      <xdr:row>99</xdr:row>
      <xdr:rowOff>19050</xdr:rowOff>
    </xdr:to>
    <xdr:graphicFrame macro="">
      <xdr:nvGraphicFramePr>
        <xdr:cNvPr id="11" name="Chart 10">
          <a:extLst>
            <a:ext uri="{FF2B5EF4-FFF2-40B4-BE49-F238E27FC236}">
              <a16:creationId xmlns:a16="http://schemas.microsoft.com/office/drawing/2014/main" id="{C9A30E96-1FB2-4AD9-ADCD-7A9EC0615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428625</xdr:colOff>
      <xdr:row>83</xdr:row>
      <xdr:rowOff>19050</xdr:rowOff>
    </xdr:from>
    <xdr:to>
      <xdr:col>17</xdr:col>
      <xdr:colOff>542925</xdr:colOff>
      <xdr:row>99</xdr:row>
      <xdr:rowOff>19050</xdr:rowOff>
    </xdr:to>
    <xdr:graphicFrame macro="">
      <xdr:nvGraphicFramePr>
        <xdr:cNvPr id="12" name="Chart 11">
          <a:extLst>
            <a:ext uri="{FF2B5EF4-FFF2-40B4-BE49-F238E27FC236}">
              <a16:creationId xmlns:a16="http://schemas.microsoft.com/office/drawing/2014/main" id="{E582DFCF-A83F-4A56-ADCC-952B0DA0C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152400</xdr:colOff>
      <xdr:row>103</xdr:row>
      <xdr:rowOff>180975</xdr:rowOff>
    </xdr:from>
    <xdr:to>
      <xdr:col>8</xdr:col>
      <xdr:colOff>552450</xdr:colOff>
      <xdr:row>119</xdr:row>
      <xdr:rowOff>180975</xdr:rowOff>
    </xdr:to>
    <xdr:graphicFrame macro="">
      <xdr:nvGraphicFramePr>
        <xdr:cNvPr id="14" name="Chart 13">
          <a:extLst>
            <a:ext uri="{FF2B5EF4-FFF2-40B4-BE49-F238E27FC236}">
              <a16:creationId xmlns:a16="http://schemas.microsoft.com/office/drawing/2014/main" id="{2F67E2C5-CE79-4D20-A99C-62D33948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428625</xdr:colOff>
      <xdr:row>104</xdr:row>
      <xdr:rowOff>38100</xdr:rowOff>
    </xdr:from>
    <xdr:to>
      <xdr:col>17</xdr:col>
      <xdr:colOff>542925</xdr:colOff>
      <xdr:row>120</xdr:row>
      <xdr:rowOff>38100</xdr:rowOff>
    </xdr:to>
    <xdr:graphicFrame macro="">
      <xdr:nvGraphicFramePr>
        <xdr:cNvPr id="15" name="Chart 14">
          <a:extLst>
            <a:ext uri="{FF2B5EF4-FFF2-40B4-BE49-F238E27FC236}">
              <a16:creationId xmlns:a16="http://schemas.microsoft.com/office/drawing/2014/main" id="{055D9872-BAD8-4852-9A73-A9193B04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152400</xdr:colOff>
      <xdr:row>121</xdr:row>
      <xdr:rowOff>114300</xdr:rowOff>
    </xdr:from>
    <xdr:to>
      <xdr:col>8</xdr:col>
      <xdr:colOff>552450</xdr:colOff>
      <xdr:row>137</xdr:row>
      <xdr:rowOff>114300</xdr:rowOff>
    </xdr:to>
    <xdr:graphicFrame macro="">
      <xdr:nvGraphicFramePr>
        <xdr:cNvPr id="16" name="Chart 15">
          <a:extLst>
            <a:ext uri="{FF2B5EF4-FFF2-40B4-BE49-F238E27FC236}">
              <a16:creationId xmlns:a16="http://schemas.microsoft.com/office/drawing/2014/main" id="{581D9730-CCA3-4F0E-A1CF-A4BF3EA76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466725</xdr:colOff>
      <xdr:row>70</xdr:row>
      <xdr:rowOff>66675</xdr:rowOff>
    </xdr:from>
    <xdr:to>
      <xdr:col>11</xdr:col>
      <xdr:colOff>590550</xdr:colOff>
      <xdr:row>77</xdr:row>
      <xdr:rowOff>76199</xdr:rowOff>
    </xdr:to>
    <xdr:sp macro="" textlink="">
      <xdr:nvSpPr>
        <xdr:cNvPr id="3" name="TextBox 2">
          <a:extLst>
            <a:ext uri="{FF2B5EF4-FFF2-40B4-BE49-F238E27FC236}">
              <a16:creationId xmlns:a16="http://schemas.microsoft.com/office/drawing/2014/main" id="{DFAA1825-F9DA-4943-ADD4-A535CEAADEE2}"/>
            </a:ext>
          </a:extLst>
        </xdr:cNvPr>
        <xdr:cNvSpPr txBox="1"/>
      </xdr:nvSpPr>
      <xdr:spPr>
        <a:xfrm>
          <a:off x="5772150" y="13420725"/>
          <a:ext cx="1343025" cy="1343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i="1"/>
            <a:t>Share</a:t>
          </a:r>
          <a:r>
            <a:rPr lang="en-US" sz="1000" i="1" baseline="0"/>
            <a:t> of education-related spending financed with net tuition and fee revenue; the remainder is spending subsidized by other institutional revenues.</a:t>
          </a:r>
          <a:endParaRPr lang="en-US" sz="1000" i="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nna%20Desrochers/Dropbox%20(rpk%20GROUP)/rpk%20GROUP%20Team%20Folder/Current%20Clients/Lumina/Strategic%20Finance%20%2310420/5.%20Data/Dashboard/Dashboard_v1.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ics"/>
      <sheetName val="Graphics"/>
      <sheetName val="Benchmark Definitions"/>
      <sheetName val="Institution Data"/>
      <sheetName val="Average Data"/>
      <sheetName val="LUMINA_DASH_DATA_FY16_TEMP"/>
      <sheetName val="LUMINA_DASH_MEANS_FY16_TEMP"/>
    </sheetNames>
    <sheetDataSet>
      <sheetData sheetId="0">
        <row r="7">
          <cell r="W7" t="str">
            <v>Abilene Christian University</v>
          </cell>
        </row>
        <row r="8">
          <cell r="W8" t="str">
            <v>Abraham Baldwin Agricultural College</v>
          </cell>
        </row>
        <row r="9">
          <cell r="W9" t="str">
            <v>Adams State University</v>
          </cell>
        </row>
        <row r="10">
          <cell r="W10" t="str">
            <v>Adelphi University</v>
          </cell>
        </row>
        <row r="11">
          <cell r="W11" t="str">
            <v>Adirondack Community College</v>
          </cell>
        </row>
      </sheetData>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F9C9-FB60-4981-8DAF-602F02C5ACF4}">
  <sheetPr codeName="Sheet2">
    <tabColor theme="0" tint="-0.499984740745262"/>
  </sheetPr>
  <dimension ref="B1:S31"/>
  <sheetViews>
    <sheetView showGridLines="0" tabSelected="1" workbookViewId="0"/>
  </sheetViews>
  <sheetFormatPr defaultRowHeight="15"/>
  <cols>
    <col min="1" max="1" width="2.42578125" customWidth="1"/>
  </cols>
  <sheetData>
    <row r="1" spans="2:19" s="1" customFormat="1" ht="33">
      <c r="B1" s="154" t="s">
        <v>3957</v>
      </c>
      <c r="C1" s="154"/>
      <c r="D1" s="154"/>
      <c r="E1" s="154"/>
      <c r="F1" s="154"/>
      <c r="G1" s="154"/>
      <c r="H1" s="153"/>
      <c r="I1" s="153"/>
      <c r="J1" s="153"/>
      <c r="K1" s="153"/>
      <c r="L1" s="153"/>
      <c r="M1" s="153"/>
      <c r="N1" s="153"/>
      <c r="O1" s="153"/>
      <c r="P1" s="153"/>
      <c r="Q1" s="153"/>
      <c r="R1" s="153"/>
      <c r="S1" s="153"/>
    </row>
    <row r="4" spans="2:19">
      <c r="B4" s="492" t="s">
        <v>3819</v>
      </c>
      <c r="C4" s="492"/>
      <c r="D4" s="492"/>
      <c r="E4" s="492"/>
      <c r="F4" s="492"/>
      <c r="G4" s="492"/>
      <c r="H4" s="492"/>
      <c r="I4" s="492"/>
      <c r="J4" s="492"/>
      <c r="K4" s="492"/>
    </row>
    <row r="5" spans="2:19">
      <c r="B5" s="492"/>
      <c r="C5" s="492"/>
      <c r="D5" s="492"/>
      <c r="E5" s="492"/>
      <c r="F5" s="492"/>
      <c r="G5" s="492"/>
      <c r="H5" s="492"/>
      <c r="I5" s="492"/>
      <c r="J5" s="492"/>
      <c r="K5" s="492"/>
    </row>
    <row r="6" spans="2:19">
      <c r="B6" s="492"/>
      <c r="C6" s="492"/>
      <c r="D6" s="492"/>
      <c r="E6" s="492"/>
      <c r="F6" s="492"/>
      <c r="G6" s="492"/>
      <c r="H6" s="492"/>
      <c r="I6" s="492"/>
      <c r="J6" s="492"/>
      <c r="K6" s="492"/>
    </row>
    <row r="7" spans="2:19">
      <c r="B7" s="493" t="s">
        <v>3820</v>
      </c>
      <c r="C7" s="493"/>
      <c r="D7" s="493"/>
      <c r="E7" s="493"/>
      <c r="F7" s="493"/>
      <c r="G7" s="493"/>
      <c r="H7" s="493"/>
      <c r="I7" s="493"/>
      <c r="J7" s="493"/>
      <c r="K7" s="493"/>
    </row>
    <row r="8" spans="2:19">
      <c r="B8" s="493"/>
      <c r="C8" s="493"/>
      <c r="D8" s="493"/>
      <c r="E8" s="493"/>
      <c r="F8" s="493"/>
      <c r="G8" s="493"/>
      <c r="H8" s="493"/>
      <c r="I8" s="493"/>
      <c r="J8" s="493"/>
      <c r="K8" s="493"/>
    </row>
    <row r="9" spans="2:19">
      <c r="B9" s="493"/>
      <c r="C9" s="493"/>
      <c r="D9" s="493"/>
      <c r="E9" s="493"/>
      <c r="F9" s="493"/>
      <c r="G9" s="493"/>
      <c r="H9" s="493"/>
      <c r="I9" s="493"/>
      <c r="J9" s="493"/>
      <c r="K9" s="493"/>
    </row>
    <row r="10" spans="2:19">
      <c r="B10" s="493"/>
      <c r="C10" s="493"/>
      <c r="D10" s="493"/>
      <c r="E10" s="493"/>
      <c r="F10" s="493"/>
      <c r="G10" s="493"/>
      <c r="H10" s="493"/>
      <c r="I10" s="493"/>
      <c r="J10" s="493"/>
      <c r="K10" s="493"/>
    </row>
    <row r="11" spans="2:19">
      <c r="B11" s="493"/>
      <c r="C11" s="493"/>
      <c r="D11" s="493"/>
      <c r="E11" s="493"/>
      <c r="F11" s="493"/>
      <c r="G11" s="493"/>
      <c r="H11" s="493"/>
      <c r="I11" s="493"/>
      <c r="J11" s="493"/>
      <c r="K11" s="493"/>
    </row>
    <row r="12" spans="2:19">
      <c r="B12" s="493"/>
      <c r="C12" s="493"/>
      <c r="D12" s="493"/>
      <c r="E12" s="493"/>
      <c r="F12" s="493"/>
      <c r="G12" s="493"/>
      <c r="H12" s="493"/>
      <c r="I12" s="493"/>
      <c r="J12" s="493"/>
      <c r="K12" s="493"/>
    </row>
    <row r="16" spans="2:19" ht="15.75" thickBot="1"/>
    <row r="17" spans="2:19">
      <c r="B17" s="123"/>
      <c r="C17" s="123"/>
      <c r="D17" s="123"/>
      <c r="E17" s="123"/>
      <c r="F17" s="123"/>
      <c r="G17" s="123"/>
      <c r="H17" s="123"/>
      <c r="I17" s="123"/>
      <c r="J17" s="123"/>
      <c r="K17" s="123"/>
      <c r="L17" s="123"/>
      <c r="M17" s="123"/>
      <c r="N17" s="123"/>
      <c r="O17" s="123"/>
      <c r="P17" s="123"/>
      <c r="Q17" s="123"/>
      <c r="R17" s="123"/>
      <c r="S17" s="123"/>
    </row>
    <row r="18" spans="2:19" ht="15.75">
      <c r="B18" s="122" t="s">
        <v>4271</v>
      </c>
    </row>
    <row r="19" spans="2:19" ht="15.75">
      <c r="B19" s="122"/>
    </row>
    <row r="26" spans="2:19" ht="15" customHeight="1">
      <c r="B26" s="494" t="s">
        <v>3818</v>
      </c>
      <c r="C26" s="494"/>
      <c r="D26" s="494"/>
      <c r="E26" s="494"/>
      <c r="F26" s="494"/>
      <c r="G26" s="494"/>
      <c r="H26" s="494"/>
      <c r="I26" s="121"/>
      <c r="J26" s="121"/>
      <c r="K26" t="s">
        <v>3813</v>
      </c>
    </row>
    <row r="27" spans="2:19">
      <c r="B27" s="494"/>
      <c r="C27" s="494"/>
      <c r="D27" s="494"/>
      <c r="E27" s="494"/>
      <c r="F27" s="494"/>
      <c r="G27" s="494"/>
      <c r="H27" s="494"/>
      <c r="I27" s="121"/>
      <c r="J27" s="121"/>
      <c r="K27" t="s">
        <v>3814</v>
      </c>
    </row>
    <row r="28" spans="2:19">
      <c r="B28" s="494"/>
      <c r="C28" s="494"/>
      <c r="D28" s="494"/>
      <c r="E28" s="494"/>
      <c r="F28" s="494"/>
      <c r="G28" s="494"/>
      <c r="H28" s="494"/>
      <c r="I28" s="121"/>
      <c r="J28" s="121"/>
      <c r="K28" t="s">
        <v>3815</v>
      </c>
    </row>
    <row r="29" spans="2:19">
      <c r="B29" s="494"/>
      <c r="C29" s="494"/>
      <c r="D29" s="494"/>
      <c r="E29" s="494"/>
      <c r="F29" s="494"/>
      <c r="G29" s="494"/>
      <c r="H29" s="494"/>
      <c r="I29" s="121"/>
      <c r="J29" s="121"/>
      <c r="K29" t="s">
        <v>3816</v>
      </c>
    </row>
    <row r="30" spans="2:19">
      <c r="B30" s="494"/>
      <c r="C30" s="494"/>
      <c r="D30" s="494"/>
      <c r="E30" s="494"/>
      <c r="F30" s="494"/>
      <c r="G30" s="494"/>
      <c r="H30" s="494"/>
      <c r="I30" s="121"/>
      <c r="J30" s="121"/>
      <c r="K30" t="s">
        <v>3817</v>
      </c>
    </row>
    <row r="31" spans="2:19">
      <c r="B31" s="121"/>
      <c r="C31" s="121"/>
      <c r="D31" s="121"/>
      <c r="E31" s="121"/>
      <c r="F31" s="121"/>
      <c r="G31" s="121"/>
      <c r="H31" s="121"/>
      <c r="I31" s="121"/>
      <c r="J31" s="121"/>
      <c r="K31" s="121"/>
    </row>
  </sheetData>
  <sheetProtection algorithmName="SHA-512" hashValue="JO0JQ2jAj6brM5XIL+M0P55txBWia8aXEWRMRS6j9wptB2KKPYe+0pkFKFJszFDv5IvMQA5kPBWxwP/Rk8T0sQ==" saltValue="gcHAozJIZmcz8DyIMPBKLA==" spinCount="100000" sheet="1" objects="1" scenarios="1"/>
  <mergeCells count="3">
    <mergeCell ref="B4:K6"/>
    <mergeCell ref="B7:K12"/>
    <mergeCell ref="B26:H3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2874-E0F1-4EAB-AD4F-B20758BFACAD}">
  <sheetPr codeName="Sheet6">
    <tabColor theme="2" tint="-0.499984740745262"/>
  </sheetPr>
  <dimension ref="B1:G39"/>
  <sheetViews>
    <sheetView showGridLines="0" workbookViewId="0"/>
  </sheetViews>
  <sheetFormatPr defaultColWidth="8.85546875" defaultRowHeight="15"/>
  <cols>
    <col min="1" max="1" width="1.85546875" customWidth="1"/>
    <col min="2" max="2" width="48.85546875" customWidth="1"/>
    <col min="3" max="3" width="67.7109375" style="2" customWidth="1"/>
  </cols>
  <sheetData>
    <row r="1" spans="2:7" s="1" customFormat="1" ht="33">
      <c r="B1" s="154" t="s">
        <v>3974</v>
      </c>
      <c r="C1" s="154"/>
      <c r="D1" s="274"/>
      <c r="E1" s="274"/>
      <c r="F1" s="274"/>
      <c r="G1" s="274"/>
    </row>
    <row r="2" spans="2:7">
      <c r="B2" s="25" t="s">
        <v>4268</v>
      </c>
      <c r="C2" s="285"/>
    </row>
    <row r="3" spans="2:7" ht="29.25" customHeight="1">
      <c r="B3" s="506" t="s">
        <v>3998</v>
      </c>
      <c r="C3" s="506"/>
    </row>
    <row r="4" spans="2:7">
      <c r="B4" s="25" t="s">
        <v>4269</v>
      </c>
      <c r="C4" s="285"/>
    </row>
    <row r="5" spans="2:7" ht="15.75">
      <c r="B5" s="25" t="s">
        <v>3997</v>
      </c>
      <c r="C5" s="285"/>
    </row>
    <row r="7" spans="2:7">
      <c r="B7" s="253" t="s">
        <v>3650</v>
      </c>
      <c r="C7" s="273" t="s">
        <v>0</v>
      </c>
    </row>
    <row r="8" spans="2:7" ht="30">
      <c r="B8" s="3" t="s">
        <v>3648</v>
      </c>
      <c r="C8" s="4" t="s">
        <v>3977</v>
      </c>
    </row>
    <row r="9" spans="2:7" ht="75">
      <c r="B9" s="8" t="s">
        <v>3976</v>
      </c>
      <c r="C9" s="9" t="s">
        <v>3978</v>
      </c>
    </row>
    <row r="10" spans="2:7" ht="90">
      <c r="B10" s="8" t="s">
        <v>3975</v>
      </c>
      <c r="C10" s="9" t="s">
        <v>3992</v>
      </c>
    </row>
    <row r="11" spans="2:7" ht="30" customHeight="1">
      <c r="B11" s="11" t="s">
        <v>3651</v>
      </c>
      <c r="C11" s="10" t="s">
        <v>3987</v>
      </c>
    </row>
    <row r="12" spans="2:7" ht="30" customHeight="1">
      <c r="B12" s="11" t="s">
        <v>3979</v>
      </c>
      <c r="C12" s="10" t="s">
        <v>3988</v>
      </c>
    </row>
    <row r="13" spans="2:7" ht="47.25" customHeight="1">
      <c r="B13" s="11" t="s">
        <v>3980</v>
      </c>
      <c r="C13" s="10" t="s">
        <v>3989</v>
      </c>
    </row>
    <row r="14" spans="2:7" ht="45" customHeight="1">
      <c r="B14" s="11" t="s">
        <v>3981</v>
      </c>
      <c r="C14" s="10" t="s">
        <v>3986</v>
      </c>
    </row>
    <row r="15" spans="2:7" ht="30" customHeight="1">
      <c r="B15" s="11" t="s">
        <v>3810</v>
      </c>
      <c r="C15" s="10" t="s">
        <v>3985</v>
      </c>
    </row>
    <row r="16" spans="2:7" ht="30" customHeight="1">
      <c r="B16" s="11" t="s">
        <v>3990</v>
      </c>
      <c r="C16" s="10" t="s">
        <v>3991</v>
      </c>
    </row>
    <row r="17" spans="2:3">
      <c r="B17" s="255" t="s">
        <v>27</v>
      </c>
      <c r="C17" s="263" t="s">
        <v>0</v>
      </c>
    </row>
    <row r="18" spans="2:3" ht="75">
      <c r="B18" s="3" t="s">
        <v>3973</v>
      </c>
      <c r="C18" s="4" t="s">
        <v>3993</v>
      </c>
    </row>
    <row r="19" spans="2:3" ht="60">
      <c r="B19" s="8" t="s">
        <v>3972</v>
      </c>
      <c r="C19" s="9" t="s">
        <v>3994</v>
      </c>
    </row>
    <row r="20" spans="2:3" ht="75">
      <c r="B20" s="8" t="s">
        <v>3663</v>
      </c>
      <c r="C20" s="9" t="s">
        <v>3984</v>
      </c>
    </row>
    <row r="21" spans="2:3" ht="30" customHeight="1">
      <c r="B21" s="272" t="s">
        <v>3971</v>
      </c>
      <c r="C21" s="2" t="s">
        <v>28</v>
      </c>
    </row>
    <row r="22" spans="2:3" ht="34.5">
      <c r="B22" s="11" t="s">
        <v>2</v>
      </c>
      <c r="C22" s="10" t="s">
        <v>3967</v>
      </c>
    </row>
    <row r="23" spans="2:3" ht="17.25" customHeight="1">
      <c r="B23" s="11" t="s">
        <v>3</v>
      </c>
      <c r="C23" s="10" t="s">
        <v>3968</v>
      </c>
    </row>
    <row r="24" spans="2:3" s="6" customFormat="1">
      <c r="B24" s="261" t="s">
        <v>3963</v>
      </c>
      <c r="C24" s="262"/>
    </row>
    <row r="25" spans="2:3" ht="32.25">
      <c r="B25" s="7" t="s">
        <v>21</v>
      </c>
      <c r="C25" s="2" t="s">
        <v>4</v>
      </c>
    </row>
    <row r="26" spans="2:3" ht="17.25">
      <c r="B26" s="3" t="s">
        <v>35</v>
      </c>
      <c r="C26" s="9" t="s">
        <v>3982</v>
      </c>
    </row>
    <row r="27" spans="2:3">
      <c r="B27" s="259" t="s">
        <v>18</v>
      </c>
      <c r="C27" s="260"/>
    </row>
    <row r="28" spans="2:3" ht="30">
      <c r="B28" s="3" t="s">
        <v>3966</v>
      </c>
      <c r="C28" s="9" t="s">
        <v>5</v>
      </c>
    </row>
    <row r="29" spans="2:3" ht="32.25">
      <c r="B29" s="5" t="s">
        <v>20</v>
      </c>
      <c r="C29" s="10" t="s">
        <v>3970</v>
      </c>
    </row>
    <row r="30" spans="2:3" ht="30">
      <c r="B30" s="5" t="s">
        <v>6</v>
      </c>
      <c r="C30" s="10" t="s">
        <v>7</v>
      </c>
    </row>
    <row r="31" spans="2:3" ht="30">
      <c r="B31" s="5" t="s">
        <v>8</v>
      </c>
      <c r="C31" s="10" t="s">
        <v>3983</v>
      </c>
    </row>
    <row r="32" spans="2:3" ht="30">
      <c r="B32" s="5" t="s">
        <v>9</v>
      </c>
      <c r="C32" s="10" t="s">
        <v>10</v>
      </c>
    </row>
    <row r="34" spans="2:3">
      <c r="B34" s="13" t="s">
        <v>11</v>
      </c>
    </row>
    <row r="35" spans="2:3" ht="43.7" customHeight="1">
      <c r="B35" s="507" t="s">
        <v>4270</v>
      </c>
      <c r="C35" s="508"/>
    </row>
    <row r="36" spans="2:3" ht="30" customHeight="1">
      <c r="B36" s="507" t="s">
        <v>12</v>
      </c>
      <c r="C36" s="508"/>
    </row>
    <row r="37" spans="2:3" ht="45" customHeight="1">
      <c r="B37" s="507" t="s">
        <v>13</v>
      </c>
      <c r="C37" s="508"/>
    </row>
    <row r="38" spans="2:3" ht="45" customHeight="1">
      <c r="B38" s="507" t="s">
        <v>3969</v>
      </c>
      <c r="C38" s="508"/>
    </row>
    <row r="39" spans="2:3">
      <c r="B39" s="489" t="s">
        <v>4039</v>
      </c>
    </row>
  </sheetData>
  <sheetProtection algorithmName="SHA-512" hashValue="JIHekU8J8XwGM+9INBui8A8QpDf4B4+W3733KaeexYjgIkmUxxeGYOhdbNmi7LE3YtZKrLCaXITtGiLtVb0xgA==" saltValue="6nELoeJlbr+7Z+JgripfXQ==" spinCount="100000" sheet="1"/>
  <mergeCells count="5">
    <mergeCell ref="B3:C3"/>
    <mergeCell ref="B35:C35"/>
    <mergeCell ref="B36:C36"/>
    <mergeCell ref="B37:C37"/>
    <mergeCell ref="B38:C38"/>
  </mergeCell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44C9C-5A92-4D38-81ED-F93592D9736D}">
  <sheetPr codeName="Sheet61"/>
  <dimension ref="A1:AP2422"/>
  <sheetViews>
    <sheetView workbookViewId="0"/>
  </sheetViews>
  <sheetFormatPr defaultRowHeight="15"/>
  <cols>
    <col min="1" max="3" width="9.28515625" style="54" customWidth="1"/>
    <col min="4" max="4" width="9.28515625" style="54" bestFit="1" customWidth="1"/>
    <col min="5" max="5" width="37" style="54" customWidth="1"/>
    <col min="6" max="7" width="9.140625" style="54"/>
    <col min="8" max="8" width="9.28515625" style="54" bestFit="1" customWidth="1"/>
    <col min="9" max="9" width="39.140625" style="54" customWidth="1"/>
    <col min="10" max="11" width="15.42578125" style="49" customWidth="1"/>
    <col min="12" max="12" width="15.42578125" style="50" customWidth="1"/>
    <col min="13" max="20" width="15.42578125" style="49" customWidth="1"/>
    <col min="21" max="21" width="15.42578125" style="50" customWidth="1"/>
    <col min="22" max="23" width="15.42578125" style="51" customWidth="1"/>
    <col min="24" max="24" width="15.42578125" style="52" customWidth="1"/>
    <col min="25" max="25" width="15.42578125" style="53" customWidth="1"/>
    <col min="26" max="27" width="15.42578125" style="49" customWidth="1"/>
    <col min="28" max="30" width="15.42578125" style="53" customWidth="1"/>
    <col min="31" max="32" width="15.42578125" style="49" customWidth="1"/>
    <col min="33" max="33" width="11.42578125" style="108" customWidth="1"/>
    <col min="34" max="36" width="9.140625" style="108"/>
    <col min="37" max="37" width="9.140625" style="105"/>
    <col min="38" max="42" width="15.7109375" style="119" customWidth="1"/>
    <col min="43" max="247" width="9.140625" style="48"/>
    <col min="248" max="249" width="9.28515625" style="48" bestFit="1" customWidth="1"/>
    <col min="250" max="250" width="29.42578125" style="48" customWidth="1"/>
    <col min="251" max="252" width="9.140625" style="48"/>
    <col min="253" max="253" width="9.28515625" style="48" bestFit="1" customWidth="1"/>
    <col min="254" max="283" width="15.42578125" style="48" customWidth="1"/>
    <col min="284" max="503" width="9.140625" style="48"/>
    <col min="504" max="505" width="9.28515625" style="48" bestFit="1" customWidth="1"/>
    <col min="506" max="506" width="29.42578125" style="48" customWidth="1"/>
    <col min="507" max="508" width="9.140625" style="48"/>
    <col min="509" max="509" width="9.28515625" style="48" bestFit="1" customWidth="1"/>
    <col min="510" max="539" width="15.42578125" style="48" customWidth="1"/>
    <col min="540" max="759" width="9.140625" style="48"/>
    <col min="760" max="761" width="9.28515625" style="48" bestFit="1" customWidth="1"/>
    <col min="762" max="762" width="29.42578125" style="48" customWidth="1"/>
    <col min="763" max="764" width="9.140625" style="48"/>
    <col min="765" max="765" width="9.28515625" style="48" bestFit="1" customWidth="1"/>
    <col min="766" max="795" width="15.42578125" style="48" customWidth="1"/>
    <col min="796" max="1015" width="9.140625" style="48"/>
    <col min="1016" max="1017" width="9.28515625" style="48" bestFit="1" customWidth="1"/>
    <col min="1018" max="1018" width="29.42578125" style="48" customWidth="1"/>
    <col min="1019" max="1020" width="9.140625" style="48"/>
    <col min="1021" max="1021" width="9.28515625" style="48" bestFit="1" customWidth="1"/>
    <col min="1022" max="1051" width="15.42578125" style="48" customWidth="1"/>
    <col min="1052" max="1271" width="9.140625" style="48"/>
    <col min="1272" max="1273" width="9.28515625" style="48" bestFit="1" customWidth="1"/>
    <col min="1274" max="1274" width="29.42578125" style="48" customWidth="1"/>
    <col min="1275" max="1276" width="9.140625" style="48"/>
    <col min="1277" max="1277" width="9.28515625" style="48" bestFit="1" customWidth="1"/>
    <col min="1278" max="1307" width="15.42578125" style="48" customWidth="1"/>
    <col min="1308" max="1527" width="9.140625" style="48"/>
    <col min="1528" max="1529" width="9.28515625" style="48" bestFit="1" customWidth="1"/>
    <col min="1530" max="1530" width="29.42578125" style="48" customWidth="1"/>
    <col min="1531" max="1532" width="9.140625" style="48"/>
    <col min="1533" max="1533" width="9.28515625" style="48" bestFit="1" customWidth="1"/>
    <col min="1534" max="1563" width="15.42578125" style="48" customWidth="1"/>
    <col min="1564" max="1783" width="9.140625" style="48"/>
    <col min="1784" max="1785" width="9.28515625" style="48" bestFit="1" customWidth="1"/>
    <col min="1786" max="1786" width="29.42578125" style="48" customWidth="1"/>
    <col min="1787" max="1788" width="9.140625" style="48"/>
    <col min="1789" max="1789" width="9.28515625" style="48" bestFit="1" customWidth="1"/>
    <col min="1790" max="1819" width="15.42578125" style="48" customWidth="1"/>
    <col min="1820" max="2039" width="9.140625" style="48"/>
    <col min="2040" max="2041" width="9.28515625" style="48" bestFit="1" customWidth="1"/>
    <col min="2042" max="2042" width="29.42578125" style="48" customWidth="1"/>
    <col min="2043" max="2044" width="9.140625" style="48"/>
    <col min="2045" max="2045" width="9.28515625" style="48" bestFit="1" customWidth="1"/>
    <col min="2046" max="2075" width="15.42578125" style="48" customWidth="1"/>
    <col min="2076" max="2295" width="9.140625" style="48"/>
    <col min="2296" max="2297" width="9.28515625" style="48" bestFit="1" customWidth="1"/>
    <col min="2298" max="2298" width="29.42578125" style="48" customWidth="1"/>
    <col min="2299" max="2300" width="9.140625" style="48"/>
    <col min="2301" max="2301" width="9.28515625" style="48" bestFit="1" customWidth="1"/>
    <col min="2302" max="2331" width="15.42578125" style="48" customWidth="1"/>
    <col min="2332" max="2551" width="9.140625" style="48"/>
    <col min="2552" max="2553" width="9.28515625" style="48" bestFit="1" customWidth="1"/>
    <col min="2554" max="2554" width="29.42578125" style="48" customWidth="1"/>
    <col min="2555" max="2556" width="9.140625" style="48"/>
    <col min="2557" max="2557" width="9.28515625" style="48" bestFit="1" customWidth="1"/>
    <col min="2558" max="2587" width="15.42578125" style="48" customWidth="1"/>
    <col min="2588" max="2807" width="9.140625" style="48"/>
    <col min="2808" max="2809" width="9.28515625" style="48" bestFit="1" customWidth="1"/>
    <col min="2810" max="2810" width="29.42578125" style="48" customWidth="1"/>
    <col min="2811" max="2812" width="9.140625" style="48"/>
    <col min="2813" max="2813" width="9.28515625" style="48" bestFit="1" customWidth="1"/>
    <col min="2814" max="2843" width="15.42578125" style="48" customWidth="1"/>
    <col min="2844" max="3063" width="9.140625" style="48"/>
    <col min="3064" max="3065" width="9.28515625" style="48" bestFit="1" customWidth="1"/>
    <col min="3066" max="3066" width="29.42578125" style="48" customWidth="1"/>
    <col min="3067" max="3068" width="9.140625" style="48"/>
    <col min="3069" max="3069" width="9.28515625" style="48" bestFit="1" customWidth="1"/>
    <col min="3070" max="3099" width="15.42578125" style="48" customWidth="1"/>
    <col min="3100" max="3319" width="9.140625" style="48"/>
    <col min="3320" max="3321" width="9.28515625" style="48" bestFit="1" customWidth="1"/>
    <col min="3322" max="3322" width="29.42578125" style="48" customWidth="1"/>
    <col min="3323" max="3324" width="9.140625" style="48"/>
    <col min="3325" max="3325" width="9.28515625" style="48" bestFit="1" customWidth="1"/>
    <col min="3326" max="3355" width="15.42578125" style="48" customWidth="1"/>
    <col min="3356" max="3575" width="9.140625" style="48"/>
    <col min="3576" max="3577" width="9.28515625" style="48" bestFit="1" customWidth="1"/>
    <col min="3578" max="3578" width="29.42578125" style="48" customWidth="1"/>
    <col min="3579" max="3580" width="9.140625" style="48"/>
    <col min="3581" max="3581" width="9.28515625" style="48" bestFit="1" customWidth="1"/>
    <col min="3582" max="3611" width="15.42578125" style="48" customWidth="1"/>
    <col min="3612" max="3831" width="9.140625" style="48"/>
    <col min="3832" max="3833" width="9.28515625" style="48" bestFit="1" customWidth="1"/>
    <col min="3834" max="3834" width="29.42578125" style="48" customWidth="1"/>
    <col min="3835" max="3836" width="9.140625" style="48"/>
    <col min="3837" max="3837" width="9.28515625" style="48" bestFit="1" customWidth="1"/>
    <col min="3838" max="3867" width="15.42578125" style="48" customWidth="1"/>
    <col min="3868" max="4087" width="9.140625" style="48"/>
    <col min="4088" max="4089" width="9.28515625" style="48" bestFit="1" customWidth="1"/>
    <col min="4090" max="4090" width="29.42578125" style="48" customWidth="1"/>
    <col min="4091" max="4092" width="9.140625" style="48"/>
    <col min="4093" max="4093" width="9.28515625" style="48" bestFit="1" customWidth="1"/>
    <col min="4094" max="4123" width="15.42578125" style="48" customWidth="1"/>
    <col min="4124" max="4343" width="9.140625" style="48"/>
    <col min="4344" max="4345" width="9.28515625" style="48" bestFit="1" customWidth="1"/>
    <col min="4346" max="4346" width="29.42578125" style="48" customWidth="1"/>
    <col min="4347" max="4348" width="9.140625" style="48"/>
    <col min="4349" max="4349" width="9.28515625" style="48" bestFit="1" customWidth="1"/>
    <col min="4350" max="4379" width="15.42578125" style="48" customWidth="1"/>
    <col min="4380" max="4599" width="9.140625" style="48"/>
    <col min="4600" max="4601" width="9.28515625" style="48" bestFit="1" customWidth="1"/>
    <col min="4602" max="4602" width="29.42578125" style="48" customWidth="1"/>
    <col min="4603" max="4604" width="9.140625" style="48"/>
    <col min="4605" max="4605" width="9.28515625" style="48" bestFit="1" customWidth="1"/>
    <col min="4606" max="4635" width="15.42578125" style="48" customWidth="1"/>
    <col min="4636" max="4855" width="9.140625" style="48"/>
    <col min="4856" max="4857" width="9.28515625" style="48" bestFit="1" customWidth="1"/>
    <col min="4858" max="4858" width="29.42578125" style="48" customWidth="1"/>
    <col min="4859" max="4860" width="9.140625" style="48"/>
    <col min="4861" max="4861" width="9.28515625" style="48" bestFit="1" customWidth="1"/>
    <col min="4862" max="4891" width="15.42578125" style="48" customWidth="1"/>
    <col min="4892" max="5111" width="9.140625" style="48"/>
    <col min="5112" max="5113" width="9.28515625" style="48" bestFit="1" customWidth="1"/>
    <col min="5114" max="5114" width="29.42578125" style="48" customWidth="1"/>
    <col min="5115" max="5116" width="9.140625" style="48"/>
    <col min="5117" max="5117" width="9.28515625" style="48" bestFit="1" customWidth="1"/>
    <col min="5118" max="5147" width="15.42578125" style="48" customWidth="1"/>
    <col min="5148" max="5367" width="9.140625" style="48"/>
    <col min="5368" max="5369" width="9.28515625" style="48" bestFit="1" customWidth="1"/>
    <col min="5370" max="5370" width="29.42578125" style="48" customWidth="1"/>
    <col min="5371" max="5372" width="9.140625" style="48"/>
    <col min="5373" max="5373" width="9.28515625" style="48" bestFit="1" customWidth="1"/>
    <col min="5374" max="5403" width="15.42578125" style="48" customWidth="1"/>
    <col min="5404" max="5623" width="9.140625" style="48"/>
    <col min="5624" max="5625" width="9.28515625" style="48" bestFit="1" customWidth="1"/>
    <col min="5626" max="5626" width="29.42578125" style="48" customWidth="1"/>
    <col min="5627" max="5628" width="9.140625" style="48"/>
    <col min="5629" max="5629" width="9.28515625" style="48" bestFit="1" customWidth="1"/>
    <col min="5630" max="5659" width="15.42578125" style="48" customWidth="1"/>
    <col min="5660" max="5879" width="9.140625" style="48"/>
    <col min="5880" max="5881" width="9.28515625" style="48" bestFit="1" customWidth="1"/>
    <col min="5882" max="5882" width="29.42578125" style="48" customWidth="1"/>
    <col min="5883" max="5884" width="9.140625" style="48"/>
    <col min="5885" max="5885" width="9.28515625" style="48" bestFit="1" customWidth="1"/>
    <col min="5886" max="5915" width="15.42578125" style="48" customWidth="1"/>
    <col min="5916" max="6135" width="9.140625" style="48"/>
    <col min="6136" max="6137" width="9.28515625" style="48" bestFit="1" customWidth="1"/>
    <col min="6138" max="6138" width="29.42578125" style="48" customWidth="1"/>
    <col min="6139" max="6140" width="9.140625" style="48"/>
    <col min="6141" max="6141" width="9.28515625" style="48" bestFit="1" customWidth="1"/>
    <col min="6142" max="6171" width="15.42578125" style="48" customWidth="1"/>
    <col min="6172" max="6391" width="9.140625" style="48"/>
    <col min="6392" max="6393" width="9.28515625" style="48" bestFit="1" customWidth="1"/>
    <col min="6394" max="6394" width="29.42578125" style="48" customWidth="1"/>
    <col min="6395" max="6396" width="9.140625" style="48"/>
    <col min="6397" max="6397" width="9.28515625" style="48" bestFit="1" customWidth="1"/>
    <col min="6398" max="6427" width="15.42578125" style="48" customWidth="1"/>
    <col min="6428" max="6647" width="9.140625" style="48"/>
    <col min="6648" max="6649" width="9.28515625" style="48" bestFit="1" customWidth="1"/>
    <col min="6650" max="6650" width="29.42578125" style="48" customWidth="1"/>
    <col min="6651" max="6652" width="9.140625" style="48"/>
    <col min="6653" max="6653" width="9.28515625" style="48" bestFit="1" customWidth="1"/>
    <col min="6654" max="6683" width="15.42578125" style="48" customWidth="1"/>
    <col min="6684" max="6903" width="9.140625" style="48"/>
    <col min="6904" max="6905" width="9.28515625" style="48" bestFit="1" customWidth="1"/>
    <col min="6906" max="6906" width="29.42578125" style="48" customWidth="1"/>
    <col min="6907" max="6908" width="9.140625" style="48"/>
    <col min="6909" max="6909" width="9.28515625" style="48" bestFit="1" customWidth="1"/>
    <col min="6910" max="6939" width="15.42578125" style="48" customWidth="1"/>
    <col min="6940" max="7159" width="9.140625" style="48"/>
    <col min="7160" max="7161" width="9.28515625" style="48" bestFit="1" customWidth="1"/>
    <col min="7162" max="7162" width="29.42578125" style="48" customWidth="1"/>
    <col min="7163" max="7164" width="9.140625" style="48"/>
    <col min="7165" max="7165" width="9.28515625" style="48" bestFit="1" customWidth="1"/>
    <col min="7166" max="7195" width="15.42578125" style="48" customWidth="1"/>
    <col min="7196" max="7415" width="9.140625" style="48"/>
    <col min="7416" max="7417" width="9.28515625" style="48" bestFit="1" customWidth="1"/>
    <col min="7418" max="7418" width="29.42578125" style="48" customWidth="1"/>
    <col min="7419" max="7420" width="9.140625" style="48"/>
    <col min="7421" max="7421" width="9.28515625" style="48" bestFit="1" customWidth="1"/>
    <col min="7422" max="7451" width="15.42578125" style="48" customWidth="1"/>
    <col min="7452" max="7671" width="9.140625" style="48"/>
    <col min="7672" max="7673" width="9.28515625" style="48" bestFit="1" customWidth="1"/>
    <col min="7674" max="7674" width="29.42578125" style="48" customWidth="1"/>
    <col min="7675" max="7676" width="9.140625" style="48"/>
    <col min="7677" max="7677" width="9.28515625" style="48" bestFit="1" customWidth="1"/>
    <col min="7678" max="7707" width="15.42578125" style="48" customWidth="1"/>
    <col min="7708" max="7927" width="9.140625" style="48"/>
    <col min="7928" max="7929" width="9.28515625" style="48" bestFit="1" customWidth="1"/>
    <col min="7930" max="7930" width="29.42578125" style="48" customWidth="1"/>
    <col min="7931" max="7932" width="9.140625" style="48"/>
    <col min="7933" max="7933" width="9.28515625" style="48" bestFit="1" customWidth="1"/>
    <col min="7934" max="7963" width="15.42578125" style="48" customWidth="1"/>
    <col min="7964" max="8183" width="9.140625" style="48"/>
    <col min="8184" max="8185" width="9.28515625" style="48" bestFit="1" customWidth="1"/>
    <col min="8186" max="8186" width="29.42578125" style="48" customWidth="1"/>
    <col min="8187" max="8188" width="9.140625" style="48"/>
    <col min="8189" max="8189" width="9.28515625" style="48" bestFit="1" customWidth="1"/>
    <col min="8190" max="8219" width="15.42578125" style="48" customWidth="1"/>
    <col min="8220" max="8439" width="9.140625" style="48"/>
    <col min="8440" max="8441" width="9.28515625" style="48" bestFit="1" customWidth="1"/>
    <col min="8442" max="8442" width="29.42578125" style="48" customWidth="1"/>
    <col min="8443" max="8444" width="9.140625" style="48"/>
    <col min="8445" max="8445" width="9.28515625" style="48" bestFit="1" customWidth="1"/>
    <col min="8446" max="8475" width="15.42578125" style="48" customWidth="1"/>
    <col min="8476" max="8695" width="9.140625" style="48"/>
    <col min="8696" max="8697" width="9.28515625" style="48" bestFit="1" customWidth="1"/>
    <col min="8698" max="8698" width="29.42578125" style="48" customWidth="1"/>
    <col min="8699" max="8700" width="9.140625" style="48"/>
    <col min="8701" max="8701" width="9.28515625" style="48" bestFit="1" customWidth="1"/>
    <col min="8702" max="8731" width="15.42578125" style="48" customWidth="1"/>
    <col min="8732" max="8951" width="9.140625" style="48"/>
    <col min="8952" max="8953" width="9.28515625" style="48" bestFit="1" customWidth="1"/>
    <col min="8954" max="8954" width="29.42578125" style="48" customWidth="1"/>
    <col min="8955" max="8956" width="9.140625" style="48"/>
    <col min="8957" max="8957" width="9.28515625" style="48" bestFit="1" customWidth="1"/>
    <col min="8958" max="8987" width="15.42578125" style="48" customWidth="1"/>
    <col min="8988" max="9207" width="9.140625" style="48"/>
    <col min="9208" max="9209" width="9.28515625" style="48" bestFit="1" customWidth="1"/>
    <col min="9210" max="9210" width="29.42578125" style="48" customWidth="1"/>
    <col min="9211" max="9212" width="9.140625" style="48"/>
    <col min="9213" max="9213" width="9.28515625" style="48" bestFit="1" customWidth="1"/>
    <col min="9214" max="9243" width="15.42578125" style="48" customWidth="1"/>
    <col min="9244" max="9463" width="9.140625" style="48"/>
    <col min="9464" max="9465" width="9.28515625" style="48" bestFit="1" customWidth="1"/>
    <col min="9466" max="9466" width="29.42578125" style="48" customWidth="1"/>
    <col min="9467" max="9468" width="9.140625" style="48"/>
    <col min="9469" max="9469" width="9.28515625" style="48" bestFit="1" customWidth="1"/>
    <col min="9470" max="9499" width="15.42578125" style="48" customWidth="1"/>
    <col min="9500" max="9719" width="9.140625" style="48"/>
    <col min="9720" max="9721" width="9.28515625" style="48" bestFit="1" customWidth="1"/>
    <col min="9722" max="9722" width="29.42578125" style="48" customWidth="1"/>
    <col min="9723" max="9724" width="9.140625" style="48"/>
    <col min="9725" max="9725" width="9.28515625" style="48" bestFit="1" customWidth="1"/>
    <col min="9726" max="9755" width="15.42578125" style="48" customWidth="1"/>
    <col min="9756" max="9975" width="9.140625" style="48"/>
    <col min="9976" max="9977" width="9.28515625" style="48" bestFit="1" customWidth="1"/>
    <col min="9978" max="9978" width="29.42578125" style="48" customWidth="1"/>
    <col min="9979" max="9980" width="9.140625" style="48"/>
    <col min="9981" max="9981" width="9.28515625" style="48" bestFit="1" customWidth="1"/>
    <col min="9982" max="10011" width="15.42578125" style="48" customWidth="1"/>
    <col min="10012" max="10231" width="9.140625" style="48"/>
    <col min="10232" max="10233" width="9.28515625" style="48" bestFit="1" customWidth="1"/>
    <col min="10234" max="10234" width="29.42578125" style="48" customWidth="1"/>
    <col min="10235" max="10236" width="9.140625" style="48"/>
    <col min="10237" max="10237" width="9.28515625" style="48" bestFit="1" customWidth="1"/>
    <col min="10238" max="10267" width="15.42578125" style="48" customWidth="1"/>
    <col min="10268" max="10487" width="9.140625" style="48"/>
    <col min="10488" max="10489" width="9.28515625" style="48" bestFit="1" customWidth="1"/>
    <col min="10490" max="10490" width="29.42578125" style="48" customWidth="1"/>
    <col min="10491" max="10492" width="9.140625" style="48"/>
    <col min="10493" max="10493" width="9.28515625" style="48" bestFit="1" customWidth="1"/>
    <col min="10494" max="10523" width="15.42578125" style="48" customWidth="1"/>
    <col min="10524" max="10743" width="9.140625" style="48"/>
    <col min="10744" max="10745" width="9.28515625" style="48" bestFit="1" customWidth="1"/>
    <col min="10746" max="10746" width="29.42578125" style="48" customWidth="1"/>
    <col min="10747" max="10748" width="9.140625" style="48"/>
    <col min="10749" max="10749" width="9.28515625" style="48" bestFit="1" customWidth="1"/>
    <col min="10750" max="10779" width="15.42578125" style="48" customWidth="1"/>
    <col min="10780" max="10999" width="9.140625" style="48"/>
    <col min="11000" max="11001" width="9.28515625" style="48" bestFit="1" customWidth="1"/>
    <col min="11002" max="11002" width="29.42578125" style="48" customWidth="1"/>
    <col min="11003" max="11004" width="9.140625" style="48"/>
    <col min="11005" max="11005" width="9.28515625" style="48" bestFit="1" customWidth="1"/>
    <col min="11006" max="11035" width="15.42578125" style="48" customWidth="1"/>
    <col min="11036" max="11255" width="9.140625" style="48"/>
    <col min="11256" max="11257" width="9.28515625" style="48" bestFit="1" customWidth="1"/>
    <col min="11258" max="11258" width="29.42578125" style="48" customWidth="1"/>
    <col min="11259" max="11260" width="9.140625" style="48"/>
    <col min="11261" max="11261" width="9.28515625" style="48" bestFit="1" customWidth="1"/>
    <col min="11262" max="11291" width="15.42578125" style="48" customWidth="1"/>
    <col min="11292" max="11511" width="9.140625" style="48"/>
    <col min="11512" max="11513" width="9.28515625" style="48" bestFit="1" customWidth="1"/>
    <col min="11514" max="11514" width="29.42578125" style="48" customWidth="1"/>
    <col min="11515" max="11516" width="9.140625" style="48"/>
    <col min="11517" max="11517" width="9.28515625" style="48" bestFit="1" customWidth="1"/>
    <col min="11518" max="11547" width="15.42578125" style="48" customWidth="1"/>
    <col min="11548" max="11767" width="9.140625" style="48"/>
    <col min="11768" max="11769" width="9.28515625" style="48" bestFit="1" customWidth="1"/>
    <col min="11770" max="11770" width="29.42578125" style="48" customWidth="1"/>
    <col min="11771" max="11772" width="9.140625" style="48"/>
    <col min="11773" max="11773" width="9.28515625" style="48" bestFit="1" customWidth="1"/>
    <col min="11774" max="11803" width="15.42578125" style="48" customWidth="1"/>
    <col min="11804" max="12023" width="9.140625" style="48"/>
    <col min="12024" max="12025" width="9.28515625" style="48" bestFit="1" customWidth="1"/>
    <col min="12026" max="12026" width="29.42578125" style="48" customWidth="1"/>
    <col min="12027" max="12028" width="9.140625" style="48"/>
    <col min="12029" max="12029" width="9.28515625" style="48" bestFit="1" customWidth="1"/>
    <col min="12030" max="12059" width="15.42578125" style="48" customWidth="1"/>
    <col min="12060" max="12279" width="9.140625" style="48"/>
    <col min="12280" max="12281" width="9.28515625" style="48" bestFit="1" customWidth="1"/>
    <col min="12282" max="12282" width="29.42578125" style="48" customWidth="1"/>
    <col min="12283" max="12284" width="9.140625" style="48"/>
    <col min="12285" max="12285" width="9.28515625" style="48" bestFit="1" customWidth="1"/>
    <col min="12286" max="12315" width="15.42578125" style="48" customWidth="1"/>
    <col min="12316" max="12535" width="9.140625" style="48"/>
    <col min="12536" max="12537" width="9.28515625" style="48" bestFit="1" customWidth="1"/>
    <col min="12538" max="12538" width="29.42578125" style="48" customWidth="1"/>
    <col min="12539" max="12540" width="9.140625" style="48"/>
    <col min="12541" max="12541" width="9.28515625" style="48" bestFit="1" customWidth="1"/>
    <col min="12542" max="12571" width="15.42578125" style="48" customWidth="1"/>
    <col min="12572" max="12791" width="9.140625" style="48"/>
    <col min="12792" max="12793" width="9.28515625" style="48" bestFit="1" customWidth="1"/>
    <col min="12794" max="12794" width="29.42578125" style="48" customWidth="1"/>
    <col min="12795" max="12796" width="9.140625" style="48"/>
    <col min="12797" max="12797" width="9.28515625" style="48" bestFit="1" customWidth="1"/>
    <col min="12798" max="12827" width="15.42578125" style="48" customWidth="1"/>
    <col min="12828" max="13047" width="9.140625" style="48"/>
    <col min="13048" max="13049" width="9.28515625" style="48" bestFit="1" customWidth="1"/>
    <col min="13050" max="13050" width="29.42578125" style="48" customWidth="1"/>
    <col min="13051" max="13052" width="9.140625" style="48"/>
    <col min="13053" max="13053" width="9.28515625" style="48" bestFit="1" customWidth="1"/>
    <col min="13054" max="13083" width="15.42578125" style="48" customWidth="1"/>
    <col min="13084" max="13303" width="9.140625" style="48"/>
    <col min="13304" max="13305" width="9.28515625" style="48" bestFit="1" customWidth="1"/>
    <col min="13306" max="13306" width="29.42578125" style="48" customWidth="1"/>
    <col min="13307" max="13308" width="9.140625" style="48"/>
    <col min="13309" max="13309" width="9.28515625" style="48" bestFit="1" customWidth="1"/>
    <col min="13310" max="13339" width="15.42578125" style="48" customWidth="1"/>
    <col min="13340" max="13559" width="9.140625" style="48"/>
    <col min="13560" max="13561" width="9.28515625" style="48" bestFit="1" customWidth="1"/>
    <col min="13562" max="13562" width="29.42578125" style="48" customWidth="1"/>
    <col min="13563" max="13564" width="9.140625" style="48"/>
    <col min="13565" max="13565" width="9.28515625" style="48" bestFit="1" customWidth="1"/>
    <col min="13566" max="13595" width="15.42578125" style="48" customWidth="1"/>
    <col min="13596" max="13815" width="9.140625" style="48"/>
    <col min="13816" max="13817" width="9.28515625" style="48" bestFit="1" customWidth="1"/>
    <col min="13818" max="13818" width="29.42578125" style="48" customWidth="1"/>
    <col min="13819" max="13820" width="9.140625" style="48"/>
    <col min="13821" max="13821" width="9.28515625" style="48" bestFit="1" customWidth="1"/>
    <col min="13822" max="13851" width="15.42578125" style="48" customWidth="1"/>
    <col min="13852" max="14071" width="9.140625" style="48"/>
    <col min="14072" max="14073" width="9.28515625" style="48" bestFit="1" customWidth="1"/>
    <col min="14074" max="14074" width="29.42578125" style="48" customWidth="1"/>
    <col min="14075" max="14076" width="9.140625" style="48"/>
    <col min="14077" max="14077" width="9.28515625" style="48" bestFit="1" customWidth="1"/>
    <col min="14078" max="14107" width="15.42578125" style="48" customWidth="1"/>
    <col min="14108" max="14327" width="9.140625" style="48"/>
    <col min="14328" max="14329" width="9.28515625" style="48" bestFit="1" customWidth="1"/>
    <col min="14330" max="14330" width="29.42578125" style="48" customWidth="1"/>
    <col min="14331" max="14332" width="9.140625" style="48"/>
    <col min="14333" max="14333" width="9.28515625" style="48" bestFit="1" customWidth="1"/>
    <col min="14334" max="14363" width="15.42578125" style="48" customWidth="1"/>
    <col min="14364" max="14583" width="9.140625" style="48"/>
    <col min="14584" max="14585" width="9.28515625" style="48" bestFit="1" customWidth="1"/>
    <col min="14586" max="14586" width="29.42578125" style="48" customWidth="1"/>
    <col min="14587" max="14588" width="9.140625" style="48"/>
    <col min="14589" max="14589" width="9.28515625" style="48" bestFit="1" customWidth="1"/>
    <col min="14590" max="14619" width="15.42578125" style="48" customWidth="1"/>
    <col min="14620" max="14839" width="9.140625" style="48"/>
    <col min="14840" max="14841" width="9.28515625" style="48" bestFit="1" customWidth="1"/>
    <col min="14842" max="14842" width="29.42578125" style="48" customWidth="1"/>
    <col min="14843" max="14844" width="9.140625" style="48"/>
    <col min="14845" max="14845" width="9.28515625" style="48" bestFit="1" customWidth="1"/>
    <col min="14846" max="14875" width="15.42578125" style="48" customWidth="1"/>
    <col min="14876" max="15095" width="9.140625" style="48"/>
    <col min="15096" max="15097" width="9.28515625" style="48" bestFit="1" customWidth="1"/>
    <col min="15098" max="15098" width="29.42578125" style="48" customWidth="1"/>
    <col min="15099" max="15100" width="9.140625" style="48"/>
    <col min="15101" max="15101" width="9.28515625" style="48" bestFit="1" customWidth="1"/>
    <col min="15102" max="15131" width="15.42578125" style="48" customWidth="1"/>
    <col min="15132" max="15351" width="9.140625" style="48"/>
    <col min="15352" max="15353" width="9.28515625" style="48" bestFit="1" customWidth="1"/>
    <col min="15354" max="15354" width="29.42578125" style="48" customWidth="1"/>
    <col min="15355" max="15356" width="9.140625" style="48"/>
    <col min="15357" max="15357" width="9.28515625" style="48" bestFit="1" customWidth="1"/>
    <col min="15358" max="15387" width="15.42578125" style="48" customWidth="1"/>
    <col min="15388" max="15607" width="9.140625" style="48"/>
    <col min="15608" max="15609" width="9.28515625" style="48" bestFit="1" customWidth="1"/>
    <col min="15610" max="15610" width="29.42578125" style="48" customWidth="1"/>
    <col min="15611" max="15612" width="9.140625" style="48"/>
    <col min="15613" max="15613" width="9.28515625" style="48" bestFit="1" customWidth="1"/>
    <col min="15614" max="15643" width="15.42578125" style="48" customWidth="1"/>
    <col min="15644" max="15863" width="9.140625" style="48"/>
    <col min="15864" max="15865" width="9.28515625" style="48" bestFit="1" customWidth="1"/>
    <col min="15866" max="15866" width="29.42578125" style="48" customWidth="1"/>
    <col min="15867" max="15868" width="9.140625" style="48"/>
    <col min="15869" max="15869" width="9.28515625" style="48" bestFit="1" customWidth="1"/>
    <col min="15870" max="15899" width="15.42578125" style="48" customWidth="1"/>
    <col min="15900" max="16119" width="9.140625" style="48"/>
    <col min="16120" max="16121" width="9.28515625" style="48" bestFit="1" customWidth="1"/>
    <col min="16122" max="16122" width="29.42578125" style="48" customWidth="1"/>
    <col min="16123" max="16124" width="9.140625" style="48"/>
    <col min="16125" max="16125" width="9.28515625" style="48" bestFit="1" customWidth="1"/>
    <col min="16126" max="16155" width="15.42578125" style="48" customWidth="1"/>
    <col min="16156" max="16384" width="9.140625" style="48"/>
  </cols>
  <sheetData>
    <row r="1" spans="1:42">
      <c r="A1" s="48"/>
      <c r="B1" s="48"/>
      <c r="C1" s="48"/>
      <c r="D1" t="s">
        <v>16</v>
      </c>
      <c r="E1" s="46" t="str">
        <f>VLOOKUP('Dashboard Metrics'!D4,E5:E2422,1)</f>
        <v>Abilene Christian University</v>
      </c>
      <c r="F1" t="str">
        <f>VLOOKUP(E1,LUMINA_DASH_DATA_FY16_TEMP!$E$5:$I$2422,5)</f>
        <v>Private Master's University</v>
      </c>
      <c r="G1" s="132"/>
      <c r="H1"/>
      <c r="I1"/>
      <c r="J1"/>
      <c r="K1"/>
      <c r="L1"/>
      <c r="M1"/>
      <c r="N1"/>
      <c r="O1"/>
      <c r="P1"/>
      <c r="Q1"/>
      <c r="R1"/>
      <c r="S1"/>
      <c r="T1"/>
      <c r="U1"/>
      <c r="V1"/>
      <c r="W1"/>
      <c r="X1"/>
      <c r="Y1"/>
      <c r="Z1"/>
      <c r="AA1"/>
      <c r="AB1"/>
      <c r="AC1"/>
      <c r="AD1"/>
      <c r="AE1"/>
      <c r="AF1"/>
      <c r="AG1"/>
      <c r="AH1"/>
      <c r="AI1"/>
      <c r="AJ1"/>
      <c r="AK1"/>
      <c r="AL1"/>
      <c r="AM1"/>
      <c r="AN1"/>
      <c r="AO1"/>
    </row>
    <row r="2" spans="1:42">
      <c r="A2"/>
      <c r="B2"/>
      <c r="C2"/>
      <c r="D2"/>
      <c r="E2"/>
      <c r="F2"/>
      <c r="G2"/>
    </row>
    <row r="3" spans="1:42" s="58" customFormat="1">
      <c r="A3" s="57" t="s">
        <v>47</v>
      </c>
      <c r="E3" s="58">
        <v>1</v>
      </c>
      <c r="F3" s="58">
        <v>2</v>
      </c>
      <c r="G3" s="58">
        <v>3</v>
      </c>
      <c r="H3" s="58">
        <v>4</v>
      </c>
      <c r="I3" s="58">
        <v>5</v>
      </c>
      <c r="J3" s="58">
        <v>6</v>
      </c>
      <c r="K3" s="58">
        <v>7</v>
      </c>
      <c r="L3" s="58">
        <v>8</v>
      </c>
      <c r="M3" s="58">
        <v>9</v>
      </c>
      <c r="N3" s="58">
        <v>10</v>
      </c>
      <c r="O3" s="58">
        <v>11</v>
      </c>
      <c r="P3" s="58">
        <v>12</v>
      </c>
      <c r="Q3" s="58">
        <v>13</v>
      </c>
      <c r="R3" s="58">
        <v>14</v>
      </c>
      <c r="S3" s="58">
        <v>15</v>
      </c>
      <c r="T3" s="58">
        <v>16</v>
      </c>
      <c r="U3" s="58">
        <v>17</v>
      </c>
      <c r="V3" s="58">
        <v>18</v>
      </c>
      <c r="W3" s="58">
        <v>19</v>
      </c>
      <c r="X3" s="58">
        <v>20</v>
      </c>
      <c r="Y3" s="58">
        <v>21</v>
      </c>
      <c r="Z3" s="58">
        <v>22</v>
      </c>
      <c r="AA3" s="58">
        <v>23</v>
      </c>
      <c r="AB3" s="58">
        <v>24</v>
      </c>
      <c r="AC3" s="58">
        <v>25</v>
      </c>
      <c r="AD3" s="58">
        <v>26</v>
      </c>
      <c r="AE3" s="58">
        <v>27</v>
      </c>
      <c r="AF3" s="58">
        <v>28</v>
      </c>
      <c r="AG3" s="108">
        <v>29</v>
      </c>
      <c r="AH3" s="108">
        <v>30</v>
      </c>
      <c r="AI3" s="108">
        <v>31</v>
      </c>
      <c r="AJ3" s="108">
        <v>32</v>
      </c>
      <c r="AK3" s="105">
        <v>33</v>
      </c>
      <c r="AL3" s="119">
        <v>34</v>
      </c>
      <c r="AM3" s="119">
        <v>35</v>
      </c>
      <c r="AN3" s="119">
        <v>36</v>
      </c>
      <c r="AO3" s="119">
        <v>37</v>
      </c>
      <c r="AP3" s="119">
        <v>38</v>
      </c>
    </row>
    <row r="4" spans="1:42" s="65" customFormat="1">
      <c r="A4" s="59"/>
      <c r="B4" s="59"/>
      <c r="C4" s="59"/>
      <c r="D4" s="59"/>
      <c r="E4" s="59"/>
      <c r="F4" s="59"/>
      <c r="G4" s="59"/>
      <c r="H4" s="59"/>
      <c r="I4" s="59"/>
      <c r="J4" s="60"/>
      <c r="K4" s="60"/>
      <c r="L4" s="61"/>
      <c r="M4" s="60"/>
      <c r="N4" s="60"/>
      <c r="O4" s="60"/>
      <c r="P4" s="60"/>
      <c r="Q4" s="60"/>
      <c r="R4" s="60"/>
      <c r="S4" s="60"/>
      <c r="T4" s="60"/>
      <c r="U4" s="61"/>
      <c r="V4" s="62"/>
      <c r="W4" s="62"/>
      <c r="X4" s="63"/>
      <c r="Y4" s="64"/>
      <c r="Z4" s="60"/>
      <c r="AA4" s="60"/>
      <c r="AB4" s="64"/>
      <c r="AC4" s="64"/>
      <c r="AD4" s="64"/>
      <c r="AE4" s="60"/>
      <c r="AF4" s="60"/>
      <c r="AG4" s="108"/>
      <c r="AH4" s="108"/>
      <c r="AI4" s="108"/>
      <c r="AJ4" s="108"/>
      <c r="AK4" s="105"/>
      <c r="AL4" s="119"/>
      <c r="AM4" s="119"/>
      <c r="AN4" s="119"/>
      <c r="AO4" s="119"/>
      <c r="AP4" s="119"/>
    </row>
    <row r="5" spans="1:42" s="65" customFormat="1" ht="12.75">
      <c r="A5" s="106" t="s">
        <v>3685</v>
      </c>
      <c r="B5" s="106" t="s">
        <v>54</v>
      </c>
      <c r="C5" s="106" t="s">
        <v>3686</v>
      </c>
      <c r="D5" s="106" t="s">
        <v>55</v>
      </c>
      <c r="E5" s="106"/>
      <c r="F5" s="106" t="s">
        <v>56</v>
      </c>
      <c r="G5" s="106" t="s">
        <v>57</v>
      </c>
      <c r="H5" s="106" t="s">
        <v>3687</v>
      </c>
      <c r="I5" s="106" t="s">
        <v>3688</v>
      </c>
      <c r="J5" s="106" t="s">
        <v>3675</v>
      </c>
      <c r="K5" s="106" t="s">
        <v>3682</v>
      </c>
      <c r="L5" s="106" t="s">
        <v>3683</v>
      </c>
      <c r="M5" s="106" t="s">
        <v>3676</v>
      </c>
      <c r="N5" s="106" t="s">
        <v>3677</v>
      </c>
      <c r="O5" s="106" t="s">
        <v>3678</v>
      </c>
      <c r="P5" s="106" t="s">
        <v>3679</v>
      </c>
      <c r="Q5" s="106" t="s">
        <v>3764</v>
      </c>
      <c r="R5" s="106" t="s">
        <v>3680</v>
      </c>
      <c r="S5" s="106" t="s">
        <v>3666</v>
      </c>
      <c r="T5" s="106" t="s">
        <v>3664</v>
      </c>
      <c r="U5" s="106" t="s">
        <v>3665</v>
      </c>
      <c r="V5" s="106" t="s">
        <v>3684</v>
      </c>
      <c r="W5" s="106" t="s">
        <v>3668</v>
      </c>
      <c r="X5" s="110" t="s">
        <v>51</v>
      </c>
      <c r="Y5" s="106" t="s">
        <v>3673</v>
      </c>
      <c r="Z5" s="106" t="s">
        <v>3674</v>
      </c>
      <c r="AA5" s="106" t="s">
        <v>3669</v>
      </c>
      <c r="AB5" s="106" t="s">
        <v>3672</v>
      </c>
      <c r="AC5" s="106" t="s">
        <v>3670</v>
      </c>
      <c r="AD5" s="106" t="s">
        <v>3667</v>
      </c>
      <c r="AE5" s="106" t="s">
        <v>3671</v>
      </c>
      <c r="AF5" s="106" t="s">
        <v>52</v>
      </c>
      <c r="AG5" s="106" t="s">
        <v>3689</v>
      </c>
      <c r="AH5" s="106" t="s">
        <v>3690</v>
      </c>
      <c r="AI5" s="106" t="s">
        <v>3691</v>
      </c>
      <c r="AJ5" s="106" t="s">
        <v>3692</v>
      </c>
      <c r="AK5" s="104" t="s">
        <v>3693</v>
      </c>
      <c r="AL5" s="118" t="s">
        <v>3804</v>
      </c>
      <c r="AM5" s="118" t="s">
        <v>3805</v>
      </c>
      <c r="AN5" s="118" t="s">
        <v>3806</v>
      </c>
      <c r="AO5" s="118" t="s">
        <v>3807</v>
      </c>
      <c r="AP5" s="118" t="s">
        <v>3808</v>
      </c>
    </row>
    <row r="6" spans="1:42" ht="12.75">
      <c r="A6" s="106">
        <v>2018</v>
      </c>
      <c r="B6" s="106">
        <v>-222178</v>
      </c>
      <c r="C6" s="106">
        <v>0</v>
      </c>
      <c r="D6" s="106">
        <v>222178</v>
      </c>
      <c r="E6" s="106" t="s">
        <v>58</v>
      </c>
      <c r="F6" s="106" t="s">
        <v>59</v>
      </c>
      <c r="G6" s="106" t="s">
        <v>60</v>
      </c>
      <c r="H6" s="106">
        <v>6</v>
      </c>
      <c r="I6" s="106" t="s">
        <v>3640</v>
      </c>
      <c r="J6" s="106">
        <v>33330</v>
      </c>
      <c r="K6" s="106">
        <v>27584</v>
      </c>
      <c r="L6" s="106">
        <v>23549</v>
      </c>
      <c r="M6" s="106">
        <v>0.3</v>
      </c>
      <c r="N6" s="106">
        <v>0.56999999999999995</v>
      </c>
      <c r="O6" s="106">
        <v>1</v>
      </c>
      <c r="P6" s="106">
        <v>18220</v>
      </c>
      <c r="Q6" s="106">
        <v>12943.831606217616</v>
      </c>
      <c r="R6" s="106">
        <v>0.43334051208902147</v>
      </c>
      <c r="S6" s="106">
        <v>26615.346070811745</v>
      </c>
      <c r="T6" s="106">
        <v>31408.847582037997</v>
      </c>
      <c r="U6" s="106">
        <v>26619.97392050537</v>
      </c>
      <c r="V6" s="106">
        <v>0.63584037455489273</v>
      </c>
      <c r="W6" s="106">
        <v>93064.850938967138</v>
      </c>
      <c r="X6" s="110">
        <v>0.54501032272693151</v>
      </c>
      <c r="Y6" s="106">
        <v>442.57206703910617</v>
      </c>
      <c r="Z6" s="106">
        <v>15.526256983240225</v>
      </c>
      <c r="AA6" s="106">
        <v>117544.06024764622</v>
      </c>
      <c r="AB6" s="106">
        <v>933.87854037430418</v>
      </c>
      <c r="AC6" s="106">
        <v>0.85074481678883873</v>
      </c>
      <c r="AD6" s="106">
        <v>24.148250460405158</v>
      </c>
      <c r="AE6" s="106">
        <v>125.86653956148713</v>
      </c>
      <c r="AF6" s="106">
        <v>8.4626342359550771E-2</v>
      </c>
      <c r="AG6" s="106">
        <v>33280</v>
      </c>
      <c r="AH6" s="106">
        <v>24002.471718480137</v>
      </c>
      <c r="AI6" s="106">
        <v>27363.914291882556</v>
      </c>
      <c r="AJ6" s="106">
        <v>40957.22733160622</v>
      </c>
      <c r="AK6" s="104">
        <v>28164.250647668392</v>
      </c>
      <c r="AM6" s="118">
        <v>3666</v>
      </c>
      <c r="AN6" s="118">
        <v>132034</v>
      </c>
      <c r="AO6" s="118">
        <v>715</v>
      </c>
      <c r="AP6" s="118">
        <f t="shared" ref="AP6:AP69" si="0">J6-AG6</f>
        <v>50</v>
      </c>
    </row>
    <row r="7" spans="1:42" ht="12.75">
      <c r="A7" s="106">
        <v>2018</v>
      </c>
      <c r="B7" s="106">
        <v>-138558</v>
      </c>
      <c r="C7" s="106">
        <v>0</v>
      </c>
      <c r="D7" s="106">
        <v>138558</v>
      </c>
      <c r="E7" s="106" t="s">
        <v>61</v>
      </c>
      <c r="F7" s="106" t="s">
        <v>62</v>
      </c>
      <c r="G7" s="106" t="s">
        <v>63</v>
      </c>
      <c r="H7" s="106">
        <v>3</v>
      </c>
      <c r="I7" s="104" t="s">
        <v>26</v>
      </c>
      <c r="J7" s="106">
        <v>3503</v>
      </c>
      <c r="K7" s="106">
        <v>7687</v>
      </c>
      <c r="L7" s="106">
        <v>6460</v>
      </c>
      <c r="M7" s="106">
        <v>0.51</v>
      </c>
      <c r="N7" s="106">
        <v>0.42</v>
      </c>
      <c r="O7" s="106">
        <v>0.16</v>
      </c>
      <c r="P7" s="106">
        <v>4853</v>
      </c>
      <c r="Q7" s="106">
        <v>683.83928571428567</v>
      </c>
      <c r="R7" s="106">
        <v>0.1227422095752314</v>
      </c>
      <c r="S7" s="106">
        <v>15854.20882936508</v>
      </c>
      <c r="T7" s="106">
        <v>15875.739583333334</v>
      </c>
      <c r="U7" s="106">
        <v>11231.262420128265</v>
      </c>
      <c r="V7" s="106">
        <v>0.43516982023797118</v>
      </c>
      <c r="W7" s="106">
        <v>100316.21486761712</v>
      </c>
      <c r="X7" s="110">
        <v>0.51298761515641178</v>
      </c>
      <c r="Y7" s="106">
        <v>920.91624365482232</v>
      </c>
      <c r="Z7" s="106">
        <v>30.700507614213194</v>
      </c>
      <c r="AA7" s="106">
        <v>47269.780874694326</v>
      </c>
      <c r="AB7" s="106">
        <v>374.41565378188108</v>
      </c>
      <c r="AC7" s="106">
        <v>2.1155164705562357</v>
      </c>
      <c r="AD7" s="106">
        <v>33.696799155821317</v>
      </c>
      <c r="AE7" s="106">
        <v>126.24947807933194</v>
      </c>
      <c r="AF7" s="106">
        <v>1.5174844660955301E-2</v>
      </c>
      <c r="AG7" s="106">
        <v>2501</v>
      </c>
      <c r="AH7" s="106">
        <v>15655.153273809523</v>
      </c>
      <c r="AI7" s="106">
        <v>15820.10689484127</v>
      </c>
      <c r="AJ7" s="106">
        <v>15878.336805555555</v>
      </c>
      <c r="AK7" s="104">
        <v>13554</v>
      </c>
      <c r="AL7" s="118">
        <v>24770790</v>
      </c>
      <c r="AM7" s="118">
        <v>3394</v>
      </c>
      <c r="AN7" s="118">
        <v>120947</v>
      </c>
      <c r="AO7" s="118">
        <v>797</v>
      </c>
      <c r="AP7" s="118">
        <f t="shared" si="0"/>
        <v>1002</v>
      </c>
    </row>
    <row r="8" spans="1:42" ht="12.75">
      <c r="A8" s="106">
        <v>2018</v>
      </c>
      <c r="B8" s="106">
        <v>-126182</v>
      </c>
      <c r="C8" s="106">
        <v>0</v>
      </c>
      <c r="D8" s="106">
        <v>126182</v>
      </c>
      <c r="E8" s="106" t="s">
        <v>64</v>
      </c>
      <c r="F8" s="106" t="s">
        <v>65</v>
      </c>
      <c r="G8" s="106" t="s">
        <v>66</v>
      </c>
      <c r="H8" s="106">
        <v>2</v>
      </c>
      <c r="I8" s="106" t="s">
        <v>25</v>
      </c>
      <c r="J8" s="106">
        <v>9440</v>
      </c>
      <c r="K8" s="106">
        <v>13314</v>
      </c>
      <c r="L8" s="106">
        <v>10933</v>
      </c>
      <c r="M8" s="106">
        <v>0.54</v>
      </c>
      <c r="N8" s="106">
        <v>0.53</v>
      </c>
      <c r="O8" s="106">
        <v>0.68</v>
      </c>
      <c r="P8" s="106">
        <v>5067</v>
      </c>
      <c r="Q8" s="106">
        <v>2261.0792042042044</v>
      </c>
      <c r="R8" s="106">
        <v>0.21512936962698015</v>
      </c>
      <c r="S8" s="106">
        <v>18773.00337837838</v>
      </c>
      <c r="T8" s="106">
        <v>27409.56418918919</v>
      </c>
      <c r="U8" s="106">
        <v>19715.386890393856</v>
      </c>
      <c r="V8" s="106">
        <v>0.41841654134686868</v>
      </c>
      <c r="W8" s="106">
        <v>106399.0581570997</v>
      </c>
      <c r="X8" s="110">
        <v>0.64308467927950719</v>
      </c>
      <c r="Y8" s="106">
        <v>470.07203389830505</v>
      </c>
      <c r="Z8" s="106">
        <v>16.932203389830509</v>
      </c>
      <c r="AA8" s="106">
        <v>46978.345864051196</v>
      </c>
      <c r="AB8" s="106">
        <v>710.15699012965786</v>
      </c>
      <c r="AC8" s="106">
        <v>2.1286402950283967</v>
      </c>
      <c r="AD8" s="106">
        <v>46.447860407145825</v>
      </c>
      <c r="AE8" s="106">
        <v>66.152057245080499</v>
      </c>
      <c r="AF8" s="106">
        <v>-1.4728110283119111</v>
      </c>
      <c r="AG8" s="106">
        <v>5736</v>
      </c>
      <c r="AH8" s="106">
        <v>18500.318318318317</v>
      </c>
      <c r="AI8" s="106">
        <v>19478.528528528528</v>
      </c>
      <c r="AJ8" s="106">
        <v>18794.313063063062</v>
      </c>
      <c r="AK8" s="104">
        <v>20703.725975975976</v>
      </c>
      <c r="AM8" s="118">
        <v>1960</v>
      </c>
      <c r="AN8" s="118">
        <v>73958</v>
      </c>
      <c r="AO8" s="118">
        <v>688</v>
      </c>
      <c r="AP8" s="118">
        <f t="shared" si="0"/>
        <v>3704</v>
      </c>
    </row>
    <row r="9" spans="1:42" ht="12.75">
      <c r="A9" s="106">
        <v>2018</v>
      </c>
      <c r="B9" s="106">
        <v>-188429</v>
      </c>
      <c r="C9" s="106">
        <v>0</v>
      </c>
      <c r="D9" s="106">
        <v>188429</v>
      </c>
      <c r="E9" s="106" t="s">
        <v>67</v>
      </c>
      <c r="F9" s="106" t="s">
        <v>68</v>
      </c>
      <c r="G9" s="106" t="s">
        <v>69</v>
      </c>
      <c r="H9" s="106">
        <v>5</v>
      </c>
      <c r="I9" s="106" t="s">
        <v>3639</v>
      </c>
      <c r="J9" s="106">
        <v>37170</v>
      </c>
      <c r="K9" s="106">
        <v>28406</v>
      </c>
      <c r="L9" s="106">
        <v>24209</v>
      </c>
      <c r="M9" s="106">
        <v>0.3</v>
      </c>
      <c r="N9" s="106">
        <v>0.57999999999999996</v>
      </c>
      <c r="O9" s="106">
        <v>0.89</v>
      </c>
      <c r="P9" s="106">
        <v>18028</v>
      </c>
      <c r="Q9" s="106">
        <v>9215.9169806243281</v>
      </c>
      <c r="R9" s="106">
        <v>0.26873632103945017</v>
      </c>
      <c r="S9" s="106">
        <v>29127.362351991389</v>
      </c>
      <c r="T9" s="106">
        <v>29149.629709364908</v>
      </c>
      <c r="U9" s="106">
        <v>25423.817030234353</v>
      </c>
      <c r="V9" s="106">
        <v>0.9863826738241277</v>
      </c>
      <c r="W9" s="106">
        <v>100474.60528846153</v>
      </c>
      <c r="X9" s="110">
        <v>0.64311648416916889</v>
      </c>
      <c r="Y9" s="106">
        <v>358.12413394919167</v>
      </c>
      <c r="Z9" s="106">
        <v>12.872979214780599</v>
      </c>
      <c r="AA9" s="106">
        <v>79025.432107361645</v>
      </c>
      <c r="AB9" s="106">
        <v>913.8738140362924</v>
      </c>
      <c r="AC9" s="106">
        <v>1.2654154154341468</v>
      </c>
      <c r="AD9" s="106">
        <v>34.338647134855663</v>
      </c>
      <c r="AE9" s="106">
        <v>86.47302383939774</v>
      </c>
      <c r="AF9" s="106">
        <v>5.3800146856416986E-2</v>
      </c>
      <c r="AG9" s="106">
        <v>35430</v>
      </c>
      <c r="AH9" s="106">
        <v>28680.074811625404</v>
      </c>
      <c r="AI9" s="106">
        <v>29234.200349838535</v>
      </c>
      <c r="AJ9" s="106">
        <v>31321.126480086114</v>
      </c>
      <c r="AK9" s="104">
        <v>27130.888724434877</v>
      </c>
      <c r="AL9" s="118">
        <v>675570</v>
      </c>
      <c r="AM9" s="118">
        <v>5266</v>
      </c>
      <c r="AN9" s="118">
        <v>206757</v>
      </c>
      <c r="AO9" s="118">
        <v>1259</v>
      </c>
      <c r="AP9" s="118">
        <f t="shared" si="0"/>
        <v>1740</v>
      </c>
    </row>
    <row r="10" spans="1:42" ht="12.75">
      <c r="A10" s="106">
        <v>2018</v>
      </c>
      <c r="B10" s="106">
        <v>-188438</v>
      </c>
      <c r="C10" s="106">
        <v>0</v>
      </c>
      <c r="D10" s="106">
        <v>188438</v>
      </c>
      <c r="E10" s="106" t="s">
        <v>70</v>
      </c>
      <c r="F10" s="106" t="s">
        <v>71</v>
      </c>
      <c r="G10" s="106" t="s">
        <v>69</v>
      </c>
      <c r="H10" s="106">
        <v>4</v>
      </c>
      <c r="I10" s="106" t="s">
        <v>24</v>
      </c>
      <c r="J10" s="106">
        <v>5119</v>
      </c>
      <c r="K10" s="106">
        <v>8436</v>
      </c>
      <c r="L10" s="106">
        <v>6940</v>
      </c>
      <c r="M10" s="106">
        <v>0.34</v>
      </c>
      <c r="N10" s="106">
        <v>0.21</v>
      </c>
      <c r="O10" s="106">
        <v>0.05</v>
      </c>
      <c r="P10" s="106">
        <v>1454</v>
      </c>
      <c r="Q10" s="106">
        <v>136.91972993248311</v>
      </c>
      <c r="R10" s="106">
        <v>2.4563784023782918E-2</v>
      </c>
      <c r="S10" s="106">
        <v>16224.481245311328</v>
      </c>
      <c r="T10" s="106">
        <v>20741.996249062264</v>
      </c>
      <c r="U10" s="106">
        <v>14256.754688672168</v>
      </c>
      <c r="V10" s="106">
        <v>0.38137213910106654</v>
      </c>
      <c r="W10" s="106">
        <v>79840.765330188675</v>
      </c>
      <c r="X10" s="110">
        <v>0.40812067135251257</v>
      </c>
      <c r="Y10" s="106">
        <v>587.97794117647061</v>
      </c>
      <c r="Z10" s="106">
        <v>19.602941176470587</v>
      </c>
      <c r="AA10" s="106">
        <v>64971.80854700855</v>
      </c>
      <c r="AB10" s="106">
        <v>475.31430000625272</v>
      </c>
      <c r="AC10" s="106">
        <v>1.5391290813099003</v>
      </c>
      <c r="AD10" s="106">
        <v>21.187975371242302</v>
      </c>
      <c r="AE10" s="106">
        <v>136.69230769230768</v>
      </c>
      <c r="AF10" s="106">
        <v>-4.5351284445815571E-2</v>
      </c>
      <c r="AG10" s="106">
        <v>4392</v>
      </c>
      <c r="AH10" s="106">
        <v>16062.982370592648</v>
      </c>
      <c r="AI10" s="106">
        <v>16398.857089272318</v>
      </c>
      <c r="AJ10" s="106">
        <v>16371.665416354088</v>
      </c>
      <c r="AK10" s="104">
        <v>15118.150037509376</v>
      </c>
      <c r="AL10" s="118">
        <v>15393741</v>
      </c>
      <c r="AM10" s="118">
        <v>3892</v>
      </c>
      <c r="AN10" s="118">
        <v>79965</v>
      </c>
      <c r="AO10" s="118">
        <v>570</v>
      </c>
      <c r="AP10" s="118">
        <f t="shared" si="0"/>
        <v>727</v>
      </c>
    </row>
    <row r="11" spans="1:42" ht="12.75">
      <c r="A11" s="106">
        <v>2018</v>
      </c>
      <c r="B11" s="106">
        <v>-168528</v>
      </c>
      <c r="C11" s="106">
        <v>0</v>
      </c>
      <c r="D11" s="106">
        <v>168528</v>
      </c>
      <c r="E11" s="106" t="s">
        <v>72</v>
      </c>
      <c r="F11" s="106" t="s">
        <v>73</v>
      </c>
      <c r="G11" s="106" t="s">
        <v>74</v>
      </c>
      <c r="H11" s="106">
        <v>7</v>
      </c>
      <c r="I11" s="106" t="s">
        <v>3641</v>
      </c>
      <c r="J11" s="106">
        <v>36010</v>
      </c>
      <c r="K11" s="106">
        <v>26710</v>
      </c>
      <c r="L11" s="106">
        <v>24242</v>
      </c>
      <c r="M11" s="106">
        <v>0.36</v>
      </c>
      <c r="N11" s="106">
        <v>0.8</v>
      </c>
      <c r="O11" s="106">
        <v>1</v>
      </c>
      <c r="P11" s="106">
        <v>22255</v>
      </c>
      <c r="Q11" s="106">
        <v>20996.602097470695</v>
      </c>
      <c r="R11" s="106">
        <v>0.59763800229510045</v>
      </c>
      <c r="S11" s="106">
        <v>27166.987661937077</v>
      </c>
      <c r="T11" s="106">
        <v>29761.032078963603</v>
      </c>
      <c r="U11" s="106">
        <v>25513.768044417026</v>
      </c>
      <c r="V11" s="106">
        <v>0.55405536626714691</v>
      </c>
      <c r="W11" s="106">
        <v>63075.098499061918</v>
      </c>
      <c r="X11" s="110">
        <v>0.46458254050934572</v>
      </c>
      <c r="Y11" s="106">
        <v>382.61477572559369</v>
      </c>
      <c r="Z11" s="106">
        <v>12.831134564643801</v>
      </c>
      <c r="AA11" s="106">
        <v>123088.74404761905</v>
      </c>
      <c r="AB11" s="106">
        <v>855.61408444876599</v>
      </c>
      <c r="AC11" s="106">
        <v>0.81242197061750221</v>
      </c>
      <c r="AD11" s="106">
        <v>20.253164556962027</v>
      </c>
      <c r="AE11" s="106">
        <v>143.86011904761904</v>
      </c>
      <c r="AF11" s="106">
        <v>2.7937069198944214E-2</v>
      </c>
      <c r="AG11" s="106">
        <v>35060</v>
      </c>
      <c r="AH11" s="106">
        <v>25663.371375694016</v>
      </c>
      <c r="AI11" s="106">
        <v>27166.987661937077</v>
      </c>
      <c r="AJ11" s="106">
        <v>30098.541024059221</v>
      </c>
      <c r="AK11" s="104">
        <v>25513.768044417026</v>
      </c>
      <c r="AM11" s="118">
        <v>1671</v>
      </c>
      <c r="AN11" s="118">
        <v>48337</v>
      </c>
      <c r="AO11" s="118">
        <v>311</v>
      </c>
      <c r="AP11" s="118">
        <f t="shared" si="0"/>
        <v>950</v>
      </c>
    </row>
    <row r="12" spans="1:42" ht="12.75">
      <c r="A12" s="106">
        <v>2018</v>
      </c>
      <c r="B12" s="106">
        <v>-138600</v>
      </c>
      <c r="C12" s="106">
        <v>0</v>
      </c>
      <c r="D12" s="106">
        <v>138600</v>
      </c>
      <c r="E12" s="106" t="s">
        <v>75</v>
      </c>
      <c r="F12" s="106" t="s">
        <v>76</v>
      </c>
      <c r="G12" s="106" t="s">
        <v>63</v>
      </c>
      <c r="H12" s="106">
        <v>7</v>
      </c>
      <c r="I12" s="106" t="s">
        <v>3641</v>
      </c>
      <c r="J12" s="106">
        <v>39960</v>
      </c>
      <c r="K12" s="106">
        <v>21624</v>
      </c>
      <c r="L12" s="106">
        <v>17581</v>
      </c>
      <c r="M12" s="106">
        <v>0.45</v>
      </c>
      <c r="N12" s="106">
        <v>0.65</v>
      </c>
      <c r="O12" s="106">
        <v>1</v>
      </c>
      <c r="P12" s="106">
        <v>26499</v>
      </c>
      <c r="Q12" s="106">
        <v>24394.759958071278</v>
      </c>
      <c r="R12" s="106">
        <v>0.64821481203899234</v>
      </c>
      <c r="S12" s="106">
        <v>35760.445492662475</v>
      </c>
      <c r="T12" s="106">
        <v>58738.991614255763</v>
      </c>
      <c r="U12" s="106">
        <v>46600.494758909852</v>
      </c>
      <c r="V12" s="106">
        <v>0.28409567366772903</v>
      </c>
      <c r="W12" s="106">
        <v>80981.638519924105</v>
      </c>
      <c r="X12" s="110">
        <v>0.50772793003650907</v>
      </c>
      <c r="Y12" s="106">
        <v>300.17832167832171</v>
      </c>
      <c r="Z12" s="106">
        <v>10.006993006993007</v>
      </c>
      <c r="AA12" s="106">
        <v>235221.54497354498</v>
      </c>
      <c r="AB12" s="106">
        <v>1553.5126672956635</v>
      </c>
      <c r="AC12" s="106">
        <v>0.42513112483487364</v>
      </c>
      <c r="AD12" s="106">
        <v>20.633187772925766</v>
      </c>
      <c r="AE12" s="106">
        <v>151.4126984126984</v>
      </c>
      <c r="AF12" s="106">
        <v>-1.5706674366282765E-2</v>
      </c>
      <c r="AG12" s="106">
        <v>39720</v>
      </c>
      <c r="AH12" s="106">
        <v>27296.700209643604</v>
      </c>
      <c r="AI12" s="106">
        <v>35760.445492662475</v>
      </c>
      <c r="AJ12" s="106">
        <v>54041.591194968554</v>
      </c>
      <c r="AK12" s="104">
        <v>46600.494758909852</v>
      </c>
      <c r="AM12" s="118">
        <v>921</v>
      </c>
      <c r="AN12" s="118">
        <v>28617</v>
      </c>
      <c r="AO12" s="118">
        <v>189</v>
      </c>
      <c r="AP12" s="118">
        <f t="shared" si="0"/>
        <v>240</v>
      </c>
    </row>
    <row r="13" spans="1:42" ht="12.75">
      <c r="A13" s="106">
        <v>2018</v>
      </c>
      <c r="B13" s="106">
        <v>-217615</v>
      </c>
      <c r="C13" s="106">
        <v>0</v>
      </c>
      <c r="D13" s="106">
        <v>217615</v>
      </c>
      <c r="E13" s="106" t="s">
        <v>77</v>
      </c>
      <c r="F13" s="106" t="s">
        <v>78</v>
      </c>
      <c r="G13" s="106" t="s">
        <v>79</v>
      </c>
      <c r="H13" s="106">
        <v>4</v>
      </c>
      <c r="I13" s="106" t="s">
        <v>24</v>
      </c>
      <c r="J13" s="106">
        <v>4468</v>
      </c>
      <c r="K13" s="106">
        <v>3386</v>
      </c>
      <c r="L13" s="106">
        <v>1372</v>
      </c>
      <c r="M13" s="106">
        <v>0.41</v>
      </c>
      <c r="N13" s="106">
        <v>0.09</v>
      </c>
      <c r="O13" s="106">
        <v>0.19</v>
      </c>
      <c r="P13" s="106">
        <v>906</v>
      </c>
      <c r="Q13" s="106">
        <v>109.96274393849794</v>
      </c>
      <c r="R13" s="106">
        <v>1.7706929448912802E-2</v>
      </c>
      <c r="S13" s="106">
        <v>13156.048492016558</v>
      </c>
      <c r="T13" s="106">
        <v>13444.625073920757</v>
      </c>
      <c r="U13" s="106">
        <v>9204.7332939089301</v>
      </c>
      <c r="V13" s="106">
        <v>0.66272321262220524</v>
      </c>
      <c r="W13" s="106">
        <v>68720.149819494589</v>
      </c>
      <c r="X13" s="110">
        <v>0.55818775403993015</v>
      </c>
      <c r="Y13" s="106">
        <v>532.1223776223776</v>
      </c>
      <c r="Z13" s="106">
        <v>17.737762237762237</v>
      </c>
      <c r="AA13" s="106">
        <v>34209.239560439557</v>
      </c>
      <c r="AB13" s="106">
        <v>306.83049143487943</v>
      </c>
      <c r="AC13" s="106">
        <v>2.9231868724624488</v>
      </c>
      <c r="AD13" s="106">
        <v>34.210526315789473</v>
      </c>
      <c r="AE13" s="106">
        <v>111.49230769230769</v>
      </c>
      <c r="AF13" s="106">
        <v>2.0082830855179642E-2</v>
      </c>
      <c r="AG13" s="106">
        <v>4128</v>
      </c>
      <c r="AH13" s="106">
        <v>13218.89532820816</v>
      </c>
      <c r="AI13" s="106">
        <v>13218.89532820816</v>
      </c>
      <c r="AJ13" s="106">
        <v>13284.121230041395</v>
      </c>
      <c r="AK13" s="104">
        <v>10660.994086339444</v>
      </c>
      <c r="AL13" s="118">
        <v>6276066</v>
      </c>
      <c r="AM13" s="118">
        <v>2399</v>
      </c>
      <c r="AN13" s="118">
        <v>50729</v>
      </c>
      <c r="AO13" s="118">
        <v>258</v>
      </c>
      <c r="AP13" s="118">
        <f t="shared" si="0"/>
        <v>340</v>
      </c>
    </row>
    <row r="14" spans="1:42" ht="12.75">
      <c r="A14" s="106">
        <v>2018</v>
      </c>
      <c r="B14" s="106">
        <v>-126207</v>
      </c>
      <c r="C14" s="106">
        <v>0</v>
      </c>
      <c r="D14" s="106">
        <v>126207</v>
      </c>
      <c r="E14" s="106" t="s">
        <v>80</v>
      </c>
      <c r="F14" s="106" t="s">
        <v>81</v>
      </c>
      <c r="G14" s="106" t="s">
        <v>66</v>
      </c>
      <c r="H14" s="106">
        <v>4</v>
      </c>
      <c r="I14" s="106" t="s">
        <v>24</v>
      </c>
      <c r="J14" s="106">
        <v>1835</v>
      </c>
      <c r="K14" s="106">
        <v>7555</v>
      </c>
      <c r="L14" s="106">
        <v>8092</v>
      </c>
      <c r="M14" s="106">
        <v>0.44</v>
      </c>
      <c r="N14" s="106">
        <v>0.11</v>
      </c>
      <c r="O14" s="106">
        <v>0.59</v>
      </c>
      <c r="P14" s="106">
        <v>2053</v>
      </c>
      <c r="Q14" s="106">
        <v>367.69929116684841</v>
      </c>
      <c r="R14" s="106">
        <v>0.10568424605999875</v>
      </c>
      <c r="S14" s="106">
        <v>23524.900490730644</v>
      </c>
      <c r="T14" s="106">
        <v>32410.758178844058</v>
      </c>
      <c r="U14" s="106">
        <v>25587.363541703588</v>
      </c>
      <c r="V14" s="106">
        <v>0.12160400561009434</v>
      </c>
      <c r="W14" s="106">
        <v>164796.53661697989</v>
      </c>
      <c r="X14" s="110">
        <v>0.71297488874344761</v>
      </c>
      <c r="Y14" s="106">
        <v>599.20508166969137</v>
      </c>
      <c r="Z14" s="106">
        <v>19.970961887477312</v>
      </c>
      <c r="AA14" s="106">
        <v>50677.348526441012</v>
      </c>
      <c r="AB14" s="106">
        <v>852.803618868635</v>
      </c>
      <c r="AC14" s="106">
        <v>1.9732681939313537</v>
      </c>
      <c r="AD14" s="106">
        <v>54.136217480268925</v>
      </c>
      <c r="AE14" s="106">
        <v>59.4244060475162</v>
      </c>
      <c r="AF14" s="106">
        <v>-0.32371576669335927</v>
      </c>
      <c r="AG14" s="106">
        <v>1617</v>
      </c>
      <c r="AH14" s="106">
        <v>22172.355779716469</v>
      </c>
      <c r="AI14" s="106">
        <v>22172.355779716469</v>
      </c>
      <c r="AJ14" s="106">
        <v>23613.060250817885</v>
      </c>
      <c r="AK14" s="104">
        <v>27746.951199563795</v>
      </c>
      <c r="AL14" s="118">
        <v>63642959</v>
      </c>
      <c r="AM14" s="118">
        <v>5982</v>
      </c>
      <c r="AN14" s="118">
        <v>110054</v>
      </c>
      <c r="AO14" s="118">
        <v>571</v>
      </c>
      <c r="AP14" s="118">
        <f t="shared" si="0"/>
        <v>218</v>
      </c>
    </row>
    <row r="15" spans="1:42" ht="12.75">
      <c r="A15" s="106">
        <v>2018</v>
      </c>
      <c r="B15" s="106">
        <v>-100654</v>
      </c>
      <c r="C15" s="106">
        <v>0</v>
      </c>
      <c r="D15" s="106">
        <v>100654</v>
      </c>
      <c r="E15" s="106" t="s">
        <v>83</v>
      </c>
      <c r="F15" s="106" t="s">
        <v>84</v>
      </c>
      <c r="G15" s="106" t="s">
        <v>85</v>
      </c>
      <c r="H15" s="106">
        <v>2</v>
      </c>
      <c r="I15" s="106" t="s">
        <v>25</v>
      </c>
      <c r="J15" s="106">
        <v>9857</v>
      </c>
      <c r="K15" s="106">
        <v>13956</v>
      </c>
      <c r="L15" s="106">
        <v>13893</v>
      </c>
      <c r="M15" s="106">
        <v>0.71</v>
      </c>
      <c r="N15" s="106">
        <v>0.72</v>
      </c>
      <c r="O15" s="106">
        <v>0.68</v>
      </c>
      <c r="P15" s="106">
        <v>8255</v>
      </c>
      <c r="Q15" s="106">
        <v>4127.6368784285969</v>
      </c>
      <c r="R15" s="106">
        <v>0.36544771515626523</v>
      </c>
      <c r="S15" s="106">
        <v>28245.828172004956</v>
      </c>
      <c r="T15" s="106">
        <v>26332.082286321005</v>
      </c>
      <c r="U15" s="106">
        <v>11125.125425513126</v>
      </c>
      <c r="V15" s="106">
        <v>0.64422671354202365</v>
      </c>
      <c r="W15" s="106">
        <v>87499.084785133571</v>
      </c>
      <c r="X15" s="110">
        <v>0.50628627133436388</v>
      </c>
      <c r="Y15" s="106">
        <v>563.86674259681092</v>
      </c>
      <c r="Z15" s="106">
        <v>19.308656036446468</v>
      </c>
      <c r="AA15" s="106">
        <v>74224.420046723346</v>
      </c>
      <c r="AB15" s="106">
        <v>380.96096821435953</v>
      </c>
      <c r="AC15" s="106">
        <v>1.3472654947933744</v>
      </c>
      <c r="AD15" s="106">
        <v>15.154768294864912</v>
      </c>
      <c r="AE15" s="106">
        <v>194.83471074380165</v>
      </c>
      <c r="AF15" s="106">
        <v>0.6053197946249651</v>
      </c>
      <c r="AG15" s="106">
        <v>8379</v>
      </c>
      <c r="AH15" s="106">
        <v>24400.554415147762</v>
      </c>
      <c r="AI15" s="106">
        <v>24792.49194832773</v>
      </c>
      <c r="AJ15" s="106">
        <v>28272.361351973101</v>
      </c>
      <c r="AK15" s="105">
        <v>20412.795080516724</v>
      </c>
      <c r="AL15" s="119">
        <v>41017090</v>
      </c>
      <c r="AM15" s="119">
        <v>5038</v>
      </c>
      <c r="AN15" s="118">
        <v>165025</v>
      </c>
      <c r="AO15" s="119">
        <v>507</v>
      </c>
      <c r="AP15" s="118">
        <f t="shared" si="0"/>
        <v>1478</v>
      </c>
    </row>
    <row r="16" spans="1:42" ht="12.75">
      <c r="A16" s="106">
        <v>2018</v>
      </c>
      <c r="B16" s="106">
        <v>-100724</v>
      </c>
      <c r="C16" s="106">
        <v>0</v>
      </c>
      <c r="D16" s="106">
        <v>100724</v>
      </c>
      <c r="E16" s="106" t="s">
        <v>86</v>
      </c>
      <c r="F16" s="106" t="s">
        <v>87</v>
      </c>
      <c r="G16" s="106" t="s">
        <v>85</v>
      </c>
      <c r="H16" s="106">
        <v>2</v>
      </c>
      <c r="I16" s="106" t="s">
        <v>25</v>
      </c>
      <c r="J16" s="106">
        <v>11068</v>
      </c>
      <c r="K16" s="106">
        <v>13029</v>
      </c>
      <c r="L16" s="106">
        <v>11344</v>
      </c>
      <c r="M16" s="106">
        <v>0.78</v>
      </c>
      <c r="N16" s="106">
        <v>0.76</v>
      </c>
      <c r="O16" s="106">
        <v>0.41</v>
      </c>
      <c r="P16" s="106">
        <v>7487</v>
      </c>
      <c r="Q16" s="106">
        <v>3134.4296636085628</v>
      </c>
      <c r="R16" s="106">
        <v>0.26612091803824484</v>
      </c>
      <c r="S16" s="106">
        <v>31335.768457841852</v>
      </c>
      <c r="T16" s="106">
        <v>32410.774137177807</v>
      </c>
      <c r="U16" s="106">
        <v>21958.353086270057</v>
      </c>
      <c r="V16" s="106">
        <v>0.39364456594872893</v>
      </c>
      <c r="W16" s="106">
        <v>73714.190512048182</v>
      </c>
      <c r="X16" s="110">
        <v>0.43983797598601243</v>
      </c>
      <c r="Y16" s="106">
        <v>430.07608695652169</v>
      </c>
      <c r="Z16" s="106">
        <v>14.928260869565216</v>
      </c>
      <c r="AA16" s="106">
        <v>121407.4159769859</v>
      </c>
      <c r="AB16" s="106">
        <v>762.19076828375398</v>
      </c>
      <c r="AC16" s="106">
        <v>0.82367291318477687</v>
      </c>
      <c r="AD16" s="106">
        <v>18.771253683971889</v>
      </c>
      <c r="AE16" s="106">
        <v>159.28743961352657</v>
      </c>
      <c r="AF16" s="106">
        <v>-0.15887359458222386</v>
      </c>
      <c r="AG16" s="106">
        <v>8328</v>
      </c>
      <c r="AH16" s="106">
        <v>27858.627566622981</v>
      </c>
      <c r="AI16" s="106">
        <v>27921.989515072084</v>
      </c>
      <c r="AJ16" s="106">
        <v>31545.525775447793</v>
      </c>
      <c r="AK16" s="104">
        <v>29563.940366972478</v>
      </c>
      <c r="AL16" s="118">
        <v>43254819</v>
      </c>
      <c r="AM16" s="118">
        <v>4208</v>
      </c>
      <c r="AN16" s="118">
        <v>131890</v>
      </c>
      <c r="AO16" s="118">
        <v>650</v>
      </c>
      <c r="AP16" s="118">
        <f t="shared" si="0"/>
        <v>2740</v>
      </c>
    </row>
    <row r="17" spans="1:42" ht="12.75">
      <c r="A17" s="106">
        <v>2018</v>
      </c>
      <c r="B17" s="106">
        <v>-199786</v>
      </c>
      <c r="C17" s="106">
        <v>0</v>
      </c>
      <c r="D17" s="106">
        <v>199786</v>
      </c>
      <c r="E17" s="106" t="s">
        <v>88</v>
      </c>
      <c r="F17" s="106" t="s">
        <v>89</v>
      </c>
      <c r="G17" s="106" t="s">
        <v>90</v>
      </c>
      <c r="H17" s="106">
        <v>4</v>
      </c>
      <c r="I17" s="106" t="s">
        <v>24</v>
      </c>
      <c r="J17" s="106">
        <v>2310</v>
      </c>
      <c r="K17" s="106">
        <v>10774</v>
      </c>
      <c r="L17" s="106">
        <v>9786</v>
      </c>
      <c r="M17" s="106">
        <v>0.56000000000000005</v>
      </c>
      <c r="N17" s="106">
        <v>0.01</v>
      </c>
      <c r="O17" s="106">
        <v>0.12</v>
      </c>
      <c r="P17" s="106">
        <v>1242</v>
      </c>
      <c r="Q17" s="106"/>
      <c r="R17" s="106"/>
      <c r="S17" s="106">
        <v>12764.756653992396</v>
      </c>
      <c r="T17" s="106">
        <v>14141.145869339785</v>
      </c>
      <c r="U17" s="106">
        <v>10040.281807412784</v>
      </c>
      <c r="V17" s="106">
        <v>0.25790735213900212</v>
      </c>
      <c r="W17" s="106">
        <v>63259.242750621372</v>
      </c>
      <c r="X17" s="110">
        <v>0.62212401829513253</v>
      </c>
      <c r="Y17" s="106">
        <v>370.36130867709818</v>
      </c>
      <c r="Z17" s="106">
        <v>12.345661450924609</v>
      </c>
      <c r="AA17" s="106">
        <v>23163.10627499616</v>
      </c>
      <c r="AB17" s="106">
        <v>334.68377274329612</v>
      </c>
      <c r="AC17" s="106">
        <v>4.3172102572420021</v>
      </c>
      <c r="AD17" s="106">
        <v>49.663366336633665</v>
      </c>
      <c r="AE17" s="106">
        <v>69.208931419457741</v>
      </c>
      <c r="AF17" s="106">
        <v>-5.0724327978973749E-4</v>
      </c>
      <c r="AG17" s="106">
        <v>2280</v>
      </c>
      <c r="AH17" s="106">
        <v>11346.395782924301</v>
      </c>
      <c r="AI17" s="106">
        <v>11346.464915312825</v>
      </c>
      <c r="AJ17" s="106">
        <v>12772.558244037331</v>
      </c>
      <c r="AK17" s="104">
        <v>12336.464223988938</v>
      </c>
      <c r="AL17" s="118">
        <v>22379383</v>
      </c>
      <c r="AM17" s="118">
        <v>4184</v>
      </c>
      <c r="AN17" s="118">
        <v>86788</v>
      </c>
      <c r="AO17" s="118">
        <v>675</v>
      </c>
      <c r="AP17" s="118">
        <f t="shared" si="0"/>
        <v>30</v>
      </c>
    </row>
    <row r="18" spans="1:42" ht="12.75">
      <c r="A18" s="106">
        <v>2018</v>
      </c>
      <c r="B18" s="106">
        <v>-102669</v>
      </c>
      <c r="C18" s="106">
        <v>0</v>
      </c>
      <c r="D18" s="106">
        <v>102669</v>
      </c>
      <c r="E18" s="106" t="s">
        <v>91</v>
      </c>
      <c r="F18" s="106" t="s">
        <v>92</v>
      </c>
      <c r="G18" s="106" t="s">
        <v>93</v>
      </c>
      <c r="H18" s="106">
        <v>6</v>
      </c>
      <c r="I18" s="106" t="s">
        <v>3640</v>
      </c>
      <c r="J18" s="106">
        <v>20760</v>
      </c>
      <c r="K18" s="106">
        <v>18932</v>
      </c>
      <c r="L18" s="106">
        <v>18593</v>
      </c>
      <c r="M18" s="106">
        <v>0.5</v>
      </c>
      <c r="N18" s="106">
        <v>0.63</v>
      </c>
      <c r="O18" s="106">
        <v>0.94</v>
      </c>
      <c r="P18" s="106">
        <v>11865</v>
      </c>
      <c r="Q18" s="106">
        <v>5579.0467032967035</v>
      </c>
      <c r="R18" s="106">
        <v>0.29713156249853684</v>
      </c>
      <c r="S18" s="106">
        <v>29666.321428571428</v>
      </c>
      <c r="T18" s="106">
        <v>45458.269230769234</v>
      </c>
      <c r="U18" s="106">
        <v>31492.085277522336</v>
      </c>
      <c r="V18" s="106">
        <v>0.41906735704398085</v>
      </c>
      <c r="W18" s="106">
        <v>84312.594900849857</v>
      </c>
      <c r="X18" s="110">
        <v>0.59955858561257425</v>
      </c>
      <c r="Y18" s="106">
        <v>204.44897959183675</v>
      </c>
      <c r="Z18" s="106">
        <v>7.4285714285714288</v>
      </c>
      <c r="AA18" s="106">
        <v>88177.838777062541</v>
      </c>
      <c r="AB18" s="106">
        <v>1144.25225005172</v>
      </c>
      <c r="AC18" s="106">
        <v>1.1340717961213258</v>
      </c>
      <c r="AD18" s="106">
        <v>37.790697674418603</v>
      </c>
      <c r="AE18" s="106">
        <v>77.061538461538461</v>
      </c>
      <c r="AF18" s="106">
        <v>0.14323797723757509</v>
      </c>
      <c r="AG18" s="106">
        <v>20350</v>
      </c>
      <c r="AH18" s="106">
        <v>20285.596153846152</v>
      </c>
      <c r="AI18" s="106">
        <v>29736.722527472528</v>
      </c>
      <c r="AJ18" s="106">
        <v>40791.538461538461</v>
      </c>
      <c r="AK18" s="104">
        <v>38573.376373626372</v>
      </c>
      <c r="AL18" s="118"/>
      <c r="AM18" s="118">
        <v>296</v>
      </c>
      <c r="AN18" s="118">
        <v>10018</v>
      </c>
      <c r="AO18" s="118">
        <v>42</v>
      </c>
      <c r="AP18" s="118">
        <f t="shared" si="0"/>
        <v>410</v>
      </c>
    </row>
    <row r="19" spans="1:42" ht="12.75">
      <c r="A19" s="106">
        <v>2018</v>
      </c>
      <c r="B19" s="106">
        <v>-138716</v>
      </c>
      <c r="C19" s="106">
        <v>0</v>
      </c>
      <c r="D19" s="106">
        <v>138716</v>
      </c>
      <c r="E19" s="106" t="s">
        <v>94</v>
      </c>
      <c r="F19" s="106" t="s">
        <v>95</v>
      </c>
      <c r="G19" s="106" t="s">
        <v>63</v>
      </c>
      <c r="H19" s="106">
        <v>2</v>
      </c>
      <c r="I19" s="106" t="s">
        <v>25</v>
      </c>
      <c r="J19" s="106">
        <v>5735</v>
      </c>
      <c r="K19" s="106">
        <v>12569</v>
      </c>
      <c r="L19" s="106">
        <v>12033</v>
      </c>
      <c r="M19" s="106">
        <v>0.8</v>
      </c>
      <c r="N19" s="106">
        <v>0.85</v>
      </c>
      <c r="O19" s="106">
        <v>0.12</v>
      </c>
      <c r="P19" s="106">
        <v>6610</v>
      </c>
      <c r="Q19" s="106">
        <v>196</v>
      </c>
      <c r="R19" s="106">
        <v>3.4583861795255244E-2</v>
      </c>
      <c r="S19" s="106">
        <v>20411.718855218856</v>
      </c>
      <c r="T19" s="106">
        <v>21244.816124205012</v>
      </c>
      <c r="U19" s="106">
        <v>11812.966348787138</v>
      </c>
      <c r="V19" s="106">
        <v>0.46316760038670296</v>
      </c>
      <c r="W19" s="106">
        <v>81467.396709323584</v>
      </c>
      <c r="X19" s="110">
        <v>0.52315209712874033</v>
      </c>
      <c r="Y19" s="106">
        <v>494.72274143302178</v>
      </c>
      <c r="Z19" s="106">
        <v>16.654205607476637</v>
      </c>
      <c r="AA19" s="106">
        <v>48170.952021827645</v>
      </c>
      <c r="AB19" s="106">
        <v>397.66833810193594</v>
      </c>
      <c r="AC19" s="106">
        <v>2.0759398725332878</v>
      </c>
      <c r="AD19" s="106">
        <v>25.690770135214581</v>
      </c>
      <c r="AE19" s="107">
        <v>121.13348588863462</v>
      </c>
      <c r="AF19" s="106">
        <v>0.44002982554093001</v>
      </c>
      <c r="AG19" s="106">
        <v>3965</v>
      </c>
      <c r="AH19" s="106">
        <v>18605.558735503178</v>
      </c>
      <c r="AI19" s="106">
        <v>19004.86026936027</v>
      </c>
      <c r="AJ19" s="106">
        <v>20426.680695847361</v>
      </c>
      <c r="AK19" s="104">
        <v>14632.228582117472</v>
      </c>
      <c r="AL19" s="118">
        <v>35730522</v>
      </c>
      <c r="AM19" s="118">
        <v>6262</v>
      </c>
      <c r="AN19" s="118">
        <v>158806</v>
      </c>
      <c r="AO19" s="118">
        <v>1129</v>
      </c>
      <c r="AP19" s="118">
        <f t="shared" si="0"/>
        <v>1770</v>
      </c>
    </row>
    <row r="20" spans="1:42" ht="12.75">
      <c r="A20" s="106">
        <v>2018</v>
      </c>
      <c r="B20" s="106">
        <v>-138682</v>
      </c>
      <c r="C20" s="106">
        <v>0</v>
      </c>
      <c r="D20" s="106">
        <v>138682</v>
      </c>
      <c r="E20" s="106" t="s">
        <v>96</v>
      </c>
      <c r="F20" s="106" t="s">
        <v>95</v>
      </c>
      <c r="G20" s="106" t="s">
        <v>63</v>
      </c>
      <c r="H20" s="106">
        <v>4</v>
      </c>
      <c r="I20" s="106" t="s">
        <v>24</v>
      </c>
      <c r="J20" s="106">
        <v>2712</v>
      </c>
      <c r="K20" s="106">
        <v>459</v>
      </c>
      <c r="L20" s="106">
        <v>94</v>
      </c>
      <c r="M20" s="106">
        <v>0.81</v>
      </c>
      <c r="N20" s="106">
        <v>0.53</v>
      </c>
      <c r="O20" s="106">
        <v>0.04</v>
      </c>
      <c r="P20" s="106">
        <v>3214</v>
      </c>
      <c r="Q20" s="106"/>
      <c r="R20" s="106"/>
      <c r="S20" s="106">
        <v>12619.964615384615</v>
      </c>
      <c r="T20" s="106">
        <v>12697.140384615384</v>
      </c>
      <c r="U20" s="106">
        <v>7598.0161538461534</v>
      </c>
      <c r="V20" s="106">
        <v>0.45935426869017731</v>
      </c>
      <c r="W20" s="106">
        <v>56916.086306098958</v>
      </c>
      <c r="X20" s="110">
        <v>0.49940660472762416</v>
      </c>
      <c r="Y20" s="106">
        <v>528.30474040632055</v>
      </c>
      <c r="Z20" s="106">
        <v>17.607223476297971</v>
      </c>
      <c r="AA20" s="106">
        <v>8894.5709140027011</v>
      </c>
      <c r="AB20" s="106">
        <v>253.22500096137824</v>
      </c>
      <c r="AC20" s="106">
        <v>11.242813280916142</v>
      </c>
      <c r="AD20" s="106">
        <v>118.01275239107332</v>
      </c>
      <c r="AE20" s="107">
        <v>35.125168842863573</v>
      </c>
      <c r="AF20" s="106">
        <v>6.2789169555463584E-2</v>
      </c>
      <c r="AG20" s="106">
        <v>2136</v>
      </c>
      <c r="AH20" s="106">
        <v>9591.6503846153846</v>
      </c>
      <c r="AI20" s="106">
        <v>9767.0338461538468</v>
      </c>
      <c r="AJ20" s="106">
        <v>12620.70576923077</v>
      </c>
      <c r="AK20" s="104">
        <v>10517.267307692307</v>
      </c>
      <c r="AL20" s="119">
        <v>11660119</v>
      </c>
      <c r="AM20" s="118">
        <v>3167</v>
      </c>
      <c r="AN20" s="118">
        <v>78013</v>
      </c>
      <c r="AO20" s="118">
        <v>302</v>
      </c>
      <c r="AP20" s="118">
        <f t="shared" si="0"/>
        <v>576</v>
      </c>
    </row>
    <row r="21" spans="1:42" ht="12.75">
      <c r="A21" s="106">
        <v>2018</v>
      </c>
      <c r="B21" s="106">
        <v>-128498</v>
      </c>
      <c r="C21" s="106">
        <v>0</v>
      </c>
      <c r="D21" s="106">
        <v>128498</v>
      </c>
      <c r="E21" s="106" t="s">
        <v>97</v>
      </c>
      <c r="F21" s="106" t="s">
        <v>98</v>
      </c>
      <c r="G21" s="106" t="s">
        <v>99</v>
      </c>
      <c r="H21" s="106">
        <v>6</v>
      </c>
      <c r="I21" s="106" t="s">
        <v>3640</v>
      </c>
      <c r="J21" s="106">
        <v>31140</v>
      </c>
      <c r="K21" s="106">
        <v>24652</v>
      </c>
      <c r="L21" s="106">
        <v>25542</v>
      </c>
      <c r="M21" s="106">
        <v>0.67</v>
      </c>
      <c r="N21" s="106">
        <v>0.88</v>
      </c>
      <c r="O21" s="106">
        <v>0.87</v>
      </c>
      <c r="P21" s="106">
        <v>20113</v>
      </c>
      <c r="Q21" s="106">
        <v>5966.523907103825</v>
      </c>
      <c r="R21" s="106">
        <v>0.32321591844663788</v>
      </c>
      <c r="S21" s="106">
        <v>15485.73975409836</v>
      </c>
      <c r="T21" s="106">
        <v>18332.601092896173</v>
      </c>
      <c r="U21" s="106">
        <v>17452.830601092897</v>
      </c>
      <c r="V21" s="106">
        <v>0.71583496093138477</v>
      </c>
      <c r="W21" s="106">
        <v>61559.78493317133</v>
      </c>
      <c r="X21" s="110">
        <v>0.62923157735659185</v>
      </c>
      <c r="Y21" s="106">
        <v>329.35654596100278</v>
      </c>
      <c r="Z21" s="106">
        <v>12.233983286908078</v>
      </c>
      <c r="AA21" s="106">
        <v>46968.647058823532</v>
      </c>
      <c r="AB21" s="106">
        <v>648.28721487833968</v>
      </c>
      <c r="AC21" s="106">
        <v>2.1290798492611467</v>
      </c>
      <c r="AD21" s="106">
        <v>40.326167531504822</v>
      </c>
      <c r="AE21" s="107">
        <v>72.450367647058826</v>
      </c>
      <c r="AF21" s="106">
        <v>-2.1420849255944834E-2</v>
      </c>
      <c r="AG21" s="106">
        <v>30650</v>
      </c>
      <c r="AH21" s="106">
        <v>14820.517759562841</v>
      </c>
      <c r="AI21" s="106">
        <v>15485.73975409836</v>
      </c>
      <c r="AJ21" s="106">
        <v>17565.219945355191</v>
      </c>
      <c r="AK21" s="104">
        <v>17452.830601092897</v>
      </c>
      <c r="AL21" s="118"/>
      <c r="AM21" s="118">
        <v>1128</v>
      </c>
      <c r="AN21" s="118">
        <v>39413</v>
      </c>
      <c r="AO21" s="118">
        <v>365</v>
      </c>
      <c r="AP21" s="118">
        <f t="shared" si="0"/>
        <v>490</v>
      </c>
    </row>
    <row r="22" spans="1:42" ht="12.75">
      <c r="A22" s="106">
        <v>2018</v>
      </c>
      <c r="B22" s="106">
        <v>-168546</v>
      </c>
      <c r="C22" s="106">
        <v>0</v>
      </c>
      <c r="D22" s="106">
        <v>168546</v>
      </c>
      <c r="E22" s="106" t="s">
        <v>100</v>
      </c>
      <c r="F22" s="106" t="s">
        <v>101</v>
      </c>
      <c r="G22" s="106" t="s">
        <v>74</v>
      </c>
      <c r="H22" s="106">
        <v>7</v>
      </c>
      <c r="I22" s="106" t="s">
        <v>3641</v>
      </c>
      <c r="J22" s="106">
        <v>43050</v>
      </c>
      <c r="K22" s="106">
        <v>17663</v>
      </c>
      <c r="L22" s="106">
        <v>9747</v>
      </c>
      <c r="M22" s="106">
        <v>0.51</v>
      </c>
      <c r="N22" s="106">
        <v>0.74</v>
      </c>
      <c r="O22" s="106">
        <v>1</v>
      </c>
      <c r="P22" s="106">
        <v>35386</v>
      </c>
      <c r="Q22" s="106">
        <v>28968.115216030055</v>
      </c>
      <c r="R22" s="106">
        <v>0.69122644474623685</v>
      </c>
      <c r="S22" s="106">
        <v>29757.123982467125</v>
      </c>
      <c r="T22" s="106">
        <v>38875.074514715088</v>
      </c>
      <c r="U22" s="106">
        <v>30560.557279390167</v>
      </c>
      <c r="V22" s="106">
        <v>0.42342717120788709</v>
      </c>
      <c r="W22" s="106">
        <v>71711.911627906971</v>
      </c>
      <c r="X22" s="110">
        <v>0.49668792803446277</v>
      </c>
      <c r="Y22" s="106">
        <v>393.82037533512067</v>
      </c>
      <c r="Z22" s="106">
        <v>12.844504021447722</v>
      </c>
      <c r="AA22" s="106">
        <v>174304.32133995034</v>
      </c>
      <c r="AB22" s="106">
        <v>996.73664811980177</v>
      </c>
      <c r="AC22" s="106">
        <v>0.57370924157965852</v>
      </c>
      <c r="AD22" s="106">
        <v>17.960230917254648</v>
      </c>
      <c r="AE22" s="107">
        <v>174.875</v>
      </c>
      <c r="AF22" s="106">
        <v>-8.7489356986686431E-3</v>
      </c>
      <c r="AG22" s="106">
        <v>42560</v>
      </c>
      <c r="AH22" s="106">
        <v>24576.775203506575</v>
      </c>
      <c r="AI22" s="106">
        <v>29848.261114589855</v>
      </c>
      <c r="AJ22" s="106">
        <v>37672.744520976834</v>
      </c>
      <c r="AK22" s="104">
        <v>31133.197871008138</v>
      </c>
      <c r="AL22" s="118"/>
      <c r="AM22" s="118">
        <v>1568</v>
      </c>
      <c r="AN22" s="118">
        <v>48965</v>
      </c>
      <c r="AO22" s="118">
        <v>280</v>
      </c>
      <c r="AP22" s="118">
        <f t="shared" si="0"/>
        <v>490</v>
      </c>
    </row>
    <row r="23" spans="1:42" ht="12.75">
      <c r="A23" s="106">
        <v>2018</v>
      </c>
      <c r="B23" s="106">
        <v>-210571</v>
      </c>
      <c r="C23" s="106">
        <v>0</v>
      </c>
      <c r="D23" s="106">
        <v>210571</v>
      </c>
      <c r="E23" s="106" t="s">
        <v>102</v>
      </c>
      <c r="F23" s="106" t="s">
        <v>103</v>
      </c>
      <c r="G23" s="106" t="s">
        <v>104</v>
      </c>
      <c r="H23" s="106">
        <v>7</v>
      </c>
      <c r="I23" s="106" t="s">
        <v>3641</v>
      </c>
      <c r="J23" s="106">
        <v>43454</v>
      </c>
      <c r="K23" s="106">
        <v>23785</v>
      </c>
      <c r="L23" s="106">
        <v>19103</v>
      </c>
      <c r="M23" s="106">
        <v>0.52</v>
      </c>
      <c r="N23" s="106">
        <v>0.9</v>
      </c>
      <c r="O23" s="106">
        <v>0.97</v>
      </c>
      <c r="P23" s="106">
        <v>29228</v>
      </c>
      <c r="Q23" s="106">
        <v>21590.522491349482</v>
      </c>
      <c r="R23" s="106">
        <v>0.59699292758671452</v>
      </c>
      <c r="S23" s="106">
        <v>22938.86307464162</v>
      </c>
      <c r="T23" s="106">
        <v>25535.78744438952</v>
      </c>
      <c r="U23" s="106">
        <v>20834.969995928146</v>
      </c>
      <c r="V23" s="106">
        <v>0.69954193586717628</v>
      </c>
      <c r="W23" s="106">
        <v>70719.822751322747</v>
      </c>
      <c r="X23" s="110">
        <v>0.51747315631858815</v>
      </c>
      <c r="Y23" s="106">
        <v>458.91666666666669</v>
      </c>
      <c r="Z23" s="106">
        <v>15.325757575757576</v>
      </c>
      <c r="AA23" s="106">
        <v>84636.835947314539</v>
      </c>
      <c r="AB23" s="106">
        <v>695.79451444876179</v>
      </c>
      <c r="AC23" s="106">
        <v>1.181518648242579</v>
      </c>
      <c r="AD23" s="106">
        <v>24.776119402985074</v>
      </c>
      <c r="AE23" s="107">
        <v>121.64056224899599</v>
      </c>
      <c r="AF23" s="106">
        <v>-5.1965286668843617E-3</v>
      </c>
      <c r="AG23" s="106">
        <v>42404</v>
      </c>
      <c r="AH23" s="106">
        <v>22050.024221453288</v>
      </c>
      <c r="AI23" s="106">
        <v>23178.008897676718</v>
      </c>
      <c r="AJ23" s="106">
        <v>25262.75679683638</v>
      </c>
      <c r="AK23" s="104">
        <v>20993.295600593177</v>
      </c>
      <c r="AM23" s="118">
        <v>2015</v>
      </c>
      <c r="AN23" s="118">
        <v>60577</v>
      </c>
      <c r="AO23" s="118">
        <v>491</v>
      </c>
      <c r="AP23" s="118">
        <f t="shared" si="0"/>
        <v>1050</v>
      </c>
    </row>
    <row r="24" spans="1:42" ht="12.75">
      <c r="A24" s="106">
        <v>2018</v>
      </c>
      <c r="B24" s="106">
        <v>-175342</v>
      </c>
      <c r="C24" s="106">
        <v>0</v>
      </c>
      <c r="D24" s="106">
        <v>175342</v>
      </c>
      <c r="E24" s="106" t="s">
        <v>105</v>
      </c>
      <c r="F24" s="106" t="s">
        <v>106</v>
      </c>
      <c r="G24" s="106" t="s">
        <v>107</v>
      </c>
      <c r="H24" s="106">
        <v>2</v>
      </c>
      <c r="I24" s="106" t="s">
        <v>25</v>
      </c>
      <c r="J24" s="106">
        <v>6888</v>
      </c>
      <c r="K24" s="106">
        <v>14923</v>
      </c>
      <c r="L24" s="106">
        <v>13794</v>
      </c>
      <c r="M24" s="106">
        <v>0.86</v>
      </c>
      <c r="N24" s="106">
        <v>0.86</v>
      </c>
      <c r="O24" s="106">
        <v>0.62</v>
      </c>
      <c r="P24" s="106">
        <v>9683</v>
      </c>
      <c r="Q24" s="106">
        <v>4161.5373604351562</v>
      </c>
      <c r="R24" s="106">
        <v>0.57993932764420619</v>
      </c>
      <c r="S24" s="106">
        <v>23341.23675923275</v>
      </c>
      <c r="T24" s="106">
        <v>25718.816490123103</v>
      </c>
      <c r="U24" s="106">
        <v>11701.074631659598</v>
      </c>
      <c r="V24" s="106">
        <v>0.25760691159920635</v>
      </c>
      <c r="W24" s="106">
        <v>73262.968421052632</v>
      </c>
      <c r="X24" s="110">
        <v>0.56814603118359486</v>
      </c>
      <c r="Y24" s="106">
        <v>541.70598591549287</v>
      </c>
      <c r="Z24" s="106">
        <v>18.448943661971828</v>
      </c>
      <c r="AA24" s="106">
        <v>66028.842792224517</v>
      </c>
      <c r="AB24" s="106">
        <v>398.50485738898993</v>
      </c>
      <c r="AC24" s="106">
        <v>1.514489664988887</v>
      </c>
      <c r="AD24" s="106">
        <v>18.62214199759326</v>
      </c>
      <c r="AE24" s="107">
        <v>165.69143780290793</v>
      </c>
      <c r="AF24" s="106">
        <v>-4.9935064240932206E-2</v>
      </c>
      <c r="AG24" s="106">
        <v>5469</v>
      </c>
      <c r="AH24" s="106">
        <v>21262.008302318922</v>
      </c>
      <c r="AI24" s="106">
        <v>21262.008302318922</v>
      </c>
      <c r="AJ24" s="106">
        <v>23519.68193529917</v>
      </c>
      <c r="AK24" s="104">
        <v>19063.644431720582</v>
      </c>
      <c r="AL24" s="119">
        <v>25780038</v>
      </c>
      <c r="AM24" s="118">
        <v>3172</v>
      </c>
      <c r="AN24" s="118">
        <v>102563</v>
      </c>
      <c r="AO24" s="118">
        <v>466</v>
      </c>
      <c r="AP24" s="118">
        <f t="shared" si="0"/>
        <v>1419</v>
      </c>
    </row>
    <row r="25" spans="1:42" ht="12.75">
      <c r="A25" s="106">
        <v>2018</v>
      </c>
      <c r="B25" s="106">
        <v>-237118</v>
      </c>
      <c r="C25" s="106">
        <v>0</v>
      </c>
      <c r="D25" s="106">
        <v>237118</v>
      </c>
      <c r="E25" s="106" t="s">
        <v>108</v>
      </c>
      <c r="F25" s="106" t="s">
        <v>109</v>
      </c>
      <c r="G25" s="106" t="s">
        <v>110</v>
      </c>
      <c r="H25" s="106">
        <v>7</v>
      </c>
      <c r="I25" s="106" t="s">
        <v>3641</v>
      </c>
      <c r="J25" s="106">
        <v>26610</v>
      </c>
      <c r="K25" s="106">
        <v>19742</v>
      </c>
      <c r="L25" s="106">
        <v>16802</v>
      </c>
      <c r="M25" s="106">
        <v>0.57999999999999996</v>
      </c>
      <c r="N25" s="106">
        <v>0.84</v>
      </c>
      <c r="O25" s="106">
        <v>0.99</v>
      </c>
      <c r="P25" s="106">
        <v>15404</v>
      </c>
      <c r="Q25" s="106">
        <v>13185.730731707317</v>
      </c>
      <c r="R25" s="106">
        <v>0.52947887557234241</v>
      </c>
      <c r="S25" s="106">
        <v>21345.362926829268</v>
      </c>
      <c r="T25" s="106">
        <v>25230.201951219511</v>
      </c>
      <c r="U25" s="106">
        <v>18216.118728488498</v>
      </c>
      <c r="V25" s="106">
        <v>0.64324858975593102</v>
      </c>
      <c r="W25" s="106">
        <v>49547.374576271191</v>
      </c>
      <c r="X25" s="110">
        <v>0.37679645807384465</v>
      </c>
      <c r="Y25" s="106">
        <v>522.80213903743311</v>
      </c>
      <c r="Z25" s="106">
        <v>16.443850267379677</v>
      </c>
      <c r="AA25" s="106">
        <v>94779.297952795489</v>
      </c>
      <c r="AB25" s="106">
        <v>572.95696872163717</v>
      </c>
      <c r="AC25" s="106">
        <v>1.0550827254471189</v>
      </c>
      <c r="AD25" s="106">
        <v>19.939271255060728</v>
      </c>
      <c r="AE25" s="107">
        <v>165.42131979695432</v>
      </c>
      <c r="AF25" s="106">
        <v>-0.23008264162464018</v>
      </c>
      <c r="AG25" s="106">
        <v>26400</v>
      </c>
      <c r="AH25" s="106">
        <v>19768.599024390245</v>
      </c>
      <c r="AI25" s="106">
        <v>20828.669268292684</v>
      </c>
      <c r="AJ25" s="106">
        <v>21623.039024390244</v>
      </c>
      <c r="AK25" s="104">
        <v>18412.980487804878</v>
      </c>
      <c r="AM25" s="118">
        <v>952</v>
      </c>
      <c r="AN25" s="118">
        <v>32588</v>
      </c>
      <c r="AO25" s="118">
        <v>161</v>
      </c>
      <c r="AP25" s="118">
        <f t="shared" si="0"/>
        <v>210</v>
      </c>
    </row>
    <row r="26" spans="1:42" ht="12.75">
      <c r="A26" s="106">
        <v>2018</v>
      </c>
      <c r="B26" s="106">
        <v>-172918</v>
      </c>
      <c r="C26" s="106">
        <v>0</v>
      </c>
      <c r="D26" s="106">
        <v>172918</v>
      </c>
      <c r="E26" s="106" t="s">
        <v>111</v>
      </c>
      <c r="F26" s="106" t="s">
        <v>112</v>
      </c>
      <c r="G26" s="106" t="s">
        <v>113</v>
      </c>
      <c r="H26" s="106">
        <v>4</v>
      </c>
      <c r="I26" s="106" t="s">
        <v>24</v>
      </c>
      <c r="J26" s="106">
        <v>5410</v>
      </c>
      <c r="K26" s="106">
        <v>13735</v>
      </c>
      <c r="L26" s="106">
        <v>11649</v>
      </c>
      <c r="M26" s="106">
        <v>0.41</v>
      </c>
      <c r="N26" s="106">
        <v>0.55000000000000004</v>
      </c>
      <c r="O26" s="106">
        <v>0.37</v>
      </c>
      <c r="P26" s="106">
        <v>1186</v>
      </c>
      <c r="Q26" s="106">
        <v>24.415584415584416</v>
      </c>
      <c r="R26" s="106">
        <v>4.4077651692769389E-3</v>
      </c>
      <c r="S26" s="106">
        <v>13473.246753246753</v>
      </c>
      <c r="T26" s="106">
        <v>15245.714285714286</v>
      </c>
      <c r="U26" s="106">
        <v>12797.194667340622</v>
      </c>
      <c r="V26" s="106">
        <v>0.43093860319866678</v>
      </c>
      <c r="W26" s="106">
        <v>136513.95348837209</v>
      </c>
      <c r="X26" s="110">
        <v>0.66672345645359143</v>
      </c>
      <c r="Y26" s="106">
        <v>790.98630136986299</v>
      </c>
      <c r="Z26" s="106">
        <v>26.36986301369863</v>
      </c>
      <c r="AA26" s="106">
        <v>32671.882937175989</v>
      </c>
      <c r="AB26" s="106">
        <v>426.63225615030126</v>
      </c>
      <c r="AC26" s="106">
        <v>3.0607357461548115</v>
      </c>
      <c r="AD26" s="106">
        <v>42.335766423357661</v>
      </c>
      <c r="AE26" s="107">
        <v>76.58090185676393</v>
      </c>
      <c r="AF26" s="106">
        <v>-0.14819689391945248</v>
      </c>
      <c r="AG26" s="106">
        <v>4816</v>
      </c>
      <c r="AH26" s="106">
        <v>13804.675324675325</v>
      </c>
      <c r="AI26" s="106">
        <v>13876.363636363636</v>
      </c>
      <c r="AJ26" s="106">
        <v>13567.272727272728</v>
      </c>
      <c r="AK26" s="104">
        <v>13228.051948051949</v>
      </c>
      <c r="AL26" s="118">
        <v>12104000</v>
      </c>
      <c r="AM26" s="118">
        <v>2794</v>
      </c>
      <c r="AN26" s="118">
        <v>57742</v>
      </c>
      <c r="AO26" s="118">
        <v>406</v>
      </c>
      <c r="AP26" s="118">
        <f t="shared" si="0"/>
        <v>594</v>
      </c>
    </row>
    <row r="27" spans="1:42" ht="12.75">
      <c r="A27" s="106">
        <v>2018</v>
      </c>
      <c r="B27" s="106">
        <v>-188641</v>
      </c>
      <c r="C27" s="106">
        <v>0</v>
      </c>
      <c r="D27" s="106">
        <v>188641</v>
      </c>
      <c r="E27" s="106" t="s">
        <v>114</v>
      </c>
      <c r="F27" s="106" t="s">
        <v>115</v>
      </c>
      <c r="G27" s="106" t="s">
        <v>69</v>
      </c>
      <c r="H27" s="106">
        <v>6</v>
      </c>
      <c r="I27" s="106" t="s">
        <v>3640</v>
      </c>
      <c r="J27" s="107">
        <v>28114</v>
      </c>
      <c r="K27" s="107">
        <v>20892</v>
      </c>
      <c r="L27" s="107">
        <v>14155</v>
      </c>
      <c r="M27" s="107">
        <v>0.5</v>
      </c>
      <c r="N27" s="107">
        <v>0.84</v>
      </c>
      <c r="O27" s="107">
        <v>1</v>
      </c>
      <c r="P27" s="107">
        <v>18071</v>
      </c>
      <c r="Q27" s="107">
        <v>11164.565652355148</v>
      </c>
      <c r="R27" s="107">
        <v>0.51368996051150517</v>
      </c>
      <c r="S27" s="107">
        <v>29164.019174656107</v>
      </c>
      <c r="T27" s="107">
        <v>29308.742392663611</v>
      </c>
      <c r="U27" s="107">
        <v>23653.907992519427</v>
      </c>
      <c r="V27" s="107">
        <v>0.44683901523052061</v>
      </c>
      <c r="W27" s="106">
        <v>65784.945054945056</v>
      </c>
      <c r="X27" s="110">
        <v>0.51084803514773425</v>
      </c>
      <c r="Y27" s="106">
        <v>430.2</v>
      </c>
      <c r="Z27" s="107">
        <v>15.151578947368421</v>
      </c>
      <c r="AA27" s="107">
        <v>76995.556681213158</v>
      </c>
      <c r="AB27" s="107">
        <v>833.08706267421428</v>
      </c>
      <c r="AC27" s="106">
        <v>1.2987762451544154</v>
      </c>
      <c r="AD27" s="106">
        <v>36.813186813186817</v>
      </c>
      <c r="AE27" s="107">
        <v>92.42198100407056</v>
      </c>
      <c r="AF27" s="107">
        <v>7.363568999994731E-2</v>
      </c>
      <c r="AG27" s="107">
        <v>27124</v>
      </c>
      <c r="AH27" s="107">
        <v>27175.17048770321</v>
      </c>
      <c r="AI27" s="107">
        <v>29622.160483534804</v>
      </c>
      <c r="AJ27" s="107">
        <v>35150.804501875784</v>
      </c>
      <c r="AK27" s="104">
        <v>25684.742809503961</v>
      </c>
      <c r="AM27" s="118">
        <v>1707</v>
      </c>
      <c r="AN27" s="118">
        <v>68115</v>
      </c>
      <c r="AO27" s="118">
        <v>395</v>
      </c>
      <c r="AP27" s="118">
        <f t="shared" si="0"/>
        <v>990</v>
      </c>
    </row>
    <row r="28" spans="1:42" ht="12.75">
      <c r="A28" s="106">
        <v>2018</v>
      </c>
      <c r="B28" s="106">
        <v>-156189</v>
      </c>
      <c r="C28" s="106">
        <v>0</v>
      </c>
      <c r="D28" s="106">
        <v>156189</v>
      </c>
      <c r="E28" s="106" t="s">
        <v>116</v>
      </c>
      <c r="F28" s="106" t="s">
        <v>117</v>
      </c>
      <c r="G28" s="106" t="s">
        <v>118</v>
      </c>
      <c r="H28" s="106">
        <v>7</v>
      </c>
      <c r="I28" s="106" t="s">
        <v>3641</v>
      </c>
      <c r="J28" s="106">
        <v>11550</v>
      </c>
      <c r="K28" s="106">
        <v>15120</v>
      </c>
      <c r="L28" s="106">
        <v>11324</v>
      </c>
      <c r="M28" s="106">
        <v>0.53</v>
      </c>
      <c r="N28" s="106">
        <v>0.6</v>
      </c>
      <c r="O28" s="106">
        <v>0.95</v>
      </c>
      <c r="P28" s="106">
        <v>3627</v>
      </c>
      <c r="Q28" s="106">
        <v>5638.899430740038</v>
      </c>
      <c r="R28" s="106">
        <v>0.45140359372977829</v>
      </c>
      <c r="S28" s="106">
        <v>32794.28273244782</v>
      </c>
      <c r="T28" s="106">
        <v>27832.159392789374</v>
      </c>
      <c r="U28" s="106">
        <v>19304.045540796964</v>
      </c>
      <c r="V28" s="106">
        <v>0.35500458458039685</v>
      </c>
      <c r="W28" s="106">
        <v>51094.638805970149</v>
      </c>
      <c r="X28" s="110">
        <v>0.38899262507952931</v>
      </c>
      <c r="Y28" s="106">
        <v>493.75</v>
      </c>
      <c r="Z28" s="106">
        <v>16.46875</v>
      </c>
      <c r="AA28" s="106">
        <v>118293.39534883721</v>
      </c>
      <c r="AB28" s="106">
        <v>643.87544303797472</v>
      </c>
      <c r="AC28" s="106">
        <v>0.84535573355645488</v>
      </c>
      <c r="AD28" s="106">
        <v>14.60101867572156</v>
      </c>
      <c r="AE28" s="106">
        <v>183.72093023255815</v>
      </c>
      <c r="AF28" s="106">
        <v>6.4482275584523713E-2</v>
      </c>
      <c r="AG28" s="106">
        <v>9600</v>
      </c>
      <c r="AH28" s="106">
        <v>16067.529411764706</v>
      </c>
      <c r="AI28" s="106">
        <v>31000.563567362427</v>
      </c>
      <c r="AJ28" s="106">
        <v>38531.998102466794</v>
      </c>
      <c r="AK28" s="104">
        <v>19724.26375711575</v>
      </c>
      <c r="AL28" s="118"/>
      <c r="AM28" s="118">
        <v>598</v>
      </c>
      <c r="AN28" s="118">
        <v>15800</v>
      </c>
      <c r="AO28" s="118">
        <v>86</v>
      </c>
      <c r="AP28" s="118">
        <f t="shared" si="0"/>
        <v>1950</v>
      </c>
    </row>
    <row r="29" spans="1:42" ht="12.75">
      <c r="A29" s="106">
        <v>2018</v>
      </c>
      <c r="B29" s="106">
        <v>-108807</v>
      </c>
      <c r="C29" s="106">
        <v>0</v>
      </c>
      <c r="D29" s="106">
        <v>108807</v>
      </c>
      <c r="E29" s="106" t="s">
        <v>119</v>
      </c>
      <c r="F29" s="106" t="s">
        <v>120</v>
      </c>
      <c r="G29" s="106" t="s">
        <v>121</v>
      </c>
      <c r="H29" s="106">
        <v>4</v>
      </c>
      <c r="I29" s="106" t="s">
        <v>24</v>
      </c>
      <c r="J29" s="106">
        <v>1350</v>
      </c>
      <c r="K29" s="106">
        <v>5315</v>
      </c>
      <c r="L29" s="106">
        <v>2402</v>
      </c>
      <c r="M29" s="106">
        <v>0.52</v>
      </c>
      <c r="N29" s="106">
        <v>0.01</v>
      </c>
      <c r="O29" s="106">
        <v>0.01</v>
      </c>
      <c r="P29" s="106">
        <v>431</v>
      </c>
      <c r="Q29" s="106">
        <v>307.14251604238171</v>
      </c>
      <c r="R29" s="106">
        <v>0.19012852434095584</v>
      </c>
      <c r="S29" s="106">
        <v>15707.588568870318</v>
      </c>
      <c r="T29" s="106">
        <v>16310.923891956425</v>
      </c>
      <c r="U29" s="106">
        <v>11005.211981013668</v>
      </c>
      <c r="V29" s="106">
        <v>0.1188804254929344</v>
      </c>
      <c r="W29" s="106">
        <v>101763.53311793215</v>
      </c>
      <c r="X29" s="110">
        <v>0.57632126792600824</v>
      </c>
      <c r="Y29" s="106">
        <v>581.58919961427205</v>
      </c>
      <c r="Z29" s="106">
        <v>19.385728061716492</v>
      </c>
      <c r="AA29" s="106">
        <v>28807.002142489295</v>
      </c>
      <c r="AB29" s="106">
        <v>366.82945086836486</v>
      </c>
      <c r="AC29" s="106">
        <v>3.4713782262161734</v>
      </c>
      <c r="AD29" s="106">
        <v>42.244224422442244</v>
      </c>
      <c r="AE29" s="106">
        <v>78.529687499999994</v>
      </c>
      <c r="AF29" s="106">
        <v>-1.7332390400453139E-2</v>
      </c>
      <c r="AG29" s="106">
        <v>1288</v>
      </c>
      <c r="AH29" s="106">
        <v>14844.515893150276</v>
      </c>
      <c r="AI29" s="106">
        <v>14891.42724966423</v>
      </c>
      <c r="AJ29" s="106">
        <v>15799.402178779286</v>
      </c>
      <c r="AK29" s="104">
        <v>12778.687061632592</v>
      </c>
      <c r="AL29" s="119">
        <v>66684496</v>
      </c>
      <c r="AM29" s="118">
        <v>11739</v>
      </c>
      <c r="AN29" s="118">
        <v>201036</v>
      </c>
      <c r="AO29" s="118">
        <v>1363</v>
      </c>
      <c r="AP29" s="118">
        <f t="shared" si="0"/>
        <v>62</v>
      </c>
    </row>
    <row r="30" spans="1:42" ht="12.75">
      <c r="A30" s="106">
        <v>2018</v>
      </c>
      <c r="B30" s="106">
        <v>-161688</v>
      </c>
      <c r="C30" s="106">
        <v>0</v>
      </c>
      <c r="D30" s="106">
        <v>161688</v>
      </c>
      <c r="E30" s="106" t="s">
        <v>122</v>
      </c>
      <c r="F30" s="106" t="s">
        <v>123</v>
      </c>
      <c r="G30" s="106" t="s">
        <v>124</v>
      </c>
      <c r="H30" s="106">
        <v>4</v>
      </c>
      <c r="I30" s="106" t="s">
        <v>24</v>
      </c>
      <c r="J30" s="106">
        <v>3940</v>
      </c>
      <c r="K30" s="106">
        <v>9509</v>
      </c>
      <c r="L30" s="106">
        <v>10098</v>
      </c>
      <c r="M30" s="106">
        <v>0.63</v>
      </c>
      <c r="N30" s="106">
        <v>0.56000000000000005</v>
      </c>
      <c r="O30" s="106">
        <v>0.37</v>
      </c>
      <c r="P30" s="106">
        <v>2198</v>
      </c>
      <c r="Q30" s="106">
        <v>1803.4319248826291</v>
      </c>
      <c r="R30" s="106">
        <v>0.25355742189678782</v>
      </c>
      <c r="S30" s="106">
        <v>19251.050469483569</v>
      </c>
      <c r="T30" s="106">
        <v>19586.595657276994</v>
      </c>
      <c r="U30" s="106">
        <v>17922.577888470241</v>
      </c>
      <c r="V30" s="106">
        <v>0.29622339417341731</v>
      </c>
      <c r="W30" s="106">
        <v>60370.203821656054</v>
      </c>
      <c r="X30" s="110">
        <v>0.66262914128269734</v>
      </c>
      <c r="Y30" s="106">
        <v>352.60689655172416</v>
      </c>
      <c r="Z30" s="106">
        <v>11.751724137931035</v>
      </c>
      <c r="AA30" s="106">
        <v>46768.870937141335</v>
      </c>
      <c r="AB30" s="106">
        <v>597.32578473543447</v>
      </c>
      <c r="AC30" s="106">
        <v>2.1381743453760684</v>
      </c>
      <c r="AD30" s="106">
        <v>37.507179781734635</v>
      </c>
      <c r="AE30" s="106">
        <v>78.297090352220522</v>
      </c>
      <c r="AF30" s="106">
        <v>2.5266854725145532E-2</v>
      </c>
      <c r="AG30" s="106">
        <v>3570</v>
      </c>
      <c r="AH30" s="106">
        <v>17811.953051643191</v>
      </c>
      <c r="AI30" s="106">
        <v>19118.38321596244</v>
      </c>
      <c r="AJ30" s="106">
        <v>19312.610328638497</v>
      </c>
      <c r="AK30" s="104">
        <v>18686.578051643191</v>
      </c>
      <c r="AL30" s="119">
        <v>15611846</v>
      </c>
      <c r="AM30" s="118">
        <v>2717</v>
      </c>
      <c r="AN30" s="118">
        <v>51128</v>
      </c>
      <c r="AO30" s="118">
        <v>506</v>
      </c>
      <c r="AP30" s="118">
        <f t="shared" si="0"/>
        <v>370</v>
      </c>
    </row>
    <row r="31" spans="1:42" ht="12.75">
      <c r="A31" s="106">
        <v>2018</v>
      </c>
      <c r="B31" s="106">
        <v>-210669</v>
      </c>
      <c r="C31" s="106">
        <v>0</v>
      </c>
      <c r="D31" s="106">
        <v>210669</v>
      </c>
      <c r="E31" s="106" t="s">
        <v>125</v>
      </c>
      <c r="F31" s="106" t="s">
        <v>126</v>
      </c>
      <c r="G31" s="106" t="s">
        <v>104</v>
      </c>
      <c r="H31" s="106">
        <v>7</v>
      </c>
      <c r="I31" s="106" t="s">
        <v>3641</v>
      </c>
      <c r="J31" s="106">
        <v>45970</v>
      </c>
      <c r="K31" s="106">
        <v>25880</v>
      </c>
      <c r="L31" s="106">
        <v>17206</v>
      </c>
      <c r="M31" s="106">
        <v>0.37</v>
      </c>
      <c r="N31" s="106">
        <v>0.74</v>
      </c>
      <c r="O31" s="106">
        <v>1</v>
      </c>
      <c r="P31" s="106">
        <v>32056</v>
      </c>
      <c r="Q31" s="106">
        <v>28648.979081929112</v>
      </c>
      <c r="R31" s="106">
        <v>0.61732305530263754</v>
      </c>
      <c r="S31" s="106">
        <v>46245.033701336433</v>
      </c>
      <c r="T31" s="106">
        <v>47726.804183614178</v>
      </c>
      <c r="U31" s="106">
        <v>39623.722984760716</v>
      </c>
      <c r="V31" s="106">
        <v>0.44820187855923904</v>
      </c>
      <c r="W31" s="106">
        <v>98126.703890489909</v>
      </c>
      <c r="X31" s="110">
        <v>0.55272893135842527</v>
      </c>
      <c r="Y31" s="106">
        <v>318.03345724907064</v>
      </c>
      <c r="Z31" s="106">
        <v>9.596654275092936</v>
      </c>
      <c r="AA31" s="106">
        <v>175753.67849683811</v>
      </c>
      <c r="AB31" s="106">
        <v>1195.6451810634567</v>
      </c>
      <c r="AC31" s="106">
        <v>0.56897813380218409</v>
      </c>
      <c r="AD31" s="106">
        <v>21.896162528216703</v>
      </c>
      <c r="AE31" s="106">
        <v>146.99484536082474</v>
      </c>
      <c r="AF31" s="106">
        <v>2.3553636586030217E-2</v>
      </c>
      <c r="AG31" s="106">
        <v>45470</v>
      </c>
      <c r="AH31" s="106">
        <v>37706.590935502616</v>
      </c>
      <c r="AI31" s="106">
        <v>46245.033701336433</v>
      </c>
      <c r="AJ31" s="106">
        <v>51991.181871005232</v>
      </c>
      <c r="AK31" s="104">
        <v>40730.018012783265</v>
      </c>
      <c r="AL31" s="118"/>
      <c r="AM31" s="118">
        <v>1802</v>
      </c>
      <c r="AN31" s="118">
        <v>57034</v>
      </c>
      <c r="AO31" s="118">
        <v>388</v>
      </c>
      <c r="AP31" s="118">
        <f t="shared" si="0"/>
        <v>500</v>
      </c>
    </row>
    <row r="32" spans="1:42" ht="12.75">
      <c r="A32" s="106">
        <v>2018</v>
      </c>
      <c r="B32" s="106">
        <v>-154642</v>
      </c>
      <c r="C32" s="106">
        <v>0</v>
      </c>
      <c r="D32" s="106">
        <v>154642</v>
      </c>
      <c r="E32" s="106" t="s">
        <v>127</v>
      </c>
      <c r="F32" s="106" t="s">
        <v>128</v>
      </c>
      <c r="G32" s="106" t="s">
        <v>129</v>
      </c>
      <c r="H32" s="106">
        <v>4</v>
      </c>
      <c r="I32" s="106" t="s">
        <v>24</v>
      </c>
      <c r="J32" s="106">
        <v>3584</v>
      </c>
      <c r="K32" s="106">
        <v>7851</v>
      </c>
      <c r="L32" s="106">
        <v>5637</v>
      </c>
      <c r="M32" s="106">
        <v>0.41</v>
      </c>
      <c r="N32" s="106">
        <v>0.28000000000000003</v>
      </c>
      <c r="O32" s="106">
        <v>0.65</v>
      </c>
      <c r="P32" s="106">
        <v>1962</v>
      </c>
      <c r="Q32" s="106">
        <v>340.85907335907336</v>
      </c>
      <c r="R32" s="106">
        <v>0.11935578363884228</v>
      </c>
      <c r="S32" s="106">
        <v>10000.449806949808</v>
      </c>
      <c r="T32" s="106">
        <v>8568.9388674388683</v>
      </c>
      <c r="U32" s="106">
        <v>6919.4749034749038</v>
      </c>
      <c r="V32" s="106">
        <v>0.36346177167310961</v>
      </c>
      <c r="W32" s="106">
        <v>44648.564102564102</v>
      </c>
      <c r="X32" s="110">
        <v>0.52306304286132366</v>
      </c>
      <c r="Y32" s="106">
        <v>644.40552995391693</v>
      </c>
      <c r="Z32" s="106">
        <v>21.483870967741932</v>
      </c>
      <c r="AA32" s="106">
        <v>29459.901369863015</v>
      </c>
      <c r="AB32" s="106">
        <v>230.68874967819445</v>
      </c>
      <c r="AC32" s="106">
        <v>3.3944444940436336</v>
      </c>
      <c r="AD32" s="106">
        <v>23.794002607561929</v>
      </c>
      <c r="AE32" s="106">
        <v>127.7041095890411</v>
      </c>
      <c r="AF32" s="106">
        <v>0.10896399839350066</v>
      </c>
      <c r="AG32" s="106">
        <v>1920</v>
      </c>
      <c r="AH32" s="106">
        <v>9273.9247104247097</v>
      </c>
      <c r="AI32" s="106">
        <v>9411.5135135135133</v>
      </c>
      <c r="AJ32" s="106">
        <v>10107.747104247104</v>
      </c>
      <c r="AK32" s="104">
        <v>7535.9826254826257</v>
      </c>
      <c r="AL32" s="118">
        <v>8348428</v>
      </c>
      <c r="AM32" s="118">
        <v>2556</v>
      </c>
      <c r="AN32" s="118">
        <v>46612</v>
      </c>
      <c r="AO32" s="118">
        <v>230</v>
      </c>
      <c r="AP32" s="118">
        <f t="shared" si="0"/>
        <v>1664</v>
      </c>
    </row>
    <row r="33" spans="1:42" ht="12.75">
      <c r="A33" s="106">
        <v>2018</v>
      </c>
      <c r="B33" s="106">
        <v>-217624</v>
      </c>
      <c r="C33" s="106">
        <v>0</v>
      </c>
      <c r="D33" s="106">
        <v>217624</v>
      </c>
      <c r="E33" s="106" t="s">
        <v>130</v>
      </c>
      <c r="F33" s="106" t="s">
        <v>131</v>
      </c>
      <c r="G33" s="106" t="s">
        <v>79</v>
      </c>
      <c r="H33" s="106">
        <v>7</v>
      </c>
      <c r="I33" s="106" t="s">
        <v>3641</v>
      </c>
      <c r="J33" s="106">
        <v>13140</v>
      </c>
      <c r="K33" s="106">
        <v>14790</v>
      </c>
      <c r="L33" s="106">
        <v>14106</v>
      </c>
      <c r="M33" s="106">
        <v>0.9</v>
      </c>
      <c r="N33" s="106">
        <v>0.93</v>
      </c>
      <c r="O33" s="106">
        <v>0.53</v>
      </c>
      <c r="P33" s="106">
        <v>4039</v>
      </c>
      <c r="Q33" s="106">
        <v>1589.4070945945946</v>
      </c>
      <c r="R33" s="106">
        <v>0.12860546170247664</v>
      </c>
      <c r="S33" s="106">
        <v>28299.68412162162</v>
      </c>
      <c r="T33" s="106">
        <v>26156.89527027027</v>
      </c>
      <c r="U33" s="106">
        <v>21123.72481919542</v>
      </c>
      <c r="V33" s="106">
        <v>0.50982375416114623</v>
      </c>
      <c r="W33" s="106">
        <v>44041.777126099703</v>
      </c>
      <c r="X33" s="110">
        <v>0.3232883531175762</v>
      </c>
      <c r="Y33" s="106">
        <v>484.66363636363639</v>
      </c>
      <c r="Z33" s="106">
        <v>16.145454545454548</v>
      </c>
      <c r="AA33" s="106">
        <v>211953.30666040152</v>
      </c>
      <c r="AB33" s="106">
        <v>703.68831765031177</v>
      </c>
      <c r="AC33" s="106">
        <v>0.47180202836006346</v>
      </c>
      <c r="AD33" s="106">
        <v>10.278745644599303</v>
      </c>
      <c r="AE33" s="106">
        <v>301.20338983050846</v>
      </c>
      <c r="AF33" s="106">
        <v>7.6794132492075964E-2</v>
      </c>
      <c r="AG33" s="106">
        <v>12740</v>
      </c>
      <c r="AH33" s="106">
        <v>23273.657094594593</v>
      </c>
      <c r="AI33" s="106">
        <v>28299.68412162162</v>
      </c>
      <c r="AJ33" s="106">
        <v>28333.75337837838</v>
      </c>
      <c r="AK33" s="104">
        <v>22967.569256756757</v>
      </c>
      <c r="AM33" s="118">
        <v>590</v>
      </c>
      <c r="AN33" s="118">
        <v>17771</v>
      </c>
      <c r="AO33" s="118">
        <v>59</v>
      </c>
      <c r="AP33" s="118">
        <f t="shared" si="0"/>
        <v>400</v>
      </c>
    </row>
    <row r="34" spans="1:42" ht="12.75">
      <c r="A34" s="106">
        <v>2018</v>
      </c>
      <c r="B34" s="106">
        <v>-168591</v>
      </c>
      <c r="C34" s="106">
        <v>0</v>
      </c>
      <c r="D34" s="106">
        <v>168591</v>
      </c>
      <c r="E34" s="106" t="s">
        <v>132</v>
      </c>
      <c r="F34" s="106" t="s">
        <v>133</v>
      </c>
      <c r="G34" s="106" t="s">
        <v>74</v>
      </c>
      <c r="H34" s="106">
        <v>7</v>
      </c>
      <c r="I34" s="106" t="s">
        <v>3641</v>
      </c>
      <c r="J34" s="106">
        <v>38858</v>
      </c>
      <c r="K34" s="106">
        <v>22830</v>
      </c>
      <c r="L34" s="106">
        <v>18192</v>
      </c>
      <c r="M34" s="106">
        <v>0.34</v>
      </c>
      <c r="N34" s="106">
        <v>0.77</v>
      </c>
      <c r="O34" s="106">
        <v>1</v>
      </c>
      <c r="P34" s="106">
        <v>26578</v>
      </c>
      <c r="Q34" s="106">
        <v>20230.342693044033</v>
      </c>
      <c r="R34" s="106">
        <v>0.59996856410046773</v>
      </c>
      <c r="S34" s="106">
        <v>29317.24122527122</v>
      </c>
      <c r="T34" s="106">
        <v>32353.403956604976</v>
      </c>
      <c r="U34" s="106">
        <v>27618.586470963626</v>
      </c>
      <c r="V34" s="106">
        <v>0.48839073600930721</v>
      </c>
      <c r="W34" s="106">
        <v>86194.501519756843</v>
      </c>
      <c r="X34" s="110">
        <v>0.55935365932365011</v>
      </c>
      <c r="Y34" s="106">
        <v>396.11797752808985</v>
      </c>
      <c r="Z34" s="106">
        <v>13.20505617977528</v>
      </c>
      <c r="AA34" s="106">
        <v>146210.55743243243</v>
      </c>
      <c r="AB34" s="106">
        <v>920.69788963111091</v>
      </c>
      <c r="AC34" s="106">
        <v>0.68394513881948982</v>
      </c>
      <c r="AD34" s="106">
        <v>21.112696148359486</v>
      </c>
      <c r="AE34" s="106">
        <v>158.80405405405406</v>
      </c>
      <c r="AF34" s="106">
        <v>1.9947966948128386E-2</v>
      </c>
      <c r="AG34" s="106">
        <v>38438</v>
      </c>
      <c r="AH34" s="106">
        <v>24810.6260370134</v>
      </c>
      <c r="AI34" s="106">
        <v>29317.24122527122</v>
      </c>
      <c r="AJ34" s="106">
        <v>34471.045947670711</v>
      </c>
      <c r="AK34" s="104">
        <v>27618.586470963626</v>
      </c>
      <c r="AL34" s="118"/>
      <c r="AM34" s="118">
        <v>1426</v>
      </c>
      <c r="AN34" s="118">
        <v>47006</v>
      </c>
      <c r="AO34" s="118">
        <v>296</v>
      </c>
      <c r="AP34" s="118">
        <f t="shared" si="0"/>
        <v>420</v>
      </c>
    </row>
    <row r="35" spans="1:42" ht="12.75">
      <c r="A35" s="106">
        <v>2018</v>
      </c>
      <c r="B35" s="106">
        <v>-168607</v>
      </c>
      <c r="C35" s="106">
        <v>0</v>
      </c>
      <c r="D35" s="106">
        <v>168607</v>
      </c>
      <c r="E35" s="106" t="s">
        <v>134</v>
      </c>
      <c r="F35" s="106" t="s">
        <v>135</v>
      </c>
      <c r="G35" s="106" t="s">
        <v>74</v>
      </c>
      <c r="H35" s="106">
        <v>4</v>
      </c>
      <c r="I35" s="106" t="s">
        <v>24</v>
      </c>
      <c r="J35" s="106">
        <v>5988</v>
      </c>
      <c r="K35" s="106">
        <v>3183</v>
      </c>
      <c r="L35" s="106">
        <v>1049</v>
      </c>
      <c r="M35" s="106">
        <v>0.63</v>
      </c>
      <c r="N35" s="106">
        <v>0.34</v>
      </c>
      <c r="O35" s="106">
        <v>0.28000000000000003</v>
      </c>
      <c r="P35" s="106">
        <v>1668</v>
      </c>
      <c r="Q35" s="106">
        <v>390.98500000000001</v>
      </c>
      <c r="R35" s="106">
        <v>6.086939464387936E-2</v>
      </c>
      <c r="S35" s="106">
        <v>18579.937999999998</v>
      </c>
      <c r="T35" s="106">
        <v>18190.042000000001</v>
      </c>
      <c r="U35" s="106">
        <v>13016.416449783434</v>
      </c>
      <c r="V35" s="106">
        <v>0.46344230174814099</v>
      </c>
      <c r="W35" s="106">
        <v>93240.415492957749</v>
      </c>
      <c r="X35" s="110">
        <v>0.72787841831261302</v>
      </c>
      <c r="Y35" s="106">
        <v>400.06666666666666</v>
      </c>
      <c r="Z35" s="106">
        <v>13.333333333333334</v>
      </c>
      <c r="AA35" s="106">
        <v>33290.067646504947</v>
      </c>
      <c r="AB35" s="106">
        <v>433.80824695162249</v>
      </c>
      <c r="AC35" s="106">
        <v>3.0038989725663354</v>
      </c>
      <c r="AD35" s="106">
        <v>36.95652173913043</v>
      </c>
      <c r="AE35" s="106">
        <v>76.739130434782609</v>
      </c>
      <c r="AF35" s="106">
        <v>-1.1641987858919702</v>
      </c>
      <c r="AG35" s="106">
        <v>5448</v>
      </c>
      <c r="AH35" s="106">
        <v>17851.835999999999</v>
      </c>
      <c r="AI35" s="106">
        <v>18111.169999999998</v>
      </c>
      <c r="AJ35" s="106">
        <v>18633.241999999998</v>
      </c>
      <c r="AK35" s="104">
        <v>14490.502</v>
      </c>
      <c r="AL35" s="119">
        <v>8400801</v>
      </c>
      <c r="AM35" s="118">
        <v>1611</v>
      </c>
      <c r="AN35" s="118">
        <v>30005</v>
      </c>
      <c r="AO35" s="118">
        <v>264</v>
      </c>
      <c r="AP35" s="118">
        <f t="shared" si="0"/>
        <v>540</v>
      </c>
    </row>
    <row r="36" spans="1:42" ht="12.75">
      <c r="A36" s="106">
        <v>2018</v>
      </c>
      <c r="B36" s="106">
        <v>-137801</v>
      </c>
      <c r="C36" s="106">
        <v>0</v>
      </c>
      <c r="D36" s="106">
        <v>137801</v>
      </c>
      <c r="E36" s="106" t="s">
        <v>4041</v>
      </c>
      <c r="F36" s="106" t="s">
        <v>1194</v>
      </c>
      <c r="G36" s="106" t="s">
        <v>258</v>
      </c>
      <c r="H36" s="106">
        <v>7</v>
      </c>
      <c r="I36" s="106" t="s">
        <v>3641</v>
      </c>
      <c r="J36" s="106">
        <v>11070</v>
      </c>
      <c r="K36" s="106">
        <v>20374</v>
      </c>
      <c r="L36" s="106">
        <v>20646</v>
      </c>
      <c r="M36" s="106">
        <v>0.88</v>
      </c>
      <c r="N36" s="106">
        <v>1</v>
      </c>
      <c r="O36" s="106">
        <v>0.25</v>
      </c>
      <c r="P36" s="106">
        <v>3271</v>
      </c>
      <c r="Q36" s="106">
        <v>2381.7055730809675</v>
      </c>
      <c r="R36" s="106">
        <v>0.13624524555642389</v>
      </c>
      <c r="S36" s="106">
        <v>17273.168243953733</v>
      </c>
      <c r="T36" s="106">
        <v>18033.300736067296</v>
      </c>
      <c r="U36" s="106">
        <v>17528.104100946373</v>
      </c>
      <c r="V36" s="106">
        <v>0.86143442644340973</v>
      </c>
      <c r="W36" s="106">
        <v>90759.831683168319</v>
      </c>
      <c r="X36" s="110">
        <v>0.17817142709868045</v>
      </c>
      <c r="Y36" s="106">
        <v>3279.5769230769233</v>
      </c>
      <c r="Z36" s="106">
        <v>109.73076923076924</v>
      </c>
      <c r="AA36" s="106">
        <v>86369.051813471509</v>
      </c>
      <c r="AB36" s="106">
        <v>586.46965485698206</v>
      </c>
      <c r="AC36" s="106">
        <v>1.1578221353635656</v>
      </c>
      <c r="AD36" s="106">
        <v>31.129032258064516</v>
      </c>
      <c r="AE36" s="106">
        <v>147.26943005181346</v>
      </c>
      <c r="AF36" s="106">
        <v>0.22956516105757627</v>
      </c>
      <c r="AG36" s="106">
        <v>10920</v>
      </c>
      <c r="AH36" s="106">
        <v>17225.31545741325</v>
      </c>
      <c r="AI36" s="106">
        <v>17273.168243953733</v>
      </c>
      <c r="AJ36" s="106">
        <v>17273.168243953733</v>
      </c>
      <c r="AK36" s="104">
        <v>17528.104100946373</v>
      </c>
      <c r="AM36" s="118">
        <v>1188</v>
      </c>
      <c r="AN36" s="118">
        <v>28423</v>
      </c>
      <c r="AO36" s="118">
        <v>29</v>
      </c>
      <c r="AP36" s="118">
        <f t="shared" si="0"/>
        <v>150</v>
      </c>
    </row>
    <row r="37" spans="1:42" ht="12.75">
      <c r="A37" s="106">
        <v>2018</v>
      </c>
      <c r="B37" s="106">
        <v>-210775</v>
      </c>
      <c r="C37" s="106">
        <v>0</v>
      </c>
      <c r="D37" s="106">
        <v>210775</v>
      </c>
      <c r="E37" s="106" t="s">
        <v>136</v>
      </c>
      <c r="F37" s="106" t="s">
        <v>103</v>
      </c>
      <c r="G37" s="106" t="s">
        <v>104</v>
      </c>
      <c r="H37" s="106">
        <v>6</v>
      </c>
      <c r="I37" s="106" t="s">
        <v>3640</v>
      </c>
      <c r="J37" s="106">
        <v>33640</v>
      </c>
      <c r="K37" s="106">
        <v>26891</v>
      </c>
      <c r="L37" s="106">
        <v>21608</v>
      </c>
      <c r="M37" s="106">
        <v>0.39</v>
      </c>
      <c r="N37" s="106">
        <v>0.97</v>
      </c>
      <c r="O37" s="106">
        <v>0.99</v>
      </c>
      <c r="P37" s="106">
        <v>16445</v>
      </c>
      <c r="Q37" s="106">
        <v>7852.6316397228638</v>
      </c>
      <c r="R37" s="106">
        <v>0.30657469137050108</v>
      </c>
      <c r="S37" s="106">
        <v>23844.128175519629</v>
      </c>
      <c r="T37" s="106">
        <v>22371.16050808314</v>
      </c>
      <c r="U37" s="106">
        <v>17252.530023094689</v>
      </c>
      <c r="V37" s="106">
        <v>1.0294987471909209</v>
      </c>
      <c r="W37" s="106">
        <v>76861.951282051275</v>
      </c>
      <c r="X37" s="110">
        <v>0.51576082528859335</v>
      </c>
      <c r="Y37" s="106">
        <v>436.17469879518075</v>
      </c>
      <c r="Z37" s="106">
        <v>15.650602409638553</v>
      </c>
      <c r="AA37" s="106">
        <v>69599.492236024846</v>
      </c>
      <c r="AB37" s="106">
        <v>619.04665423658582</v>
      </c>
      <c r="AC37" s="106">
        <v>1.436792091253789</v>
      </c>
      <c r="AD37" s="106">
        <v>28.407587119541244</v>
      </c>
      <c r="AE37" s="106">
        <v>112.43012422360249</v>
      </c>
      <c r="AF37" s="106">
        <v>8.9637729750863052E-2</v>
      </c>
      <c r="AG37" s="106">
        <v>32840</v>
      </c>
      <c r="AH37" s="106">
        <v>22419.419938414165</v>
      </c>
      <c r="AI37" s="106">
        <v>24349.576212471133</v>
      </c>
      <c r="AJ37" s="106">
        <v>24824.142802155504</v>
      </c>
      <c r="AK37" s="104">
        <v>17252.530023094689</v>
      </c>
      <c r="AL37" s="118"/>
      <c r="AM37" s="118">
        <v>2251</v>
      </c>
      <c r="AN37" s="118">
        <v>72405</v>
      </c>
      <c r="AO37" s="118">
        <v>437</v>
      </c>
      <c r="AP37" s="118">
        <f t="shared" si="0"/>
        <v>800</v>
      </c>
    </row>
    <row r="38" spans="1:42" ht="12.75">
      <c r="A38" s="106">
        <v>2018</v>
      </c>
      <c r="B38" s="106">
        <v>-238193</v>
      </c>
      <c r="C38" s="106">
        <v>0</v>
      </c>
      <c r="D38" s="106">
        <v>238193</v>
      </c>
      <c r="E38" s="106" t="s">
        <v>137</v>
      </c>
      <c r="F38" s="106" t="s">
        <v>138</v>
      </c>
      <c r="G38" s="106" t="s">
        <v>139</v>
      </c>
      <c r="H38" s="106">
        <v>6</v>
      </c>
      <c r="I38" s="106" t="s">
        <v>3640</v>
      </c>
      <c r="J38" s="106">
        <v>28277</v>
      </c>
      <c r="K38" s="106">
        <v>18284</v>
      </c>
      <c r="L38" s="106">
        <v>17124</v>
      </c>
      <c r="M38" s="106">
        <v>0.69</v>
      </c>
      <c r="N38" s="106">
        <v>0.82</v>
      </c>
      <c r="O38" s="106">
        <v>0.99</v>
      </c>
      <c r="P38" s="106">
        <v>13684</v>
      </c>
      <c r="Q38" s="106">
        <v>8085.7566462167688</v>
      </c>
      <c r="R38" s="106">
        <v>0.28657359612143729</v>
      </c>
      <c r="S38" s="106">
        <v>24401.960463531017</v>
      </c>
      <c r="T38" s="106">
        <v>26950.209952283571</v>
      </c>
      <c r="U38" s="106">
        <v>24314.429712457153</v>
      </c>
      <c r="V38" s="106">
        <v>0.82788417969879147</v>
      </c>
      <c r="W38" s="106">
        <v>65938.063850687628</v>
      </c>
      <c r="X38" s="110">
        <v>0.5659400740965983</v>
      </c>
      <c r="Y38" s="106">
        <v>325.27792207792203</v>
      </c>
      <c r="Z38" s="106">
        <v>11.431168831168831</v>
      </c>
      <c r="AA38" s="106">
        <v>65448.198877384668</v>
      </c>
      <c r="AB38" s="106">
        <v>854.4765328711826</v>
      </c>
      <c r="AC38" s="106">
        <v>1.5279259279135722</v>
      </c>
      <c r="AD38" s="106">
        <v>33.787972721636699</v>
      </c>
      <c r="AE38" s="106">
        <v>76.59449541284404</v>
      </c>
      <c r="AF38" s="106">
        <v>-1.3501538300852208E-2</v>
      </c>
      <c r="AG38" s="106">
        <v>27552</v>
      </c>
      <c r="AH38" s="106">
        <v>22742.567143830947</v>
      </c>
      <c r="AI38" s="106">
        <v>25048.435582822087</v>
      </c>
      <c r="AJ38" s="106">
        <v>26174.146557600547</v>
      </c>
      <c r="AK38" s="104">
        <v>24575.645535105657</v>
      </c>
      <c r="AM38" s="118">
        <v>1312</v>
      </c>
      <c r="AN38" s="118">
        <v>41744</v>
      </c>
      <c r="AO38" s="118">
        <v>303</v>
      </c>
      <c r="AP38" s="118">
        <f t="shared" si="0"/>
        <v>725</v>
      </c>
    </row>
    <row r="39" spans="1:42" ht="12.75">
      <c r="A39" s="106">
        <v>2018</v>
      </c>
      <c r="B39" s="106">
        <v>-222567</v>
      </c>
      <c r="C39" s="106">
        <v>0</v>
      </c>
      <c r="D39" s="106">
        <v>222567</v>
      </c>
      <c r="E39" s="106" t="s">
        <v>140</v>
      </c>
      <c r="F39" s="106" t="s">
        <v>141</v>
      </c>
      <c r="G39" s="106" t="s">
        <v>60</v>
      </c>
      <c r="H39" s="106">
        <v>4</v>
      </c>
      <c r="I39" s="106" t="s">
        <v>24</v>
      </c>
      <c r="J39" s="106">
        <v>1622</v>
      </c>
      <c r="K39" s="106">
        <v>7223</v>
      </c>
      <c r="L39" s="106">
        <v>6900</v>
      </c>
      <c r="M39" s="106">
        <v>0.35</v>
      </c>
      <c r="N39" s="106">
        <v>0.11</v>
      </c>
      <c r="O39" s="106">
        <v>0.08</v>
      </c>
      <c r="P39" s="106">
        <v>1551</v>
      </c>
      <c r="Q39" s="106">
        <v>128.11397904421159</v>
      </c>
      <c r="R39" s="106">
        <v>4.1520743724140122E-2</v>
      </c>
      <c r="S39" s="106">
        <v>11886.63071811909</v>
      </c>
      <c r="T39" s="106">
        <v>11679.317914643496</v>
      </c>
      <c r="U39" s="106">
        <v>8613.8482511401344</v>
      </c>
      <c r="V39" s="106">
        <v>0.3433340666064722</v>
      </c>
      <c r="W39" s="106">
        <v>71637.789227166271</v>
      </c>
      <c r="X39" s="110">
        <v>0.66933374639350052</v>
      </c>
      <c r="Y39" s="106">
        <v>558.16164817749609</v>
      </c>
      <c r="Z39" s="106">
        <v>18.603803486529319</v>
      </c>
      <c r="AA39" s="106">
        <v>26169.245502105081</v>
      </c>
      <c r="AB39" s="106">
        <v>287.1038177743726</v>
      </c>
      <c r="AC39" s="106">
        <v>3.8212794477378376</v>
      </c>
      <c r="AD39" s="106">
        <v>44.722222222222221</v>
      </c>
      <c r="AE39" s="106">
        <v>91.149068322981364</v>
      </c>
      <c r="AF39" s="106">
        <v>5.6316211202343529E-2</v>
      </c>
      <c r="AG39" s="106">
        <v>1104</v>
      </c>
      <c r="AH39" s="106">
        <v>11594.409660107334</v>
      </c>
      <c r="AI39" s="106">
        <v>11594.409660107334</v>
      </c>
      <c r="AJ39" s="106">
        <v>11943.438282647585</v>
      </c>
      <c r="AK39" s="104">
        <v>9075.3871709685664</v>
      </c>
      <c r="AL39" s="119">
        <v>28013503</v>
      </c>
      <c r="AM39" s="118">
        <v>5785</v>
      </c>
      <c r="AN39" s="118">
        <v>117400</v>
      </c>
      <c r="AO39" s="118">
        <v>841</v>
      </c>
      <c r="AP39" s="118">
        <f t="shared" si="0"/>
        <v>518</v>
      </c>
    </row>
    <row r="40" spans="1:42" ht="12.75">
      <c r="A40" s="106">
        <v>2018</v>
      </c>
      <c r="B40" s="106">
        <v>-222576</v>
      </c>
      <c r="C40" s="106">
        <v>0</v>
      </c>
      <c r="D40" s="106">
        <v>222576</v>
      </c>
      <c r="E40" s="106" t="s">
        <v>142</v>
      </c>
      <c r="F40" s="106" t="s">
        <v>143</v>
      </c>
      <c r="G40" s="106" t="s">
        <v>60</v>
      </c>
      <c r="H40" s="106">
        <v>4</v>
      </c>
      <c r="I40" s="106" t="s">
        <v>24</v>
      </c>
      <c r="J40" s="106">
        <v>2112</v>
      </c>
      <c r="K40" s="106">
        <v>5670</v>
      </c>
      <c r="L40" s="106">
        <v>4802</v>
      </c>
      <c r="M40" s="106">
        <v>0.57999999999999996</v>
      </c>
      <c r="N40" s="106">
        <v>0.13</v>
      </c>
      <c r="O40" s="106">
        <v>0.18</v>
      </c>
      <c r="P40" s="106">
        <v>674</v>
      </c>
      <c r="Q40" s="106">
        <v>529.93018617021278</v>
      </c>
      <c r="R40" s="106">
        <v>0.12858435245001418</v>
      </c>
      <c r="S40" s="106">
        <v>16343.720412234043</v>
      </c>
      <c r="T40" s="106">
        <v>15960.574301861701</v>
      </c>
      <c r="U40" s="106">
        <v>11952.880783824201</v>
      </c>
      <c r="V40" s="106">
        <v>0.30045767534102014</v>
      </c>
      <c r="W40" s="106">
        <v>81683.032396379233</v>
      </c>
      <c r="X40" s="110">
        <v>0.59520516890361541</v>
      </c>
      <c r="Y40" s="106">
        <v>663.50367647058829</v>
      </c>
      <c r="Z40" s="106">
        <v>22.117647058823529</v>
      </c>
      <c r="AA40" s="106">
        <v>32925.151463134796</v>
      </c>
      <c r="AB40" s="106">
        <v>398.44481332657176</v>
      </c>
      <c r="AC40" s="106">
        <v>3.0371917988582893</v>
      </c>
      <c r="AD40" s="106">
        <v>40.280339358170423</v>
      </c>
      <c r="AE40" s="106">
        <v>82.634157509157504</v>
      </c>
      <c r="AF40" s="106">
        <v>3.7336488907209489E-2</v>
      </c>
      <c r="AG40" s="106">
        <v>1128</v>
      </c>
      <c r="AH40" s="106">
        <v>15081.931515957447</v>
      </c>
      <c r="AI40" s="106">
        <v>15121.028756648937</v>
      </c>
      <c r="AJ40" s="106">
        <v>16498.517453457447</v>
      </c>
      <c r="AK40" s="104">
        <v>14509.8828125</v>
      </c>
      <c r="AL40" s="118">
        <v>47300936</v>
      </c>
      <c r="AM40" s="118">
        <v>10259</v>
      </c>
      <c r="AN40" s="118">
        <v>180473</v>
      </c>
      <c r="AO40" s="118">
        <v>1238</v>
      </c>
      <c r="AP40" s="118">
        <f t="shared" si="0"/>
        <v>984</v>
      </c>
    </row>
    <row r="41" spans="1:42" ht="12.75">
      <c r="A41" s="106">
        <v>2018</v>
      </c>
      <c r="B41" s="106">
        <v>-222628</v>
      </c>
      <c r="C41" s="106">
        <v>0</v>
      </c>
      <c r="D41" s="106">
        <v>222628</v>
      </c>
      <c r="E41" s="106" t="s">
        <v>144</v>
      </c>
      <c r="F41" s="106" t="s">
        <v>145</v>
      </c>
      <c r="G41" s="106" t="s">
        <v>60</v>
      </c>
      <c r="H41" s="106">
        <v>6</v>
      </c>
      <c r="I41" s="106" t="s">
        <v>3640</v>
      </c>
      <c r="J41" s="106">
        <v>7960</v>
      </c>
      <c r="K41" s="106"/>
      <c r="L41" s="106"/>
      <c r="M41" s="106"/>
      <c r="N41" s="106"/>
      <c r="O41" s="106"/>
      <c r="P41" s="106"/>
      <c r="Q41" s="106"/>
      <c r="R41" s="106"/>
      <c r="S41" s="106">
        <v>5769.6399639963993</v>
      </c>
      <c r="T41" s="106">
        <v>5803.9801980198017</v>
      </c>
      <c r="U41" s="106">
        <v>5086.3730489138625</v>
      </c>
      <c r="V41" s="106">
        <v>1.1090169622150081</v>
      </c>
      <c r="W41" s="106">
        <v>76874.034482758623</v>
      </c>
      <c r="X41" s="110">
        <v>0.69146099498435387</v>
      </c>
      <c r="Y41" s="106">
        <v>1001.8928571428571</v>
      </c>
      <c r="Z41" s="106">
        <v>39.678571428571431</v>
      </c>
      <c r="AA41" s="106">
        <v>12698.787544591687</v>
      </c>
      <c r="AB41" s="106">
        <v>201.43872161064061</v>
      </c>
      <c r="AC41" s="106">
        <v>7.8747675436612221</v>
      </c>
      <c r="AD41" s="106">
        <v>80.180180180180187</v>
      </c>
      <c r="AE41" s="106">
        <v>63.040449438202245</v>
      </c>
      <c r="AF41" s="106">
        <v>7.399839133012541E-2</v>
      </c>
      <c r="AG41" s="106">
        <v>7950</v>
      </c>
      <c r="AH41" s="106">
        <v>5769.6399639963993</v>
      </c>
      <c r="AI41" s="106">
        <v>5769.6399639963993</v>
      </c>
      <c r="AJ41" s="106">
        <v>8796.4059405940588</v>
      </c>
      <c r="AK41" s="104">
        <v>5117.7560756075609</v>
      </c>
      <c r="AL41" s="118"/>
      <c r="AM41" s="118">
        <v>217</v>
      </c>
      <c r="AN41" s="118">
        <v>28053</v>
      </c>
      <c r="AO41" s="118">
        <v>50</v>
      </c>
      <c r="AP41" s="118">
        <f t="shared" si="0"/>
        <v>10</v>
      </c>
    </row>
    <row r="42" spans="1:42" ht="12.75">
      <c r="A42" s="106">
        <v>2018</v>
      </c>
      <c r="B42" s="106">
        <v>-164447</v>
      </c>
      <c r="C42" s="106">
        <v>0</v>
      </c>
      <c r="D42" s="106">
        <v>164447</v>
      </c>
      <c r="E42" s="106" t="s">
        <v>148</v>
      </c>
      <c r="F42" s="106" t="s">
        <v>149</v>
      </c>
      <c r="G42" s="106" t="s">
        <v>150</v>
      </c>
      <c r="H42" s="106">
        <v>5</v>
      </c>
      <c r="I42" s="106" t="s">
        <v>3639</v>
      </c>
      <c r="J42" s="106">
        <v>34470</v>
      </c>
      <c r="K42" s="106">
        <v>21201</v>
      </c>
      <c r="L42" s="106">
        <v>20097</v>
      </c>
      <c r="M42" s="106">
        <v>0.54</v>
      </c>
      <c r="N42" s="106">
        <v>0.85</v>
      </c>
      <c r="O42" s="106">
        <v>1</v>
      </c>
      <c r="P42" s="106">
        <v>23519</v>
      </c>
      <c r="Q42" s="106">
        <v>10781.374558303887</v>
      </c>
      <c r="R42" s="106">
        <v>0.40197503257830441</v>
      </c>
      <c r="S42" s="106">
        <v>21478.438947781702</v>
      </c>
      <c r="T42" s="106">
        <v>20847.103258735766</v>
      </c>
      <c r="U42" s="106">
        <v>19636.380447585394</v>
      </c>
      <c r="V42" s="106">
        <v>0.81683235773378904</v>
      </c>
      <c r="W42" s="106">
        <v>61787.648671096336</v>
      </c>
      <c r="X42" s="110">
        <v>0.46701651442743936</v>
      </c>
      <c r="Y42" s="106">
        <v>354.7960288808664</v>
      </c>
      <c r="Z42" s="106">
        <v>13.792418772563176</v>
      </c>
      <c r="AA42" s="106">
        <v>47768.730659025787</v>
      </c>
      <c r="AB42" s="106">
        <v>763.34896747508355</v>
      </c>
      <c r="AC42" s="106">
        <v>2.0934196622012449</v>
      </c>
      <c r="AD42" s="106">
        <v>44.762719110731084</v>
      </c>
      <c r="AE42" s="106">
        <v>62.57784145176695</v>
      </c>
      <c r="AF42" s="106">
        <v>6.3109619674234382E-2</v>
      </c>
      <c r="AG42" s="106">
        <v>34470</v>
      </c>
      <c r="AH42" s="106">
        <v>21069.475461327052</v>
      </c>
      <c r="AI42" s="106">
        <v>21478.438947781702</v>
      </c>
      <c r="AJ42" s="106">
        <v>21949.872006281901</v>
      </c>
      <c r="AK42" s="104">
        <v>19636.380447585394</v>
      </c>
      <c r="AM42" s="118">
        <v>1372</v>
      </c>
      <c r="AN42" s="118">
        <v>65519</v>
      </c>
      <c r="AO42" s="118">
        <v>257</v>
      </c>
      <c r="AP42" s="118">
        <f t="shared" si="0"/>
        <v>0</v>
      </c>
    </row>
    <row r="43" spans="1:42" ht="12.75">
      <c r="A43" s="106">
        <v>2018</v>
      </c>
      <c r="B43" s="106">
        <v>-116846</v>
      </c>
      <c r="C43" s="106">
        <v>0</v>
      </c>
      <c r="D43" s="106">
        <v>116846</v>
      </c>
      <c r="E43" s="106" t="s">
        <v>151</v>
      </c>
      <c r="F43" s="106" t="s">
        <v>152</v>
      </c>
      <c r="G43" s="106" t="s">
        <v>121</v>
      </c>
      <c r="H43" s="106">
        <v>7</v>
      </c>
      <c r="I43" s="106" t="s">
        <v>3641</v>
      </c>
      <c r="J43" s="106">
        <v>30938</v>
      </c>
      <c r="K43" s="106">
        <v>24954</v>
      </c>
      <c r="L43" s="106">
        <v>37622</v>
      </c>
      <c r="M43" s="106">
        <v>0.31</v>
      </c>
      <c r="N43" s="106">
        <v>0.54</v>
      </c>
      <c r="O43" s="106">
        <v>1</v>
      </c>
      <c r="P43" s="106">
        <v>19083</v>
      </c>
      <c r="Q43" s="106">
        <v>14832.130952380952</v>
      </c>
      <c r="R43" s="106">
        <v>0.46198005649146651</v>
      </c>
      <c r="S43" s="106">
        <v>100249.26190476191</v>
      </c>
      <c r="T43" s="106">
        <v>153632.46428571429</v>
      </c>
      <c r="U43" s="106">
        <v>69570.539969410907</v>
      </c>
      <c r="V43" s="106">
        <v>0.24828662435859181</v>
      </c>
      <c r="W43" s="106">
        <v>96850.98711340205</v>
      </c>
      <c r="X43" s="110">
        <v>0.48531335646677481</v>
      </c>
      <c r="Y43" s="106">
        <v>173.4473684210526</v>
      </c>
      <c r="Z43" s="106">
        <v>6.6315789473684204</v>
      </c>
      <c r="AA43" s="106">
        <v>278282.15987764363</v>
      </c>
      <c r="AB43" s="106">
        <v>2659.9569219073815</v>
      </c>
      <c r="AC43" s="106">
        <v>0.3593475055819908</v>
      </c>
      <c r="AD43" s="106">
        <v>28.378378378378379</v>
      </c>
      <c r="AE43" s="106">
        <v>104.61904761904762</v>
      </c>
      <c r="AF43" s="106">
        <v>-4.3437099556058838E-2</v>
      </c>
      <c r="AG43" s="106">
        <v>29592</v>
      </c>
      <c r="AH43" s="106">
        <v>61614.482142857145</v>
      </c>
      <c r="AI43" s="106">
        <v>101178.69047619047</v>
      </c>
      <c r="AJ43" s="106">
        <v>126764.36904761905</v>
      </c>
      <c r="AK43" s="105">
        <v>110658.89285714286</v>
      </c>
      <c r="AM43" s="118">
        <v>67</v>
      </c>
      <c r="AN43" s="119">
        <v>4394</v>
      </c>
      <c r="AO43" s="119">
        <v>18</v>
      </c>
      <c r="AP43" s="118">
        <f t="shared" si="0"/>
        <v>1346</v>
      </c>
    </row>
    <row r="44" spans="1:42" ht="12.75">
      <c r="A44" s="106">
        <v>2018</v>
      </c>
      <c r="B44" s="106">
        <v>-109208</v>
      </c>
      <c r="C44" s="106">
        <v>0</v>
      </c>
      <c r="D44" s="106">
        <v>109208</v>
      </c>
      <c r="E44" s="106" t="s">
        <v>4042</v>
      </c>
      <c r="F44" s="106" t="s">
        <v>153</v>
      </c>
      <c r="G44" s="106" t="s">
        <v>121</v>
      </c>
      <c r="H44" s="106">
        <v>4</v>
      </c>
      <c r="I44" s="106" t="s">
        <v>24</v>
      </c>
      <c r="J44" s="106">
        <v>1104</v>
      </c>
      <c r="K44" s="106">
        <v>6834</v>
      </c>
      <c r="L44" s="106">
        <v>4282</v>
      </c>
      <c r="M44" s="106">
        <v>0.49</v>
      </c>
      <c r="N44" s="106">
        <v>0.03</v>
      </c>
      <c r="O44" s="106">
        <v>0.01</v>
      </c>
      <c r="P44" s="106">
        <v>1284</v>
      </c>
      <c r="Q44" s="106">
        <v>0.21639488761568973</v>
      </c>
      <c r="R44" s="106">
        <v>6.8502697066982385E-5</v>
      </c>
      <c r="S44" s="106">
        <v>10483.385467166152</v>
      </c>
      <c r="T44" s="106">
        <v>10696.070625826354</v>
      </c>
      <c r="U44" s="106">
        <v>8592.2802504142273</v>
      </c>
      <c r="V44" s="106">
        <v>0.36762170112952181</v>
      </c>
      <c r="W44" s="106">
        <v>129399.29042441248</v>
      </c>
      <c r="X44" s="110">
        <v>0.63337236811024578</v>
      </c>
      <c r="Y44" s="106">
        <v>896.14097641250692</v>
      </c>
      <c r="Z44" s="106">
        <v>29.871640153592981</v>
      </c>
      <c r="AA44" s="106">
        <v>27377.053028878192</v>
      </c>
      <c r="AB44" s="106">
        <v>286.41197143634537</v>
      </c>
      <c r="AC44" s="106">
        <v>3.6526940972980837</v>
      </c>
      <c r="AD44" s="106">
        <v>38.676171079429736</v>
      </c>
      <c r="AE44" s="106">
        <v>95.586273477268733</v>
      </c>
      <c r="AF44" s="106"/>
      <c r="AG44" s="106">
        <v>0</v>
      </c>
      <c r="AH44" s="106">
        <v>11578.872961657118</v>
      </c>
      <c r="AI44" s="106">
        <v>11578.872961657118</v>
      </c>
      <c r="AJ44" s="106">
        <v>10528.969094314676</v>
      </c>
      <c r="AK44" s="104">
        <v>8604.3911414720133</v>
      </c>
      <c r="AL44" s="119">
        <v>103025589</v>
      </c>
      <c r="AM44" s="118">
        <v>31858</v>
      </c>
      <c r="AN44" s="118">
        <v>544555</v>
      </c>
      <c r="AO44" s="118">
        <v>2579</v>
      </c>
      <c r="AP44" s="118">
        <f t="shared" si="0"/>
        <v>1104</v>
      </c>
    </row>
    <row r="45" spans="1:42" ht="12.75">
      <c r="A45" s="106">
        <v>2018</v>
      </c>
      <c r="B45" s="106">
        <v>-131159</v>
      </c>
      <c r="C45" s="106">
        <v>0</v>
      </c>
      <c r="D45" s="106">
        <v>131159</v>
      </c>
      <c r="E45" s="106" t="s">
        <v>154</v>
      </c>
      <c r="F45" s="106" t="s">
        <v>155</v>
      </c>
      <c r="G45" s="106" t="s">
        <v>156</v>
      </c>
      <c r="H45" s="106">
        <v>5</v>
      </c>
      <c r="I45" s="106" t="s">
        <v>3639</v>
      </c>
      <c r="J45" s="106">
        <v>46615</v>
      </c>
      <c r="K45" s="106">
        <v>33034</v>
      </c>
      <c r="L45" s="106">
        <v>21371</v>
      </c>
      <c r="M45" s="106">
        <v>0.19</v>
      </c>
      <c r="N45" s="106">
        <v>0.56000000000000005</v>
      </c>
      <c r="O45" s="106">
        <v>0.63</v>
      </c>
      <c r="P45" s="106">
        <v>30194</v>
      </c>
      <c r="Q45" s="106">
        <v>12178.301224553466</v>
      </c>
      <c r="R45" s="106">
        <v>0.2800350093083151</v>
      </c>
      <c r="S45" s="106">
        <v>45257.468216207781</v>
      </c>
      <c r="T45" s="106">
        <v>45663.754777318463</v>
      </c>
      <c r="U45" s="106">
        <v>28903.098240360599</v>
      </c>
      <c r="V45" s="106">
        <v>1.0832815898227142</v>
      </c>
      <c r="W45" s="106">
        <v>111856.891082129</v>
      </c>
      <c r="X45" s="110">
        <v>0.54203653568591947</v>
      </c>
      <c r="Y45" s="106">
        <v>299.61895734597158</v>
      </c>
      <c r="Z45" s="106">
        <v>12.15260663507109</v>
      </c>
      <c r="AA45" s="106">
        <v>91997.671931396035</v>
      </c>
      <c r="AB45" s="106">
        <v>1172.3156190158218</v>
      </c>
      <c r="AC45" s="106">
        <v>1.0869840279716143</v>
      </c>
      <c r="AD45" s="106">
        <v>33.327817309283468</v>
      </c>
      <c r="AE45" s="106">
        <v>78.475173783515388</v>
      </c>
      <c r="AF45" s="106">
        <v>7.4357766719351556E-2</v>
      </c>
      <c r="AG45" s="106">
        <v>45808</v>
      </c>
      <c r="AH45" s="106">
        <v>40378.285625146244</v>
      </c>
      <c r="AI45" s="106">
        <v>44774.198580453944</v>
      </c>
      <c r="AJ45" s="106">
        <v>52584.275797519695</v>
      </c>
      <c r="AK45" s="104">
        <v>38847.437797363702</v>
      </c>
      <c r="AM45" s="118">
        <v>8123</v>
      </c>
      <c r="AN45" s="118">
        <v>316098</v>
      </c>
      <c r="AO45" s="118">
        <v>1796</v>
      </c>
      <c r="AP45" s="118">
        <f t="shared" si="0"/>
        <v>807</v>
      </c>
    </row>
    <row r="46" spans="1:42" ht="12.75">
      <c r="A46" s="106">
        <v>2018</v>
      </c>
      <c r="B46" s="106">
        <v>-164465</v>
      </c>
      <c r="C46" s="106">
        <v>0</v>
      </c>
      <c r="D46" s="106">
        <v>164465</v>
      </c>
      <c r="E46" s="106" t="s">
        <v>157</v>
      </c>
      <c r="F46" s="106" t="s">
        <v>158</v>
      </c>
      <c r="G46" s="106" t="s">
        <v>150</v>
      </c>
      <c r="H46" s="106">
        <v>7</v>
      </c>
      <c r="I46" s="106" t="s">
        <v>3641</v>
      </c>
      <c r="J46" s="106">
        <v>54310</v>
      </c>
      <c r="K46" s="106">
        <v>19275</v>
      </c>
      <c r="L46" s="106">
        <v>7276</v>
      </c>
      <c r="M46" s="106">
        <v>0.2</v>
      </c>
      <c r="N46" s="106">
        <v>0.19</v>
      </c>
      <c r="O46" s="106">
        <v>0.56000000000000005</v>
      </c>
      <c r="P46" s="106">
        <v>50166</v>
      </c>
      <c r="Q46" s="106">
        <v>30541.18013381369</v>
      </c>
      <c r="R46" s="106">
        <v>0.61617616615141535</v>
      </c>
      <c r="S46" s="106">
        <v>94171.251672671133</v>
      </c>
      <c r="T46" s="106">
        <v>104687.35254760679</v>
      </c>
      <c r="U46" s="106">
        <v>79141.583085596605</v>
      </c>
      <c r="V46" s="106">
        <v>0.24038542087343026</v>
      </c>
      <c r="W46" s="106">
        <v>106252.82558139534</v>
      </c>
      <c r="X46" s="110">
        <v>0.49415660755836538</v>
      </c>
      <c r="Y46" s="106">
        <v>238.58390177353343</v>
      </c>
      <c r="Z46" s="106">
        <v>7.9522510231923595</v>
      </c>
      <c r="AA46" s="106">
        <v>330692.67943078326</v>
      </c>
      <c r="AB46" s="106">
        <v>2637.8717524155868</v>
      </c>
      <c r="AC46" s="106">
        <v>0.30239556609516915</v>
      </c>
      <c r="AD46" s="106">
        <v>25.326797385620914</v>
      </c>
      <c r="AE46" s="106">
        <v>125.36344086021505</v>
      </c>
      <c r="AF46" s="106">
        <v>8.7020820373206589E-2</v>
      </c>
      <c r="AG46" s="106">
        <v>53430</v>
      </c>
      <c r="AH46" s="106">
        <v>39295.353576942871</v>
      </c>
      <c r="AI46" s="106">
        <v>91509.640247040661</v>
      </c>
      <c r="AJ46" s="106">
        <v>219806.29541945446</v>
      </c>
      <c r="AK46" s="104">
        <v>84387.489963973232</v>
      </c>
      <c r="AL46" s="118"/>
      <c r="AM46" s="118">
        <v>1836</v>
      </c>
      <c r="AN46" s="118">
        <v>58294</v>
      </c>
      <c r="AO46" s="118">
        <v>465</v>
      </c>
      <c r="AP46" s="118">
        <f t="shared" si="0"/>
        <v>880</v>
      </c>
    </row>
    <row r="47" spans="1:42" ht="12.75">
      <c r="A47" s="106">
        <v>2018</v>
      </c>
      <c r="B47" s="106">
        <v>-100690</v>
      </c>
      <c r="C47" s="106">
        <v>0</v>
      </c>
      <c r="D47" s="106">
        <v>100690</v>
      </c>
      <c r="E47" s="106" t="s">
        <v>159</v>
      </c>
      <c r="F47" s="106" t="s">
        <v>87</v>
      </c>
      <c r="G47" s="106" t="s">
        <v>85</v>
      </c>
      <c r="H47" s="106">
        <v>6</v>
      </c>
      <c r="I47" s="106" t="s">
        <v>3640</v>
      </c>
      <c r="J47" s="106">
        <v>9900</v>
      </c>
      <c r="K47" s="106">
        <v>13104</v>
      </c>
      <c r="L47" s="106">
        <v>15322</v>
      </c>
      <c r="M47" s="106">
        <v>1</v>
      </c>
      <c r="N47" s="106">
        <v>1</v>
      </c>
      <c r="O47" s="106">
        <v>1</v>
      </c>
      <c r="P47" s="106">
        <v>1960</v>
      </c>
      <c r="Q47" s="106">
        <v>1119.955512572534</v>
      </c>
      <c r="R47" s="106">
        <v>7.2757546928810646E-2</v>
      </c>
      <c r="S47" s="106">
        <v>15983.588007736944</v>
      </c>
      <c r="T47" s="106">
        <v>13297.940038684719</v>
      </c>
      <c r="U47" s="106">
        <v>13297.940038684719</v>
      </c>
      <c r="V47" s="106">
        <v>1.073326026703864</v>
      </c>
      <c r="W47" s="106">
        <v>69904.34759358289</v>
      </c>
      <c r="X47" s="110">
        <v>0.63379619158302469</v>
      </c>
      <c r="Y47" s="106">
        <v>423.72727272727275</v>
      </c>
      <c r="Z47" s="106">
        <v>15.666666666666666</v>
      </c>
      <c r="AA47" s="106">
        <v>44643.084415584417</v>
      </c>
      <c r="AB47" s="106">
        <v>491.67095759136095</v>
      </c>
      <c r="AC47" s="106">
        <v>2.239988596421691</v>
      </c>
      <c r="AD47" s="106">
        <v>37.019230769230774</v>
      </c>
      <c r="AE47" s="106">
        <v>90.798701298701303</v>
      </c>
      <c r="AF47" s="106">
        <v>0.15216080060203865</v>
      </c>
      <c r="AG47" s="106">
        <v>9000</v>
      </c>
      <c r="AH47" s="106">
        <v>14431.688588007737</v>
      </c>
      <c r="AI47" s="106">
        <v>15983.588007736944</v>
      </c>
      <c r="AJ47" s="106">
        <v>15946.017408123791</v>
      </c>
      <c r="AK47" s="104">
        <v>13297.940038684719</v>
      </c>
      <c r="AM47" s="118">
        <v>318</v>
      </c>
      <c r="AN47" s="118">
        <v>13983</v>
      </c>
      <c r="AO47" s="118">
        <v>65</v>
      </c>
      <c r="AP47" s="118">
        <f t="shared" si="0"/>
        <v>900</v>
      </c>
    </row>
    <row r="48" spans="1:42" ht="12.75">
      <c r="A48" s="106">
        <v>2018</v>
      </c>
      <c r="B48" s="106">
        <v>-150066</v>
      </c>
      <c r="C48" s="106">
        <v>0</v>
      </c>
      <c r="D48" s="106">
        <v>150066</v>
      </c>
      <c r="E48" s="106" t="s">
        <v>3919</v>
      </c>
      <c r="F48" s="106" t="s">
        <v>160</v>
      </c>
      <c r="G48" s="106" t="s">
        <v>161</v>
      </c>
      <c r="H48" s="106">
        <v>6</v>
      </c>
      <c r="I48" s="106" t="s">
        <v>3640</v>
      </c>
      <c r="J48" s="106">
        <v>29710</v>
      </c>
      <c r="K48" s="106">
        <v>23787</v>
      </c>
      <c r="L48" s="106">
        <v>21648</v>
      </c>
      <c r="M48" s="106">
        <v>0.43</v>
      </c>
      <c r="N48" s="106">
        <v>0.73</v>
      </c>
      <c r="O48" s="106">
        <v>0.96</v>
      </c>
      <c r="P48" s="106">
        <v>13620</v>
      </c>
      <c r="Q48" s="106">
        <v>12212.46290801187</v>
      </c>
      <c r="R48" s="106">
        <v>0.4621050504143181</v>
      </c>
      <c r="S48" s="106">
        <v>24650.445103857568</v>
      </c>
      <c r="T48" s="106">
        <v>26003.560830860533</v>
      </c>
      <c r="U48" s="106">
        <v>22850.054780914434</v>
      </c>
      <c r="V48" s="106">
        <v>0.62211799504900045</v>
      </c>
      <c r="W48" s="106">
        <v>66459.747817652766</v>
      </c>
      <c r="X48" s="110">
        <v>0.52127076866897937</v>
      </c>
      <c r="Y48" s="106">
        <v>358.67070217917677</v>
      </c>
      <c r="Z48" s="106">
        <v>12.239709443099274</v>
      </c>
      <c r="AA48" s="106">
        <v>75199.887316095352</v>
      </c>
      <c r="AB48" s="106">
        <v>779.76268922455438</v>
      </c>
      <c r="AC48" s="106">
        <v>1.3297892266734366</v>
      </c>
      <c r="AD48" s="106">
        <v>31.585441085749537</v>
      </c>
      <c r="AE48" s="106">
        <v>96.439453125</v>
      </c>
      <c r="AF48" s="106">
        <v>-7.6207283811968556E-3</v>
      </c>
      <c r="AG48" s="106">
        <v>29210</v>
      </c>
      <c r="AH48" s="106">
        <v>21701.483679525223</v>
      </c>
      <c r="AI48" s="106">
        <v>24261.127596439168</v>
      </c>
      <c r="AJ48" s="106">
        <v>25880.712166172107</v>
      </c>
      <c r="AK48" s="104">
        <v>22909.792284866468</v>
      </c>
      <c r="AM48" s="118">
        <v>1566</v>
      </c>
      <c r="AN48" s="118">
        <v>49377</v>
      </c>
      <c r="AO48" s="118">
        <v>360</v>
      </c>
      <c r="AP48" s="118">
        <f t="shared" si="0"/>
        <v>500</v>
      </c>
    </row>
    <row r="49" spans="1:42">
      <c r="A49" s="106">
        <v>2018</v>
      </c>
      <c r="B49" s="106">
        <v>-217633</v>
      </c>
      <c r="C49" s="106">
        <v>0</v>
      </c>
      <c r="D49" s="106">
        <v>217633</v>
      </c>
      <c r="E49" s="106" t="s">
        <v>3920</v>
      </c>
      <c r="F49" s="106" t="s">
        <v>160</v>
      </c>
      <c r="G49" s="106" t="s">
        <v>79</v>
      </c>
      <c r="H49" s="106">
        <v>6</v>
      </c>
      <c r="I49" s="106" t="s">
        <v>3640</v>
      </c>
      <c r="J49" s="107">
        <v>26970</v>
      </c>
      <c r="K49" s="107">
        <v>21641</v>
      </c>
      <c r="L49" s="107">
        <v>18459</v>
      </c>
      <c r="M49" s="107">
        <v>0.26</v>
      </c>
      <c r="N49" s="107">
        <v>0.64</v>
      </c>
      <c r="O49" s="107">
        <v>0.99</v>
      </c>
      <c r="P49" s="107">
        <v>13314</v>
      </c>
      <c r="Q49" s="107">
        <v>8954.4425717852682</v>
      </c>
      <c r="R49" s="107">
        <v>0.39749354638334089</v>
      </c>
      <c r="S49" s="107">
        <v>19387.701310861423</v>
      </c>
      <c r="T49" s="107">
        <v>17653.114856429464</v>
      </c>
      <c r="U49" s="107">
        <v>14774.201121832464</v>
      </c>
      <c r="V49" s="107">
        <v>0.918684036427585</v>
      </c>
      <c r="W49" s="107">
        <v>70340.431506849316</v>
      </c>
      <c r="X49" s="111">
        <v>0.5447099198770593</v>
      </c>
      <c r="Y49" s="107">
        <v>443.46614173228346</v>
      </c>
      <c r="Z49" s="107">
        <v>15.137007874015749</v>
      </c>
      <c r="AA49" s="107">
        <v>59542.818106102153</v>
      </c>
      <c r="AB49" s="107">
        <v>504.29373895353228</v>
      </c>
      <c r="AC49" s="107">
        <v>1.6794636730462653</v>
      </c>
      <c r="AD49" s="107">
        <v>25.946475195822455</v>
      </c>
      <c r="AE49" s="107">
        <v>118.07169811320755</v>
      </c>
      <c r="AF49" s="107">
        <v>6.3817971263428946E-2</v>
      </c>
      <c r="AG49" s="107">
        <v>24290</v>
      </c>
      <c r="AH49" s="107">
        <v>18065.948501872659</v>
      </c>
      <c r="AI49" s="107">
        <v>19387.701310861423</v>
      </c>
      <c r="AJ49" s="107">
        <v>20062.235642946318</v>
      </c>
      <c r="AK49" s="104">
        <v>14838.452559300875</v>
      </c>
      <c r="AM49" s="118">
        <v>2983</v>
      </c>
      <c r="AN49" s="118">
        <v>93867</v>
      </c>
      <c r="AO49" s="118">
        <v>598</v>
      </c>
      <c r="AP49" s="118">
        <f t="shared" si="0"/>
        <v>2680</v>
      </c>
    </row>
    <row r="50" spans="1:42" ht="12.75">
      <c r="A50" s="106">
        <v>2018</v>
      </c>
      <c r="B50" s="106">
        <v>-168740</v>
      </c>
      <c r="C50" s="106">
        <v>0</v>
      </c>
      <c r="D50" s="106">
        <v>168740</v>
      </c>
      <c r="E50" s="106" t="s">
        <v>162</v>
      </c>
      <c r="F50" s="106" t="s">
        <v>163</v>
      </c>
      <c r="G50" s="106" t="s">
        <v>74</v>
      </c>
      <c r="H50" s="106">
        <v>5</v>
      </c>
      <c r="I50" s="106" t="s">
        <v>3639</v>
      </c>
      <c r="J50" s="106">
        <v>28436</v>
      </c>
      <c r="K50" s="106">
        <v>21820</v>
      </c>
      <c r="L50" s="106">
        <v>16373</v>
      </c>
      <c r="M50" s="106">
        <v>0.26</v>
      </c>
      <c r="N50" s="106">
        <v>0.64</v>
      </c>
      <c r="O50" s="106">
        <v>0.99</v>
      </c>
      <c r="P50" s="106">
        <v>15738</v>
      </c>
      <c r="Q50" s="106">
        <v>12269.605491329479</v>
      </c>
      <c r="R50" s="106">
        <v>0.43692068777530207</v>
      </c>
      <c r="S50" s="106">
        <v>34161.215317919072</v>
      </c>
      <c r="T50" s="106">
        <v>34408.166546242777</v>
      </c>
      <c r="U50" s="106">
        <v>24356.756661396426</v>
      </c>
      <c r="V50" s="106">
        <v>0.64919939211604993</v>
      </c>
      <c r="W50" s="106">
        <v>72104.151219512205</v>
      </c>
      <c r="X50" s="110">
        <v>0.56905984719630209</v>
      </c>
      <c r="Y50" s="106">
        <v>333.59743954480797</v>
      </c>
      <c r="Z50" s="106">
        <v>11.812233285917497</v>
      </c>
      <c r="AA50" s="106">
        <v>93378.812242029511</v>
      </c>
      <c r="AB50" s="106">
        <v>862.43974823462452</v>
      </c>
      <c r="AC50" s="106">
        <v>1.0709067463913438</v>
      </c>
      <c r="AD50" s="106">
        <v>27.235005658242173</v>
      </c>
      <c r="AE50" s="106">
        <v>108.27285318559557</v>
      </c>
      <c r="AF50" s="106">
        <v>3.1228257277118081E-2</v>
      </c>
      <c r="AG50" s="106">
        <v>27456</v>
      </c>
      <c r="AH50" s="106">
        <v>30976.204841040464</v>
      </c>
      <c r="AI50" s="106">
        <v>33489.364161849713</v>
      </c>
      <c r="AJ50" s="106">
        <v>36055.808164739887</v>
      </c>
      <c r="AK50" s="104">
        <v>26063.157153179192</v>
      </c>
      <c r="AM50" s="118">
        <v>1704</v>
      </c>
      <c r="AN50" s="118">
        <v>78173</v>
      </c>
      <c r="AO50" s="118">
        <v>319</v>
      </c>
      <c r="AP50" s="118">
        <f t="shared" si="0"/>
        <v>980</v>
      </c>
    </row>
    <row r="51" spans="1:42" ht="12.75">
      <c r="A51" s="106">
        <v>2018</v>
      </c>
      <c r="B51" s="106">
        <v>-222822</v>
      </c>
      <c r="C51" s="106">
        <v>0</v>
      </c>
      <c r="D51" s="106">
        <v>222822</v>
      </c>
      <c r="E51" s="106" t="s">
        <v>164</v>
      </c>
      <c r="F51" s="106" t="s">
        <v>165</v>
      </c>
      <c r="G51" s="106" t="s">
        <v>60</v>
      </c>
      <c r="H51" s="106">
        <v>4</v>
      </c>
      <c r="I51" s="106" t="s">
        <v>24</v>
      </c>
      <c r="J51" s="106">
        <v>2016</v>
      </c>
      <c r="K51" s="106">
        <v>8972</v>
      </c>
      <c r="L51" s="106">
        <v>8946</v>
      </c>
      <c r="M51" s="106">
        <v>0.49</v>
      </c>
      <c r="N51" s="106">
        <v>0</v>
      </c>
      <c r="O51" s="106">
        <v>0.22</v>
      </c>
      <c r="P51" s="106">
        <v>1360</v>
      </c>
      <c r="Q51" s="106">
        <v>267.80452342487882</v>
      </c>
      <c r="R51" s="106">
        <v>6.885656670112035E-2</v>
      </c>
      <c r="S51" s="106">
        <v>12901.76930533118</v>
      </c>
      <c r="T51" s="106">
        <v>11838.999676898224</v>
      </c>
      <c r="U51" s="106">
        <v>8341.7312555551289</v>
      </c>
      <c r="V51" s="106">
        <v>0.43414313171113017</v>
      </c>
      <c r="W51" s="106">
        <v>55559.429499072357</v>
      </c>
      <c r="X51" s="110">
        <v>0.54485334524835416</v>
      </c>
      <c r="Y51" s="106">
        <v>472.05762711864401</v>
      </c>
      <c r="Z51" s="106">
        <v>15.73728813559322</v>
      </c>
      <c r="AA51" s="106">
        <v>22199.190228669926</v>
      </c>
      <c r="AB51" s="106">
        <v>278.0936495394464</v>
      </c>
      <c r="AC51" s="106">
        <v>4.5046688176423428</v>
      </c>
      <c r="AD51" s="106">
        <v>41.255764455480666</v>
      </c>
      <c r="AE51" s="106">
        <v>79.826311263972485</v>
      </c>
      <c r="AF51" s="106">
        <v>8.9023282830600653E-2</v>
      </c>
      <c r="AG51" s="106">
        <v>1608</v>
      </c>
      <c r="AH51" s="106">
        <v>12079.306300484654</v>
      </c>
      <c r="AI51" s="106">
        <v>12315.096284329564</v>
      </c>
      <c r="AJ51" s="106">
        <v>12995.864620355413</v>
      </c>
      <c r="AK51" s="104">
        <v>10147.249111470113</v>
      </c>
      <c r="AL51" s="119">
        <v>17103517</v>
      </c>
      <c r="AM51" s="118">
        <v>5215</v>
      </c>
      <c r="AN51" s="118">
        <v>92838</v>
      </c>
      <c r="AO51" s="118">
        <v>380</v>
      </c>
      <c r="AP51" s="118">
        <f t="shared" si="0"/>
        <v>408</v>
      </c>
    </row>
    <row r="52" spans="1:42" ht="12.75">
      <c r="A52" s="106">
        <v>2018</v>
      </c>
      <c r="B52" s="106">
        <v>-222831</v>
      </c>
      <c r="C52" s="106">
        <v>0</v>
      </c>
      <c r="D52" s="106">
        <v>222831</v>
      </c>
      <c r="E52" s="106" t="s">
        <v>166</v>
      </c>
      <c r="F52" s="106" t="s">
        <v>167</v>
      </c>
      <c r="G52" s="106" t="s">
        <v>60</v>
      </c>
      <c r="H52" s="106">
        <v>2</v>
      </c>
      <c r="I52" s="106" t="s">
        <v>25</v>
      </c>
      <c r="J52" s="106">
        <v>7201</v>
      </c>
      <c r="K52" s="106">
        <v>11558</v>
      </c>
      <c r="L52" s="106">
        <v>8716</v>
      </c>
      <c r="M52" s="106">
        <v>0.49</v>
      </c>
      <c r="N52" s="106">
        <v>0.52</v>
      </c>
      <c r="O52" s="106">
        <v>0.64</v>
      </c>
      <c r="P52" s="106">
        <v>2417</v>
      </c>
      <c r="Q52" s="106">
        <v>2857.329015873016</v>
      </c>
      <c r="R52" s="106">
        <v>0.34619777904438592</v>
      </c>
      <c r="S52" s="106">
        <v>15813.495746031746</v>
      </c>
      <c r="T52" s="106">
        <v>18573.365333333335</v>
      </c>
      <c r="U52" s="106">
        <v>11109.191148227319</v>
      </c>
      <c r="V52" s="106">
        <v>0.48573559063033839</v>
      </c>
      <c r="W52" s="106">
        <v>83347.681963288109</v>
      </c>
      <c r="X52" s="110">
        <v>0.47600572280831266</v>
      </c>
      <c r="Y52" s="106">
        <v>653.61383285302588</v>
      </c>
      <c r="Z52" s="106">
        <v>22.694524495677232</v>
      </c>
      <c r="AA52" s="106">
        <v>52323.492997781184</v>
      </c>
      <c r="AB52" s="106">
        <v>385.72900077727968</v>
      </c>
      <c r="AC52" s="106">
        <v>1.9111873896538325</v>
      </c>
      <c r="AD52" s="106">
        <v>21.312938177182918</v>
      </c>
      <c r="AE52" s="106">
        <v>135.64832535885168</v>
      </c>
      <c r="AF52" s="106">
        <v>8.792040285411544E-2</v>
      </c>
      <c r="AG52" s="106">
        <v>4061</v>
      </c>
      <c r="AH52" s="106">
        <v>13425.129523809524</v>
      </c>
      <c r="AI52" s="106">
        <v>14034.232634920634</v>
      </c>
      <c r="AJ52" s="106">
        <v>17212.445968253967</v>
      </c>
      <c r="AK52" s="104">
        <v>14155.211555555556</v>
      </c>
      <c r="AL52" s="119">
        <v>35237614</v>
      </c>
      <c r="AM52" s="118">
        <v>8719</v>
      </c>
      <c r="AN52" s="118">
        <v>226804</v>
      </c>
      <c r="AO52" s="118">
        <v>985</v>
      </c>
      <c r="AP52" s="118">
        <f t="shared" si="0"/>
        <v>3140</v>
      </c>
    </row>
    <row r="53" spans="1:42" ht="12.75">
      <c r="A53" s="106">
        <v>2018</v>
      </c>
      <c r="B53" s="106">
        <v>-164492</v>
      </c>
      <c r="C53" s="106">
        <v>0</v>
      </c>
      <c r="D53" s="106">
        <v>164492</v>
      </c>
      <c r="E53" s="106" t="s">
        <v>168</v>
      </c>
      <c r="F53" s="106" t="s">
        <v>169</v>
      </c>
      <c r="G53" s="106" t="s">
        <v>150</v>
      </c>
      <c r="H53" s="106">
        <v>6</v>
      </c>
      <c r="I53" s="106" t="s">
        <v>3640</v>
      </c>
      <c r="J53" s="106">
        <v>37130</v>
      </c>
      <c r="K53" s="106">
        <v>25664</v>
      </c>
      <c r="L53" s="106">
        <v>22085</v>
      </c>
      <c r="M53" s="106">
        <v>0.5</v>
      </c>
      <c r="N53" s="106">
        <v>0.92</v>
      </c>
      <c r="O53" s="106">
        <v>1</v>
      </c>
      <c r="P53" s="106">
        <v>22587</v>
      </c>
      <c r="Q53" s="106">
        <v>15550.570951585976</v>
      </c>
      <c r="R53" s="106">
        <v>0.51708932330481472</v>
      </c>
      <c r="S53" s="106">
        <v>21535.618530884807</v>
      </c>
      <c r="T53" s="106">
        <v>21680.054257095158</v>
      </c>
      <c r="U53" s="106">
        <v>15335.373121869783</v>
      </c>
      <c r="V53" s="106">
        <v>0.94700708592315264</v>
      </c>
      <c r="W53" s="106">
        <v>63071.009025270752</v>
      </c>
      <c r="X53" s="110">
        <v>0.44843665686727663</v>
      </c>
      <c r="Y53" s="106">
        <v>355.97586206896557</v>
      </c>
      <c r="Z53" s="106">
        <v>12.393103448275863</v>
      </c>
      <c r="AA53" s="106">
        <v>42824.655011655013</v>
      </c>
      <c r="AB53" s="106">
        <v>533.89256342448641</v>
      </c>
      <c r="AC53" s="106">
        <v>2.3351034578745433</v>
      </c>
      <c r="AD53" s="106">
        <v>37.730870712401057</v>
      </c>
      <c r="AE53" s="106">
        <v>80.212121212121218</v>
      </c>
      <c r="AF53" s="106">
        <v>2.501927420645661E-2</v>
      </c>
      <c r="AG53" s="106">
        <v>34800</v>
      </c>
      <c r="AH53" s="106">
        <v>20831.736227045076</v>
      </c>
      <c r="AI53" s="106">
        <v>21300.608514190317</v>
      </c>
      <c r="AJ53" s="106">
        <v>22124.193656093488</v>
      </c>
      <c r="AK53" s="104">
        <v>15335.373121869783</v>
      </c>
      <c r="AL53" s="118"/>
      <c r="AM53" s="118">
        <v>1120</v>
      </c>
      <c r="AN53" s="118">
        <v>34411</v>
      </c>
      <c r="AO53" s="118">
        <v>280</v>
      </c>
      <c r="AP53" s="118">
        <f t="shared" si="0"/>
        <v>2330</v>
      </c>
    </row>
    <row r="54" spans="1:42" ht="12.75">
      <c r="A54" s="106">
        <v>2018</v>
      </c>
      <c r="B54" s="106">
        <v>-161767</v>
      </c>
      <c r="C54" s="106">
        <v>0</v>
      </c>
      <c r="D54" s="106">
        <v>161767</v>
      </c>
      <c r="E54" s="106" t="s">
        <v>170</v>
      </c>
      <c r="F54" s="106" t="s">
        <v>171</v>
      </c>
      <c r="G54" s="106" t="s">
        <v>124</v>
      </c>
      <c r="H54" s="106">
        <v>4</v>
      </c>
      <c r="I54" s="106" t="s">
        <v>24</v>
      </c>
      <c r="J54" s="106">
        <v>4646</v>
      </c>
      <c r="K54" s="106">
        <v>14076</v>
      </c>
      <c r="L54" s="106">
        <v>13576</v>
      </c>
      <c r="M54" s="106">
        <v>0.28000000000000003</v>
      </c>
      <c r="N54" s="106">
        <v>0.11</v>
      </c>
      <c r="O54" s="106">
        <v>0.08</v>
      </c>
      <c r="P54" s="106">
        <v>1292</v>
      </c>
      <c r="Q54" s="106">
        <v>155.3035466363751</v>
      </c>
      <c r="R54" s="106">
        <v>3.2437780947557442E-2</v>
      </c>
      <c r="S54" s="106">
        <v>16300.062728764357</v>
      </c>
      <c r="T54" s="106">
        <v>17369.020699230088</v>
      </c>
      <c r="U54" s="106">
        <v>14600.344945096555</v>
      </c>
      <c r="V54" s="106">
        <v>0.31728242957576236</v>
      </c>
      <c r="W54" s="106">
        <v>80958.22667042572</v>
      </c>
      <c r="X54" s="110">
        <v>0.6955621349051454</v>
      </c>
      <c r="Y54" s="106">
        <v>412.15838150289011</v>
      </c>
      <c r="Z54" s="106">
        <v>13.739306358381501</v>
      </c>
      <c r="AA54" s="106">
        <v>51481.323097463282</v>
      </c>
      <c r="AB54" s="106">
        <v>486.70273647539949</v>
      </c>
      <c r="AC54" s="106">
        <v>1.9424520191659067</v>
      </c>
      <c r="AD54" s="106">
        <v>32.017668851524647</v>
      </c>
      <c r="AE54" s="106">
        <v>105.77570093457943</v>
      </c>
      <c r="AF54" s="106">
        <v>-2.7189523345313077E-2</v>
      </c>
      <c r="AG54" s="106">
        <v>3300</v>
      </c>
      <c r="AH54" s="106">
        <v>15755.28789599899</v>
      </c>
      <c r="AI54" s="106">
        <v>16031.617695317431</v>
      </c>
      <c r="AJ54" s="106">
        <v>16320.106272876435</v>
      </c>
      <c r="AK54" s="104">
        <v>15065.057427742016</v>
      </c>
      <c r="AL54" s="118">
        <v>71591784</v>
      </c>
      <c r="AM54" s="118">
        <v>13354</v>
      </c>
      <c r="AN54" s="118">
        <v>237678</v>
      </c>
      <c r="AO54" s="118">
        <v>1622</v>
      </c>
      <c r="AP54" s="118">
        <f t="shared" si="0"/>
        <v>1346</v>
      </c>
    </row>
    <row r="55" spans="1:42" ht="12.75">
      <c r="A55" s="106">
        <v>2018</v>
      </c>
      <c r="B55" s="106">
        <v>-172954</v>
      </c>
      <c r="C55" s="106">
        <v>0</v>
      </c>
      <c r="D55" s="106">
        <v>172954</v>
      </c>
      <c r="E55" s="106" t="s">
        <v>172</v>
      </c>
      <c r="F55" s="106" t="s">
        <v>173</v>
      </c>
      <c r="G55" s="106" t="s">
        <v>113</v>
      </c>
      <c r="H55" s="106">
        <v>4</v>
      </c>
      <c r="I55" s="106" t="s">
        <v>24</v>
      </c>
      <c r="J55" s="106">
        <v>5584</v>
      </c>
      <c r="K55" s="106">
        <v>12368</v>
      </c>
      <c r="L55" s="106">
        <v>11802</v>
      </c>
      <c r="M55" s="106">
        <v>0.34</v>
      </c>
      <c r="N55" s="106">
        <v>0.51</v>
      </c>
      <c r="O55" s="106">
        <v>0.03</v>
      </c>
      <c r="P55" s="106">
        <v>1196</v>
      </c>
      <c r="Q55" s="106"/>
      <c r="R55" s="106"/>
      <c r="S55" s="106">
        <v>13899.323816679189</v>
      </c>
      <c r="T55" s="106">
        <v>15311.795642374154</v>
      </c>
      <c r="U55" s="106">
        <v>12851.239669421488</v>
      </c>
      <c r="V55" s="106">
        <v>0.42817889505992401</v>
      </c>
      <c r="W55" s="106">
        <v>122928.99408284023</v>
      </c>
      <c r="X55" s="110">
        <v>0.67958783120706578</v>
      </c>
      <c r="Y55" s="106">
        <v>637.05319148936178</v>
      </c>
      <c r="Z55" s="106">
        <v>21.23936170212766</v>
      </c>
      <c r="AA55" s="106">
        <v>22595.772787318361</v>
      </c>
      <c r="AB55" s="106">
        <v>428.46049797104354</v>
      </c>
      <c r="AC55" s="106">
        <v>4.4256065477930431</v>
      </c>
      <c r="AD55" s="106">
        <v>63.506711409395976</v>
      </c>
      <c r="AE55" s="106">
        <v>52.737120211360633</v>
      </c>
      <c r="AF55" s="106">
        <v>-0.10374673938819065</v>
      </c>
      <c r="AG55" s="106">
        <v>5009</v>
      </c>
      <c r="AH55" s="106">
        <v>14356.874530428249</v>
      </c>
      <c r="AI55" s="106">
        <v>14359.128474830954</v>
      </c>
      <c r="AJ55" s="106">
        <v>13996.994740796394</v>
      </c>
      <c r="AK55" s="104">
        <v>13159.278737791134</v>
      </c>
      <c r="AL55" s="119">
        <v>8578000</v>
      </c>
      <c r="AM55" s="118">
        <v>1864</v>
      </c>
      <c r="AN55" s="118">
        <v>39922</v>
      </c>
      <c r="AO55" s="118">
        <v>212</v>
      </c>
      <c r="AP55" s="118">
        <f t="shared" si="0"/>
        <v>575</v>
      </c>
    </row>
    <row r="56" spans="1:42" ht="12.75">
      <c r="A56" s="106">
        <v>2018</v>
      </c>
      <c r="B56" s="106">
        <v>-172963</v>
      </c>
      <c r="C56" s="106">
        <v>0</v>
      </c>
      <c r="D56" s="106">
        <v>172963</v>
      </c>
      <c r="E56" s="106" t="s">
        <v>174</v>
      </c>
      <c r="F56" s="106" t="s">
        <v>175</v>
      </c>
      <c r="G56" s="106" t="s">
        <v>113</v>
      </c>
      <c r="H56" s="106">
        <v>4</v>
      </c>
      <c r="I56" s="106" t="s">
        <v>24</v>
      </c>
      <c r="J56" s="106">
        <v>5059</v>
      </c>
      <c r="K56" s="106">
        <v>11594</v>
      </c>
      <c r="L56" s="106">
        <v>9911</v>
      </c>
      <c r="M56" s="106">
        <v>0.42</v>
      </c>
      <c r="N56" s="106">
        <v>0.36</v>
      </c>
      <c r="O56" s="106">
        <v>0.06</v>
      </c>
      <c r="P56" s="106">
        <v>1172</v>
      </c>
      <c r="Q56" s="106">
        <v>1.6426355174301881</v>
      </c>
      <c r="R56" s="106">
        <v>3.3747047133375824E-4</v>
      </c>
      <c r="S56" s="106">
        <v>11114.254425990144</v>
      </c>
      <c r="T56" s="106">
        <v>12073.18853805439</v>
      </c>
      <c r="U56" s="106">
        <v>9754.6768733804129</v>
      </c>
      <c r="V56" s="106">
        <v>0.49882241061430216</v>
      </c>
      <c r="W56" s="106">
        <v>119973.33333333333</v>
      </c>
      <c r="X56" s="110">
        <v>0.68013121891487405</v>
      </c>
      <c r="Y56" s="106">
        <v>990.10843373493981</v>
      </c>
      <c r="Z56" s="106">
        <v>33.006024096385545</v>
      </c>
      <c r="AA56" s="106">
        <v>47507.444079334469</v>
      </c>
      <c r="AB56" s="106">
        <v>325.17963585132014</v>
      </c>
      <c r="AC56" s="106">
        <v>2.1049332780986116</v>
      </c>
      <c r="AD56" s="106">
        <v>21.457181003242418</v>
      </c>
      <c r="AE56" s="106">
        <v>146.096</v>
      </c>
      <c r="AF56" s="106">
        <v>-8.304192290686925E-2</v>
      </c>
      <c r="AG56" s="106">
        <v>4349</v>
      </c>
      <c r="AH56" s="106">
        <v>11238.912210257346</v>
      </c>
      <c r="AI56" s="106">
        <v>11248.768023361927</v>
      </c>
      <c r="AJ56" s="106">
        <v>11184.157693009673</v>
      </c>
      <c r="AK56" s="104">
        <v>10027.194743566344</v>
      </c>
      <c r="AL56" s="118">
        <v>22802000</v>
      </c>
      <c r="AM56" s="118">
        <v>8954</v>
      </c>
      <c r="AN56" s="118">
        <v>164358</v>
      </c>
      <c r="AO56" s="118">
        <v>1058</v>
      </c>
      <c r="AP56" s="118">
        <f t="shared" si="0"/>
        <v>710</v>
      </c>
    </row>
    <row r="57" spans="1:42" ht="12.75">
      <c r="A57" s="106">
        <v>2018</v>
      </c>
      <c r="B57" s="106">
        <v>-109350</v>
      </c>
      <c r="C57" s="106">
        <v>0</v>
      </c>
      <c r="D57" s="106">
        <v>109350</v>
      </c>
      <c r="E57" s="106" t="s">
        <v>176</v>
      </c>
      <c r="F57" s="106" t="s">
        <v>177</v>
      </c>
      <c r="G57" s="106" t="s">
        <v>121</v>
      </c>
      <c r="H57" s="106">
        <v>4</v>
      </c>
      <c r="I57" s="106" t="s">
        <v>24</v>
      </c>
      <c r="J57" s="106">
        <v>1124</v>
      </c>
      <c r="K57" s="106">
        <v>7369</v>
      </c>
      <c r="L57" s="106">
        <v>5344</v>
      </c>
      <c r="M57" s="106">
        <v>0.67</v>
      </c>
      <c r="N57" s="106">
        <v>0.09</v>
      </c>
      <c r="O57" s="106">
        <v>0</v>
      </c>
      <c r="P57" s="106"/>
      <c r="Q57" s="106"/>
      <c r="R57" s="106"/>
      <c r="S57" s="106">
        <v>14843.527192982456</v>
      </c>
      <c r="T57" s="106">
        <v>16102.499232456141</v>
      </c>
      <c r="U57" s="106">
        <v>11288.733551697716</v>
      </c>
      <c r="V57" s="106">
        <v>0.13692780947824562</v>
      </c>
      <c r="W57" s="106">
        <v>108169.86656891495</v>
      </c>
      <c r="X57" s="110">
        <v>0.50234553120782377</v>
      </c>
      <c r="Y57" s="106">
        <v>720.01315789473688</v>
      </c>
      <c r="Z57" s="106">
        <v>24</v>
      </c>
      <c r="AA57" s="106">
        <v>34045.386901945494</v>
      </c>
      <c r="AB57" s="106">
        <v>376.28424185041638</v>
      </c>
      <c r="AC57" s="106">
        <v>2.9372555021334064</v>
      </c>
      <c r="AD57" s="106">
        <v>37.314906219151034</v>
      </c>
      <c r="AE57" s="106">
        <v>90.477843915343911</v>
      </c>
      <c r="AF57" s="106">
        <v>6.3011881719148261E-2</v>
      </c>
      <c r="AG57" s="106">
        <v>1104</v>
      </c>
      <c r="AH57" s="106">
        <v>13180.193421052632</v>
      </c>
      <c r="AI57" s="106">
        <v>13180.193421052632</v>
      </c>
      <c r="AJ57" s="106">
        <v>14886.706798245614</v>
      </c>
      <c r="AK57" s="104">
        <v>13683.22028508772</v>
      </c>
      <c r="AL57" s="118">
        <v>66178299</v>
      </c>
      <c r="AM57" s="118">
        <v>14125</v>
      </c>
      <c r="AN57" s="118">
        <v>273605</v>
      </c>
      <c r="AO57" s="118">
        <v>1785</v>
      </c>
      <c r="AP57" s="118">
        <f t="shared" si="0"/>
        <v>20</v>
      </c>
    </row>
    <row r="58" spans="1:42" ht="12.75">
      <c r="A58" s="106">
        <v>2018</v>
      </c>
      <c r="B58" s="106">
        <v>-197869</v>
      </c>
      <c r="C58" s="106">
        <v>0</v>
      </c>
      <c r="D58" s="106">
        <v>197869</v>
      </c>
      <c r="E58" s="106" t="s">
        <v>183</v>
      </c>
      <c r="F58" s="106" t="s">
        <v>184</v>
      </c>
      <c r="G58" s="106" t="s">
        <v>90</v>
      </c>
      <c r="H58" s="106">
        <v>2</v>
      </c>
      <c r="I58" s="106" t="s">
        <v>25</v>
      </c>
      <c r="J58" s="106">
        <v>7302</v>
      </c>
      <c r="K58" s="106">
        <v>10491</v>
      </c>
      <c r="L58" s="106">
        <v>7238</v>
      </c>
      <c r="M58" s="106">
        <v>0.26</v>
      </c>
      <c r="N58" s="106">
        <v>0.51</v>
      </c>
      <c r="O58" s="106">
        <v>0.35</v>
      </c>
      <c r="P58" s="106">
        <v>4192</v>
      </c>
      <c r="Q58" s="106">
        <v>1174.3258390878432</v>
      </c>
      <c r="R58" s="106">
        <v>0.14069192672205336</v>
      </c>
      <c r="S58" s="106">
        <v>22397.123976232535</v>
      </c>
      <c r="T58" s="106">
        <v>22152.46089609764</v>
      </c>
      <c r="U58" s="106">
        <v>12407.616982128331</v>
      </c>
      <c r="V58" s="106">
        <v>0.57806936350171034</v>
      </c>
      <c r="W58" s="106">
        <v>90013.896147808235</v>
      </c>
      <c r="X58" s="110">
        <v>0.6004114847879537</v>
      </c>
      <c r="Y58" s="106">
        <v>505.20201403722922</v>
      </c>
      <c r="Z58" s="106">
        <v>17.101922490082394</v>
      </c>
      <c r="AA58" s="106">
        <v>48920.78785207669</v>
      </c>
      <c r="AB58" s="106">
        <v>420.01832538092731</v>
      </c>
      <c r="AC58" s="106">
        <v>2.0441207999832938</v>
      </c>
      <c r="AD58" s="106">
        <v>26.75626835328665</v>
      </c>
      <c r="AE58" s="106">
        <v>116.47298438159561</v>
      </c>
      <c r="AF58" s="106">
        <v>0.12886634258668236</v>
      </c>
      <c r="AG58" s="106">
        <v>4242</v>
      </c>
      <c r="AH58" s="106">
        <v>21429.282800706602</v>
      </c>
      <c r="AI58" s="106">
        <v>22117.990578662811</v>
      </c>
      <c r="AJ58" s="106">
        <v>22678.205609978053</v>
      </c>
      <c r="AK58" s="104">
        <v>14485.713719822279</v>
      </c>
      <c r="AL58" s="118">
        <v>140514281</v>
      </c>
      <c r="AM58" s="118">
        <v>17017</v>
      </c>
      <c r="AN58" s="118">
        <v>551849</v>
      </c>
      <c r="AO58" s="118">
        <v>3893</v>
      </c>
      <c r="AP58" s="118">
        <f t="shared" si="0"/>
        <v>3060</v>
      </c>
    </row>
    <row r="59" spans="1:42" ht="12.75">
      <c r="A59" s="106">
        <v>2018</v>
      </c>
      <c r="B59" s="106">
        <v>-168786</v>
      </c>
      <c r="C59" s="106">
        <v>0</v>
      </c>
      <c r="D59" s="106">
        <v>168786</v>
      </c>
      <c r="E59" s="106" t="s">
        <v>185</v>
      </c>
      <c r="F59" s="106" t="s">
        <v>186</v>
      </c>
      <c r="G59" s="106" t="s">
        <v>74</v>
      </c>
      <c r="H59" s="106">
        <v>6</v>
      </c>
      <c r="I59" s="106" t="s">
        <v>3640</v>
      </c>
      <c r="J59" s="106">
        <v>31244</v>
      </c>
      <c r="K59" s="106">
        <v>18513</v>
      </c>
      <c r="L59" s="106">
        <v>13486</v>
      </c>
      <c r="M59" s="106">
        <v>0.34</v>
      </c>
      <c r="N59" s="106">
        <v>0.61</v>
      </c>
      <c r="O59" s="106">
        <v>1</v>
      </c>
      <c r="P59" s="106">
        <v>19991</v>
      </c>
      <c r="Q59" s="106">
        <v>15554.496306245803</v>
      </c>
      <c r="R59" s="106">
        <v>0.51645786755490186</v>
      </c>
      <c r="S59" s="106">
        <v>25143.684351914035</v>
      </c>
      <c r="T59" s="106">
        <v>24106.594358629955</v>
      </c>
      <c r="U59" s="106">
        <v>20001.819585267051</v>
      </c>
      <c r="V59" s="106">
        <v>0.72809134777142293</v>
      </c>
      <c r="W59" s="106">
        <v>58167.420560747662</v>
      </c>
      <c r="X59" s="110">
        <v>0.52018075416609333</v>
      </c>
      <c r="Y59" s="106">
        <v>340.42268041237111</v>
      </c>
      <c r="Z59" s="106">
        <v>11.512886597938143</v>
      </c>
      <c r="AA59" s="106">
        <v>81596.464006746959</v>
      </c>
      <c r="AB59" s="106">
        <v>676.4492905074643</v>
      </c>
      <c r="AC59" s="106">
        <v>1.2255433028535565</v>
      </c>
      <c r="AD59" s="106">
        <v>24.496644295302016</v>
      </c>
      <c r="AE59" s="106">
        <v>120.62465753424658</v>
      </c>
      <c r="AF59" s="106">
        <v>6.6941595586901326E-2</v>
      </c>
      <c r="AG59" s="106">
        <v>30746</v>
      </c>
      <c r="AH59" s="106">
        <v>20378.000671591672</v>
      </c>
      <c r="AI59" s="106">
        <v>25255.845533915381</v>
      </c>
      <c r="AJ59" s="106">
        <v>28182.544660846204</v>
      </c>
      <c r="AK59" s="104">
        <v>20607.501678979181</v>
      </c>
      <c r="AL59" s="118"/>
      <c r="AM59" s="118">
        <v>1551</v>
      </c>
      <c r="AN59" s="118">
        <v>44028</v>
      </c>
      <c r="AO59" s="118">
        <v>337</v>
      </c>
      <c r="AP59" s="118">
        <f t="shared" si="0"/>
        <v>498</v>
      </c>
    </row>
    <row r="60" spans="1:42" ht="12.75">
      <c r="A60" s="106">
        <v>2018</v>
      </c>
      <c r="B60" s="106">
        <v>-126289</v>
      </c>
      <c r="C60" s="106">
        <v>0</v>
      </c>
      <c r="D60" s="106">
        <v>126289</v>
      </c>
      <c r="E60" s="106" t="s">
        <v>187</v>
      </c>
      <c r="F60" s="106" t="s">
        <v>188</v>
      </c>
      <c r="G60" s="106" t="s">
        <v>66</v>
      </c>
      <c r="H60" s="106">
        <v>4</v>
      </c>
      <c r="I60" s="106" t="s">
        <v>24</v>
      </c>
      <c r="J60" s="106">
        <v>3676</v>
      </c>
      <c r="K60" s="106">
        <v>7610</v>
      </c>
      <c r="L60" s="106">
        <v>6830</v>
      </c>
      <c r="M60" s="106">
        <v>0.3</v>
      </c>
      <c r="N60" s="106">
        <v>0.27</v>
      </c>
      <c r="O60" s="106">
        <v>0.08</v>
      </c>
      <c r="P60" s="106">
        <v>1680</v>
      </c>
      <c r="Q60" s="106">
        <v>199.71068308181097</v>
      </c>
      <c r="R60" s="106">
        <v>2.4101469053174836E-2</v>
      </c>
      <c r="S60" s="106">
        <v>10436.195194598888</v>
      </c>
      <c r="T60" s="106">
        <v>11013.088760921366</v>
      </c>
      <c r="U60" s="106">
        <v>8118.2587370929305</v>
      </c>
      <c r="V60" s="106">
        <v>0.99609224257452589</v>
      </c>
      <c r="W60" s="106">
        <v>63029.32808988764</v>
      </c>
      <c r="X60" s="110">
        <v>0.50571731971389733</v>
      </c>
      <c r="Y60" s="106">
        <v>658.8357558139536</v>
      </c>
      <c r="Z60" s="106">
        <v>21.959302325581397</v>
      </c>
      <c r="AA60" s="106">
        <v>24292.068330362446</v>
      </c>
      <c r="AB60" s="106">
        <v>270.58534147842721</v>
      </c>
      <c r="AC60" s="106">
        <v>4.116570011249757</v>
      </c>
      <c r="AD60" s="106">
        <v>31.040206565842865</v>
      </c>
      <c r="AE60" s="106">
        <v>89.775995246583477</v>
      </c>
      <c r="AF60" s="106">
        <v>1.7182005579619353E-2</v>
      </c>
      <c r="AG60" s="106">
        <v>3469</v>
      </c>
      <c r="AH60" s="106">
        <v>10654.646346306592</v>
      </c>
      <c r="AI60" s="106">
        <v>10675.868546465448</v>
      </c>
      <c r="AJ60" s="106">
        <v>10524.677323272439</v>
      </c>
      <c r="AK60" s="104">
        <v>8443.3518665607626</v>
      </c>
      <c r="AL60" s="118"/>
      <c r="AM60" s="118">
        <v>12421</v>
      </c>
      <c r="AN60" s="118">
        <v>151093</v>
      </c>
      <c r="AO60" s="118">
        <v>740</v>
      </c>
      <c r="AP60" s="118">
        <f t="shared" si="0"/>
        <v>207</v>
      </c>
    </row>
    <row r="61" spans="1:42" ht="12.75">
      <c r="A61" s="106">
        <v>2018</v>
      </c>
      <c r="B61" s="106">
        <v>-211088</v>
      </c>
      <c r="C61" s="106">
        <v>0</v>
      </c>
      <c r="D61" s="106">
        <v>211088</v>
      </c>
      <c r="E61" s="106" t="s">
        <v>189</v>
      </c>
      <c r="F61" s="106" t="s">
        <v>190</v>
      </c>
      <c r="G61" s="106" t="s">
        <v>104</v>
      </c>
      <c r="H61" s="106">
        <v>6</v>
      </c>
      <c r="I61" s="106" t="s">
        <v>3640</v>
      </c>
      <c r="J61" s="106">
        <v>42330</v>
      </c>
      <c r="K61" s="106">
        <v>28205</v>
      </c>
      <c r="L61" s="106">
        <v>20884</v>
      </c>
      <c r="M61" s="106">
        <v>0.39</v>
      </c>
      <c r="N61" s="106">
        <v>0.84</v>
      </c>
      <c r="O61" s="106">
        <v>0.97</v>
      </c>
      <c r="P61" s="106">
        <v>26417</v>
      </c>
      <c r="Q61" s="106">
        <v>12361.963190184049</v>
      </c>
      <c r="R61" s="106">
        <v>0.43378110737966075</v>
      </c>
      <c r="S61" s="106">
        <v>30304.049079754601</v>
      </c>
      <c r="T61" s="106">
        <v>29566.380368098158</v>
      </c>
      <c r="U61" s="106">
        <v>17807.796786674222</v>
      </c>
      <c r="V61" s="106">
        <v>0.90613097803841214</v>
      </c>
      <c r="W61" s="106">
        <v>72640.8952187182</v>
      </c>
      <c r="X61" s="110">
        <v>0.39510968352381665</v>
      </c>
      <c r="Y61" s="106">
        <v>327.17910447761199</v>
      </c>
      <c r="Z61" s="106">
        <v>13.033049040511729</v>
      </c>
      <c r="AA61" s="106">
        <v>65909.874573748821</v>
      </c>
      <c r="AB61" s="106">
        <v>709.36647740618048</v>
      </c>
      <c r="AC61" s="106">
        <v>1.5172233393966874</v>
      </c>
      <c r="AD61" s="106">
        <v>35.243277848911653</v>
      </c>
      <c r="AE61" s="106">
        <v>92.913714804722986</v>
      </c>
      <c r="AF61" s="106">
        <v>5.5690633321755237E-2</v>
      </c>
      <c r="AG61" s="106">
        <v>41630</v>
      </c>
      <c r="AH61" s="106">
        <v>29804.907975460123</v>
      </c>
      <c r="AI61" s="106">
        <v>30304.049079754601</v>
      </c>
      <c r="AJ61" s="106">
        <v>31454.969325153375</v>
      </c>
      <c r="AK61" s="104">
        <v>18176.687116564419</v>
      </c>
      <c r="AM61" s="118">
        <v>2390</v>
      </c>
      <c r="AN61" s="118">
        <v>102298</v>
      </c>
      <c r="AO61" s="118">
        <v>575</v>
      </c>
      <c r="AP61" s="118">
        <f t="shared" si="0"/>
        <v>700</v>
      </c>
    </row>
    <row r="62" spans="1:42" ht="12.75">
      <c r="A62" s="106">
        <v>2018</v>
      </c>
      <c r="B62" s="106">
        <v>-105899</v>
      </c>
      <c r="C62" s="106">
        <v>0</v>
      </c>
      <c r="D62" s="106">
        <v>105899</v>
      </c>
      <c r="E62" s="106" t="s">
        <v>191</v>
      </c>
      <c r="F62" s="106" t="s">
        <v>146</v>
      </c>
      <c r="G62" s="106" t="s">
        <v>147</v>
      </c>
      <c r="H62" s="106">
        <v>7</v>
      </c>
      <c r="I62" s="106" t="s">
        <v>3641</v>
      </c>
      <c r="J62" s="106">
        <v>24958</v>
      </c>
      <c r="K62" s="106">
        <v>21378</v>
      </c>
      <c r="L62" s="106">
        <v>18892</v>
      </c>
      <c r="M62" s="106">
        <v>0.38</v>
      </c>
      <c r="N62" s="106">
        <v>0.77</v>
      </c>
      <c r="O62" s="106">
        <v>1</v>
      </c>
      <c r="P62" s="106">
        <v>13632</v>
      </c>
      <c r="Q62" s="106">
        <v>9463.002958579882</v>
      </c>
      <c r="R62" s="106">
        <v>0.45948911511179241</v>
      </c>
      <c r="S62" s="106">
        <v>19487.434911242603</v>
      </c>
      <c r="T62" s="106">
        <v>19929.76627218935</v>
      </c>
      <c r="U62" s="106">
        <v>18821.414201183434</v>
      </c>
      <c r="V62" s="106">
        <v>0.59143352702558682</v>
      </c>
      <c r="W62" s="106">
        <v>38947.03532608696</v>
      </c>
      <c r="X62" s="110">
        <v>0.35461088874080149</v>
      </c>
      <c r="Y62" s="106">
        <v>474.6</v>
      </c>
      <c r="Z62" s="106">
        <v>16.899999999999999</v>
      </c>
      <c r="AA62" s="106">
        <v>76187.281437125755</v>
      </c>
      <c r="AB62" s="106">
        <v>670.21049304677626</v>
      </c>
      <c r="AC62" s="106">
        <v>1.3125550369260244</v>
      </c>
      <c r="AD62" s="106">
        <v>23.823109843081312</v>
      </c>
      <c r="AE62" s="106">
        <v>113.67664670658682</v>
      </c>
      <c r="AF62" s="106">
        <v>-1.0858816520248019E-2</v>
      </c>
      <c r="AG62" s="106">
        <v>23972</v>
      </c>
      <c r="AH62" s="106">
        <v>14827.097633136094</v>
      </c>
      <c r="AI62" s="106">
        <v>19464.010355029586</v>
      </c>
      <c r="AJ62" s="106">
        <v>19730.517751479289</v>
      </c>
      <c r="AK62" s="104">
        <v>18821.414201183434</v>
      </c>
      <c r="AM62" s="118">
        <v>786</v>
      </c>
      <c r="AN62" s="118">
        <v>18984</v>
      </c>
      <c r="AO62" s="118">
        <v>167</v>
      </c>
      <c r="AP62" s="118">
        <f t="shared" si="0"/>
        <v>986</v>
      </c>
    </row>
    <row r="63" spans="1:42" ht="12.75">
      <c r="A63" s="106">
        <v>2018</v>
      </c>
      <c r="B63" s="106">
        <v>2908</v>
      </c>
      <c r="C63" s="106">
        <v>1</v>
      </c>
      <c r="D63" s="106">
        <v>104151</v>
      </c>
      <c r="E63" s="106" t="s">
        <v>3832</v>
      </c>
      <c r="F63" s="106" t="s">
        <v>194</v>
      </c>
      <c r="G63" s="106" t="s">
        <v>147</v>
      </c>
      <c r="H63" s="106">
        <v>1</v>
      </c>
      <c r="I63" s="106" t="s">
        <v>23</v>
      </c>
      <c r="J63" s="106">
        <v>10792</v>
      </c>
      <c r="K63" s="106">
        <v>13731</v>
      </c>
      <c r="L63" s="106">
        <v>7300</v>
      </c>
      <c r="M63" s="106">
        <v>0.34</v>
      </c>
      <c r="N63" s="106">
        <v>0.36</v>
      </c>
      <c r="O63" s="106">
        <v>0.88</v>
      </c>
      <c r="P63" s="106">
        <v>10093</v>
      </c>
      <c r="Q63" s="106">
        <v>4680.3561769233966</v>
      </c>
      <c r="R63" s="106">
        <v>0.26507690748713886</v>
      </c>
      <c r="S63" s="106">
        <v>26443.005450838431</v>
      </c>
      <c r="T63" s="106">
        <v>26221.310281696002</v>
      </c>
      <c r="U63" s="106">
        <v>15893.3116154254</v>
      </c>
      <c r="V63" s="106">
        <v>0.81645923240826879</v>
      </c>
      <c r="W63" s="106">
        <v>108656.19910976007</v>
      </c>
      <c r="X63" s="110">
        <v>0.52939234905127808</v>
      </c>
      <c r="Y63" s="106">
        <v>628.0044734248238</v>
      </c>
      <c r="Z63" s="106">
        <v>21.866403821366291</v>
      </c>
      <c r="AA63" s="106">
        <v>55663.648798239381</v>
      </c>
      <c r="AB63" s="106">
        <v>553.38709284417985</v>
      </c>
      <c r="AC63" s="106">
        <v>1.7965045799003199</v>
      </c>
      <c r="AD63" s="106">
        <v>31.789490752000741</v>
      </c>
      <c r="AE63" s="106">
        <v>100.58718303701545</v>
      </c>
      <c r="AF63" s="106">
        <v>4.7287814357430319E-2</v>
      </c>
      <c r="AG63" s="106">
        <v>10104</v>
      </c>
      <c r="AH63" s="106">
        <v>23561.269920525945</v>
      </c>
      <c r="AI63" s="106">
        <v>24349.67544626139</v>
      </c>
      <c r="AJ63" s="106">
        <v>26575.92685058045</v>
      </c>
      <c r="AK63" s="104">
        <v>23351.110972412931</v>
      </c>
      <c r="AL63" s="119">
        <v>306778000</v>
      </c>
      <c r="AM63" s="118">
        <v>83544</v>
      </c>
      <c r="AN63" s="118">
        <v>2760917</v>
      </c>
      <c r="AO63" s="118">
        <v>18178</v>
      </c>
      <c r="AP63" s="118">
        <f t="shared" si="0"/>
        <v>688</v>
      </c>
    </row>
    <row r="64" spans="1:42" ht="12.75">
      <c r="A64" s="106">
        <v>2018</v>
      </c>
      <c r="B64" s="106">
        <v>-104160</v>
      </c>
      <c r="C64" s="106">
        <v>0</v>
      </c>
      <c r="D64" s="106">
        <v>104160</v>
      </c>
      <c r="E64" s="106" t="s">
        <v>196</v>
      </c>
      <c r="F64" s="106" t="s">
        <v>197</v>
      </c>
      <c r="G64" s="106" t="s">
        <v>147</v>
      </c>
      <c r="H64" s="106">
        <v>4</v>
      </c>
      <c r="I64" s="106" t="s">
        <v>24</v>
      </c>
      <c r="J64" s="106">
        <v>1968</v>
      </c>
      <c r="K64" s="106">
        <v>10401</v>
      </c>
      <c r="L64" s="106">
        <v>10101</v>
      </c>
      <c r="M64" s="106">
        <v>0.75</v>
      </c>
      <c r="N64" s="106">
        <v>0.03</v>
      </c>
      <c r="O64" s="106">
        <v>0.15</v>
      </c>
      <c r="P64" s="106">
        <v>6170</v>
      </c>
      <c r="Q64" s="106">
        <v>299.65753931544867</v>
      </c>
      <c r="R64" s="106">
        <v>0.12226766901582184</v>
      </c>
      <c r="S64" s="106">
        <v>12319.906382978723</v>
      </c>
      <c r="T64" s="106">
        <v>11948.136540240517</v>
      </c>
      <c r="U64" s="106">
        <v>9050.0210148362385</v>
      </c>
      <c r="V64" s="106">
        <v>0.23769830474121925</v>
      </c>
      <c r="W64" s="106">
        <v>50286.412556053809</v>
      </c>
      <c r="X64" s="110">
        <v>0.52093183245664376</v>
      </c>
      <c r="Y64" s="106">
        <v>737.02544901065448</v>
      </c>
      <c r="Z64" s="106">
        <v>24.680365296803654</v>
      </c>
      <c r="AA64" s="106">
        <v>23426.898268769091</v>
      </c>
      <c r="AB64" s="106">
        <v>303.05306945605781</v>
      </c>
      <c r="AC64" s="106">
        <v>4.2685975263448421</v>
      </c>
      <c r="AD64" s="106">
        <v>52.043868394815554</v>
      </c>
      <c r="AE64" s="106">
        <v>77.302956577266926</v>
      </c>
      <c r="AF64" s="106">
        <v>8.90210801502547E-2</v>
      </c>
      <c r="AG64" s="106">
        <v>1968</v>
      </c>
      <c r="AH64" s="106">
        <v>11191.125254394079</v>
      </c>
      <c r="AI64" s="106">
        <v>11191.125254394079</v>
      </c>
      <c r="AJ64" s="106">
        <v>12360.539130434783</v>
      </c>
      <c r="AK64" s="104">
        <v>10611.291211840888</v>
      </c>
      <c r="AL64" s="119">
        <v>38036457</v>
      </c>
      <c r="AM64" s="118">
        <v>7557</v>
      </c>
      <c r="AN64" s="118">
        <v>161408.57333333333</v>
      </c>
      <c r="AO64" s="118">
        <v>934</v>
      </c>
      <c r="AP64" s="118">
        <f t="shared" si="0"/>
        <v>0</v>
      </c>
    </row>
    <row r="65" spans="1:42" ht="12.75">
      <c r="A65" s="106">
        <v>2018</v>
      </c>
      <c r="B65" s="106">
        <v>-106306</v>
      </c>
      <c r="C65" s="106">
        <v>0</v>
      </c>
      <c r="D65" s="106">
        <v>106306</v>
      </c>
      <c r="E65" s="106" t="s">
        <v>198</v>
      </c>
      <c r="F65" s="106" t="s">
        <v>199</v>
      </c>
      <c r="G65" s="106" t="s">
        <v>200</v>
      </c>
      <c r="H65" s="106">
        <v>7</v>
      </c>
      <c r="I65" s="106" t="s">
        <v>3641</v>
      </c>
      <c r="J65" s="106">
        <v>8760</v>
      </c>
      <c r="K65" s="106">
        <v>15745</v>
      </c>
      <c r="L65" s="106">
        <v>16027</v>
      </c>
      <c r="M65" s="106">
        <v>0.87</v>
      </c>
      <c r="N65" s="106">
        <v>0.69</v>
      </c>
      <c r="O65" s="106">
        <v>0.48</v>
      </c>
      <c r="P65" s="106">
        <v>4073</v>
      </c>
      <c r="Q65" s="106">
        <v>558.3644688644689</v>
      </c>
      <c r="R65" s="106">
        <v>5.8886065631558161E-2</v>
      </c>
      <c r="S65" s="106">
        <v>20176.173992673994</v>
      </c>
      <c r="T65" s="106">
        <v>27142.261904761905</v>
      </c>
      <c r="U65" s="106">
        <v>17573.658477341905</v>
      </c>
      <c r="V65" s="106">
        <v>0.50779130180869847</v>
      </c>
      <c r="W65" s="106">
        <v>62233.416201117318</v>
      </c>
      <c r="X65" s="110">
        <v>0.50112576692808719</v>
      </c>
      <c r="Y65" s="106">
        <v>682.79166666666663</v>
      </c>
      <c r="Z65" s="106">
        <v>22.75</v>
      </c>
      <c r="AA65" s="106">
        <v>135143.9088539251</v>
      </c>
      <c r="AB65" s="106">
        <v>585.53838583198149</v>
      </c>
      <c r="AC65" s="106">
        <v>0.73995195823504278</v>
      </c>
      <c r="AD65" s="106">
        <v>13.295880149812733</v>
      </c>
      <c r="AE65" s="106">
        <v>230.80281690140845</v>
      </c>
      <c r="AF65" s="106">
        <v>-1.6416878618138109</v>
      </c>
      <c r="AG65" s="106">
        <v>8760</v>
      </c>
      <c r="AH65" s="106">
        <v>19489.652014652016</v>
      </c>
      <c r="AI65" s="106">
        <v>20176.173992673994</v>
      </c>
      <c r="AJ65" s="106">
        <v>20176.173992673994</v>
      </c>
      <c r="AK65" s="104">
        <v>21455.95054945055</v>
      </c>
      <c r="AL65" s="118"/>
      <c r="AM65" s="118">
        <v>593</v>
      </c>
      <c r="AN65" s="118">
        <v>16387</v>
      </c>
      <c r="AO65" s="118">
        <v>71</v>
      </c>
      <c r="AP65" s="118">
        <f t="shared" si="0"/>
        <v>0</v>
      </c>
    </row>
    <row r="66" spans="1:42" ht="12.75">
      <c r="A66" s="106">
        <v>2018</v>
      </c>
      <c r="B66" s="106">
        <v>-107327</v>
      </c>
      <c r="C66" s="106">
        <v>0</v>
      </c>
      <c r="D66" s="106">
        <v>107327</v>
      </c>
      <c r="E66" s="106" t="s">
        <v>201</v>
      </c>
      <c r="F66" s="106" t="s">
        <v>202</v>
      </c>
      <c r="G66" s="106" t="s">
        <v>200</v>
      </c>
      <c r="H66" s="106">
        <v>4</v>
      </c>
      <c r="I66" s="106" t="s">
        <v>24</v>
      </c>
      <c r="J66" s="106">
        <v>2290</v>
      </c>
      <c r="K66" s="106">
        <v>5012</v>
      </c>
      <c r="L66" s="106">
        <v>4574</v>
      </c>
      <c r="M66" s="106">
        <v>0.66</v>
      </c>
      <c r="N66" s="106">
        <v>0.01</v>
      </c>
      <c r="O66" s="106">
        <v>0.4</v>
      </c>
      <c r="P66" s="106">
        <v>2882</v>
      </c>
      <c r="Q66" s="106">
        <v>453.13180827886708</v>
      </c>
      <c r="R66" s="106">
        <v>0.14221129287064935</v>
      </c>
      <c r="S66" s="106">
        <v>20575.172113289762</v>
      </c>
      <c r="T66" s="106">
        <v>20070.894335511981</v>
      </c>
      <c r="U66" s="106">
        <v>13704.600038867307</v>
      </c>
      <c r="V66" s="106">
        <v>0.19943639877703959</v>
      </c>
      <c r="W66" s="106">
        <v>70544.334470989765</v>
      </c>
      <c r="X66" s="110">
        <v>0.74787513824226881</v>
      </c>
      <c r="Y66" s="106">
        <v>486.1764705882353</v>
      </c>
      <c r="Z66" s="106">
        <v>16.2</v>
      </c>
      <c r="AA66" s="106">
        <v>31610.107627337158</v>
      </c>
      <c r="AB66" s="106">
        <v>456.654186413074</v>
      </c>
      <c r="AC66" s="106">
        <v>3.1635450653612351</v>
      </c>
      <c r="AD66" s="106">
        <v>45.17593643586833</v>
      </c>
      <c r="AE66" s="106">
        <v>69.221105527638187</v>
      </c>
      <c r="AF66" s="106">
        <v>2.4838022831960994E-2</v>
      </c>
      <c r="AG66" s="106">
        <v>1932</v>
      </c>
      <c r="AH66" s="106">
        <v>19208.00762527233</v>
      </c>
      <c r="AI66" s="106">
        <v>19727.843137254902</v>
      </c>
      <c r="AJ66" s="106">
        <v>20625.759259259259</v>
      </c>
      <c r="AK66" s="104">
        <v>16831.68845315904</v>
      </c>
      <c r="AL66" s="118">
        <v>10766124</v>
      </c>
      <c r="AM66" s="118">
        <v>1474</v>
      </c>
      <c r="AN66" s="118">
        <v>27550</v>
      </c>
      <c r="AO66" s="118">
        <v>144</v>
      </c>
      <c r="AP66" s="118">
        <f t="shared" si="0"/>
        <v>358</v>
      </c>
    </row>
    <row r="67" spans="1:42" ht="12.75">
      <c r="A67" s="106">
        <v>2018</v>
      </c>
      <c r="B67" s="106">
        <v>-107318</v>
      </c>
      <c r="C67" s="106">
        <v>0</v>
      </c>
      <c r="D67" s="106">
        <v>107318</v>
      </c>
      <c r="E67" s="106" t="s">
        <v>203</v>
      </c>
      <c r="F67" s="106" t="s">
        <v>204</v>
      </c>
      <c r="G67" s="106" t="s">
        <v>200</v>
      </c>
      <c r="H67" s="106">
        <v>4</v>
      </c>
      <c r="I67" s="106" t="s">
        <v>24</v>
      </c>
      <c r="J67" s="106">
        <v>2712</v>
      </c>
      <c r="K67" s="106">
        <v>11174</v>
      </c>
      <c r="L67" s="106">
        <v>11285</v>
      </c>
      <c r="M67" s="106">
        <v>0.85</v>
      </c>
      <c r="N67" s="106">
        <v>0</v>
      </c>
      <c r="O67" s="106">
        <v>0.28999999999999998</v>
      </c>
      <c r="P67" s="106">
        <v>1207</v>
      </c>
      <c r="Q67" s="106">
        <v>542.69676700111484</v>
      </c>
      <c r="R67" s="106">
        <v>0.1342245442270506</v>
      </c>
      <c r="S67" s="106">
        <v>24781.986622073578</v>
      </c>
      <c r="T67" s="106">
        <v>25177.997770345595</v>
      </c>
      <c r="U67" s="106">
        <v>13188.613374114926</v>
      </c>
      <c r="V67" s="106">
        <v>0.26541864581196895</v>
      </c>
      <c r="W67" s="106">
        <v>67347.480427046263</v>
      </c>
      <c r="X67" s="110">
        <v>0.55862810268065088</v>
      </c>
      <c r="Y67" s="106">
        <v>395.91176470588238</v>
      </c>
      <c r="Z67" s="106">
        <v>13.191176470588236</v>
      </c>
      <c r="AA67" s="106">
        <v>25830.100865897573</v>
      </c>
      <c r="AB67" s="106">
        <v>439.42449285272596</v>
      </c>
      <c r="AC67" s="106">
        <v>3.8714521681185503</v>
      </c>
      <c r="AD67" s="106">
        <v>56.265356265356267</v>
      </c>
      <c r="AE67" s="106">
        <v>58.78165938864629</v>
      </c>
      <c r="AF67" s="106">
        <v>-2.021525324027643E-3</v>
      </c>
      <c r="AG67" s="106">
        <v>2208</v>
      </c>
      <c r="AH67" s="106">
        <v>22763.949832775921</v>
      </c>
      <c r="AI67" s="106">
        <v>23197.779264214048</v>
      </c>
      <c r="AJ67" s="106">
        <v>25069.384615384617</v>
      </c>
      <c r="AK67" s="104">
        <v>19273.428093645485</v>
      </c>
      <c r="AL67" s="119">
        <v>10520066</v>
      </c>
      <c r="AM67" s="118">
        <v>1561</v>
      </c>
      <c r="AN67" s="118">
        <v>26922</v>
      </c>
      <c r="AO67" s="118">
        <v>139</v>
      </c>
      <c r="AP67" s="118">
        <f t="shared" si="0"/>
        <v>504</v>
      </c>
    </row>
    <row r="68" spans="1:42" ht="12.75">
      <c r="A68" s="106">
        <v>2018</v>
      </c>
      <c r="B68" s="106">
        <v>-106449</v>
      </c>
      <c r="C68" s="106">
        <v>0</v>
      </c>
      <c r="D68" s="106">
        <v>106449</v>
      </c>
      <c r="E68" s="106" t="s">
        <v>205</v>
      </c>
      <c r="F68" s="106" t="s">
        <v>206</v>
      </c>
      <c r="G68" s="106" t="s">
        <v>200</v>
      </c>
      <c r="H68" s="106">
        <v>4</v>
      </c>
      <c r="I68" s="106" t="s">
        <v>24</v>
      </c>
      <c r="J68" s="106">
        <v>2760</v>
      </c>
      <c r="K68" s="106">
        <v>7367</v>
      </c>
      <c r="L68" s="106">
        <v>6217</v>
      </c>
      <c r="M68" s="106">
        <v>0.56000000000000005</v>
      </c>
      <c r="N68" s="106">
        <v>0.18</v>
      </c>
      <c r="O68" s="106">
        <v>0.35</v>
      </c>
      <c r="P68" s="106">
        <v>2101</v>
      </c>
      <c r="Q68" s="106">
        <v>614.56416011971567</v>
      </c>
      <c r="R68" s="106">
        <v>0.16027589547045196</v>
      </c>
      <c r="S68" s="106">
        <v>12811.369248035915</v>
      </c>
      <c r="T68" s="106">
        <v>12469.477740366628</v>
      </c>
      <c r="U68" s="106">
        <v>7730.5327347549573</v>
      </c>
      <c r="V68" s="106">
        <v>0.4165107492293012</v>
      </c>
      <c r="W68" s="106">
        <v>55634.681957186542</v>
      </c>
      <c r="X68" s="110">
        <v>0.54581584531405292</v>
      </c>
      <c r="Y68" s="106">
        <v>564.66901408450701</v>
      </c>
      <c r="Z68" s="106">
        <v>18.823943661971832</v>
      </c>
      <c r="AA68" s="106">
        <v>14192.111263736264</v>
      </c>
      <c r="AB68" s="106">
        <v>257.70692041954032</v>
      </c>
      <c r="AC68" s="106">
        <v>7.0461679831612072</v>
      </c>
      <c r="AD68" s="106">
        <v>58.356713426853716</v>
      </c>
      <c r="AE68" s="106">
        <v>55.070741758241759</v>
      </c>
      <c r="AF68" s="106">
        <v>3.5019701346450882E-2</v>
      </c>
      <c r="AG68" s="106">
        <v>2400</v>
      </c>
      <c r="AH68" s="106">
        <v>11857.870183314628</v>
      </c>
      <c r="AI68" s="106">
        <v>11857.92630003741</v>
      </c>
      <c r="AJ68" s="106">
        <v>12883.509913954358</v>
      </c>
      <c r="AK68" s="104">
        <v>9117.9723157500939</v>
      </c>
      <c r="AL68" s="118">
        <v>15975852</v>
      </c>
      <c r="AM68" s="118">
        <v>3739</v>
      </c>
      <c r="AN68" s="118">
        <v>80183</v>
      </c>
      <c r="AO68" s="118">
        <v>585</v>
      </c>
      <c r="AP68" s="118">
        <f t="shared" si="0"/>
        <v>360</v>
      </c>
    </row>
    <row r="69" spans="1:42" ht="12.75">
      <c r="A69" s="106">
        <v>2018</v>
      </c>
      <c r="B69" s="106">
        <v>-106458</v>
      </c>
      <c r="C69" s="106">
        <v>0</v>
      </c>
      <c r="D69" s="106">
        <v>106458</v>
      </c>
      <c r="E69" s="106" t="s">
        <v>207</v>
      </c>
      <c r="F69" s="106" t="s">
        <v>208</v>
      </c>
      <c r="G69" s="106" t="s">
        <v>200</v>
      </c>
      <c r="H69" s="106">
        <v>2</v>
      </c>
      <c r="I69" s="106" t="s">
        <v>25</v>
      </c>
      <c r="J69" s="106">
        <v>8478</v>
      </c>
      <c r="K69" s="106">
        <v>13459</v>
      </c>
      <c r="L69" s="106">
        <v>11376</v>
      </c>
      <c r="M69" s="106">
        <v>0.41</v>
      </c>
      <c r="N69" s="106">
        <v>0.56999999999999995</v>
      </c>
      <c r="O69" s="106">
        <v>0.77</v>
      </c>
      <c r="P69" s="106">
        <v>6791</v>
      </c>
      <c r="Q69" s="106">
        <v>1748.9083892094184</v>
      </c>
      <c r="R69" s="106">
        <v>0.24469699166298992</v>
      </c>
      <c r="S69" s="106">
        <v>16383.596912521441</v>
      </c>
      <c r="T69" s="106">
        <v>16882.628644939967</v>
      </c>
      <c r="U69" s="106">
        <v>8620.3596394685464</v>
      </c>
      <c r="V69" s="106">
        <v>0.62623056454570691</v>
      </c>
      <c r="W69" s="106">
        <v>61327.800978792817</v>
      </c>
      <c r="X69" s="110">
        <v>0.46297260747080649</v>
      </c>
      <c r="Y69" s="106">
        <v>589.07893274041135</v>
      </c>
      <c r="Z69" s="106">
        <v>21.388549193996667</v>
      </c>
      <c r="AA69" s="106">
        <v>23296.403863426796</v>
      </c>
      <c r="AB69" s="106">
        <v>312.99198795141012</v>
      </c>
      <c r="AC69" s="106">
        <v>4.2925080019320392</v>
      </c>
      <c r="AD69" s="106">
        <v>47.455254474552547</v>
      </c>
      <c r="AE69" s="106">
        <v>74.431310577328276</v>
      </c>
      <c r="AF69" s="106">
        <v>-1.0220015692956465E-2</v>
      </c>
      <c r="AG69" s="106">
        <v>6300</v>
      </c>
      <c r="AH69" s="106">
        <v>16548.611960081085</v>
      </c>
      <c r="AI69" s="106">
        <v>16758.962965850616</v>
      </c>
      <c r="AJ69" s="106">
        <v>16542.952362388896</v>
      </c>
      <c r="AK69" s="104">
        <v>12772.490644004367</v>
      </c>
      <c r="AL69" s="118">
        <v>66308232</v>
      </c>
      <c r="AM69" s="118">
        <v>9604</v>
      </c>
      <c r="AN69" s="118">
        <v>353251</v>
      </c>
      <c r="AO69" s="118">
        <v>2423</v>
      </c>
      <c r="AP69" s="118">
        <f t="shared" si="0"/>
        <v>2178</v>
      </c>
    </row>
    <row r="70" spans="1:42" ht="12.75">
      <c r="A70" s="106">
        <v>2018</v>
      </c>
      <c r="B70" s="106">
        <v>-420538</v>
      </c>
      <c r="C70" s="106">
        <v>0</v>
      </c>
      <c r="D70" s="106">
        <v>420538</v>
      </c>
      <c r="E70" s="106" t="s">
        <v>209</v>
      </c>
      <c r="F70" s="106" t="s">
        <v>210</v>
      </c>
      <c r="G70" s="106" t="s">
        <v>200</v>
      </c>
      <c r="H70" s="106">
        <v>4</v>
      </c>
      <c r="I70" s="106" t="s">
        <v>24</v>
      </c>
      <c r="J70" s="106">
        <v>2832</v>
      </c>
      <c r="K70" s="106">
        <v>10207</v>
      </c>
      <c r="L70" s="106">
        <v>9700</v>
      </c>
      <c r="M70" s="106">
        <v>0.71</v>
      </c>
      <c r="N70" s="106">
        <v>0.15</v>
      </c>
      <c r="O70" s="106">
        <v>0.23</v>
      </c>
      <c r="P70" s="106">
        <v>1717</v>
      </c>
      <c r="Q70" s="106">
        <v>688.69626639757826</v>
      </c>
      <c r="R70" s="106">
        <v>0.16449833524786658</v>
      </c>
      <c r="S70" s="106">
        <v>14043.347124117054</v>
      </c>
      <c r="T70" s="106">
        <v>14315.436932391523</v>
      </c>
      <c r="U70" s="106">
        <v>11977.253722336138</v>
      </c>
      <c r="V70" s="106">
        <v>0.29204938185370188</v>
      </c>
      <c r="W70" s="106">
        <v>50511.317380352644</v>
      </c>
      <c r="X70" s="110">
        <v>0.47117222888813792</v>
      </c>
      <c r="Y70" s="106">
        <v>524.73529411764707</v>
      </c>
      <c r="Z70" s="106">
        <v>17.488235294117647</v>
      </c>
      <c r="AA70" s="106">
        <v>19586.565080585995</v>
      </c>
      <c r="AB70" s="106">
        <v>399.17465743518119</v>
      </c>
      <c r="AC70" s="106">
        <v>5.1055404349136735</v>
      </c>
      <c r="AD70" s="106">
        <v>68.166479190101242</v>
      </c>
      <c r="AE70" s="106">
        <v>49.067656765676567</v>
      </c>
      <c r="AF70" s="106">
        <v>-9.0759311559730806E-3</v>
      </c>
      <c r="AG70" s="106">
        <v>2304</v>
      </c>
      <c r="AH70" s="106">
        <v>12775.747729566096</v>
      </c>
      <c r="AI70" s="106">
        <v>13127.119071644804</v>
      </c>
      <c r="AJ70" s="106">
        <v>14051.546922300706</v>
      </c>
      <c r="AK70" s="104">
        <v>13844.809283551967</v>
      </c>
      <c r="AL70" s="118">
        <v>6117116</v>
      </c>
      <c r="AM70" s="118">
        <v>1410</v>
      </c>
      <c r="AN70" s="118">
        <v>29735</v>
      </c>
      <c r="AO70" s="118">
        <v>234</v>
      </c>
      <c r="AP70" s="118">
        <f t="shared" ref="AP70:AP133" si="1">J70-AG70</f>
        <v>528</v>
      </c>
    </row>
    <row r="71" spans="1:42" ht="12.75">
      <c r="A71" s="106">
        <v>2018</v>
      </c>
      <c r="B71" s="106">
        <v>-440402</v>
      </c>
      <c r="C71" s="106">
        <v>0</v>
      </c>
      <c r="D71" s="106">
        <v>440402</v>
      </c>
      <c r="E71" s="106" t="s">
        <v>211</v>
      </c>
      <c r="F71" s="106" t="s">
        <v>212</v>
      </c>
      <c r="G71" s="106" t="s">
        <v>200</v>
      </c>
      <c r="H71" s="106">
        <v>4</v>
      </c>
      <c r="I71" s="106" t="s">
        <v>24</v>
      </c>
      <c r="J71" s="106">
        <v>2760</v>
      </c>
      <c r="K71" s="106">
        <v>10835</v>
      </c>
      <c r="L71" s="106">
        <v>9586</v>
      </c>
      <c r="M71" s="106">
        <v>0.61</v>
      </c>
      <c r="N71" s="106">
        <v>0.16</v>
      </c>
      <c r="O71" s="106">
        <v>0.18</v>
      </c>
      <c r="P71" s="106">
        <v>1610</v>
      </c>
      <c r="Q71" s="106">
        <v>366.5436529191216</v>
      </c>
      <c r="R71" s="106">
        <v>9.0629666652363772E-2</v>
      </c>
      <c r="S71" s="106">
        <v>11131.514193893947</v>
      </c>
      <c r="T71" s="106">
        <v>11376.624531333691</v>
      </c>
      <c r="U71" s="106">
        <v>8058.9137653990356</v>
      </c>
      <c r="V71" s="106">
        <v>0.45637263398784206</v>
      </c>
      <c r="W71" s="106">
        <v>61085.546511627908</v>
      </c>
      <c r="X71" s="110">
        <v>0.57710648856755209</v>
      </c>
      <c r="Y71" s="106">
        <v>575.33219178082197</v>
      </c>
      <c r="Z71" s="106">
        <v>19.18150684931507</v>
      </c>
      <c r="AA71" s="106">
        <v>15015.960079840319</v>
      </c>
      <c r="AB71" s="106">
        <v>268.68322648618727</v>
      </c>
      <c r="AC71" s="106">
        <v>6.6595808372090062</v>
      </c>
      <c r="AD71" s="106">
        <v>63.781031190324633</v>
      </c>
      <c r="AE71" s="106">
        <v>55.887225548902194</v>
      </c>
      <c r="AF71" s="106">
        <v>-2.0088206564685671E-2</v>
      </c>
      <c r="AG71" s="106">
        <v>2304</v>
      </c>
      <c r="AH71" s="106">
        <v>10116.521692554901</v>
      </c>
      <c r="AI71" s="106">
        <v>10128.479378682378</v>
      </c>
      <c r="AJ71" s="106">
        <v>11158.876807712908</v>
      </c>
      <c r="AK71" s="104">
        <v>9323.517943224424</v>
      </c>
      <c r="AL71" s="118">
        <v>8647195</v>
      </c>
      <c r="AM71" s="118">
        <v>2386</v>
      </c>
      <c r="AN71" s="118">
        <v>55999</v>
      </c>
      <c r="AO71" s="118">
        <v>228</v>
      </c>
      <c r="AP71" s="118">
        <f t="shared" si="1"/>
        <v>456</v>
      </c>
    </row>
    <row r="72" spans="1:42" ht="12.75">
      <c r="A72" s="106">
        <v>2018</v>
      </c>
      <c r="B72" s="106">
        <v>-106467</v>
      </c>
      <c r="C72" s="106">
        <v>0</v>
      </c>
      <c r="D72" s="106">
        <v>106467</v>
      </c>
      <c r="E72" s="106" t="s">
        <v>213</v>
      </c>
      <c r="F72" s="106" t="s">
        <v>214</v>
      </c>
      <c r="G72" s="106" t="s">
        <v>200</v>
      </c>
      <c r="H72" s="106">
        <v>2</v>
      </c>
      <c r="I72" s="106" t="s">
        <v>25</v>
      </c>
      <c r="J72" s="106">
        <v>7104</v>
      </c>
      <c r="K72" s="106">
        <v>11674</v>
      </c>
      <c r="L72" s="106">
        <v>11077</v>
      </c>
      <c r="M72" s="106">
        <v>0.55000000000000004</v>
      </c>
      <c r="N72" s="106">
        <v>0.56999999999999995</v>
      </c>
      <c r="O72" s="106">
        <v>0.5</v>
      </c>
      <c r="P72" s="106">
        <v>5652</v>
      </c>
      <c r="Q72" s="106">
        <v>2166.1866818440521</v>
      </c>
      <c r="R72" s="106">
        <v>0.2715522977565783</v>
      </c>
      <c r="S72" s="106">
        <v>15660.578030734207</v>
      </c>
      <c r="T72" s="106">
        <v>15514.592942515652</v>
      </c>
      <c r="U72" s="106">
        <v>8395.0712805957301</v>
      </c>
      <c r="V72" s="106">
        <v>0.69217576469600839</v>
      </c>
      <c r="W72" s="106">
        <v>74994.598591549293</v>
      </c>
      <c r="X72" s="110">
        <v>0.5469331134212827</v>
      </c>
      <c r="Y72" s="106">
        <v>572.61838235294124</v>
      </c>
      <c r="Z72" s="106">
        <v>19.378676470588236</v>
      </c>
      <c r="AA72" s="106">
        <v>23155.636169555255</v>
      </c>
      <c r="AB72" s="106">
        <v>284.10783744961606</v>
      </c>
      <c r="AC72" s="106">
        <v>4.3186030073956152</v>
      </c>
      <c r="AD72" s="106">
        <v>35.984634504575752</v>
      </c>
      <c r="AE72" s="106">
        <v>81.502982731554155</v>
      </c>
      <c r="AF72" s="106">
        <v>5.425677353990533E-2</v>
      </c>
      <c r="AG72" s="106">
        <v>5424</v>
      </c>
      <c r="AH72" s="106">
        <v>15455.495048377918</v>
      </c>
      <c r="AI72" s="106">
        <v>15455.495048377918</v>
      </c>
      <c r="AJ72" s="106">
        <v>15859.587250996015</v>
      </c>
      <c r="AK72" s="104">
        <v>10975.156516789983</v>
      </c>
      <c r="AL72" s="118">
        <v>35937492</v>
      </c>
      <c r="AM72" s="118">
        <v>10781</v>
      </c>
      <c r="AN72" s="118">
        <v>259587</v>
      </c>
      <c r="AO72" s="118">
        <v>2247</v>
      </c>
      <c r="AP72" s="118">
        <f t="shared" si="1"/>
        <v>1680</v>
      </c>
    </row>
    <row r="73" spans="1:42" ht="12.75">
      <c r="A73" s="106">
        <v>2018</v>
      </c>
      <c r="B73" s="106">
        <v>-156213</v>
      </c>
      <c r="C73" s="106">
        <v>0</v>
      </c>
      <c r="D73" s="106">
        <v>156213</v>
      </c>
      <c r="E73" s="106" t="s">
        <v>216</v>
      </c>
      <c r="F73" s="106" t="s">
        <v>217</v>
      </c>
      <c r="G73" s="106" t="s">
        <v>118</v>
      </c>
      <c r="H73" s="106">
        <v>6</v>
      </c>
      <c r="I73" s="106" t="s">
        <v>3640</v>
      </c>
      <c r="J73" s="106">
        <v>29500</v>
      </c>
      <c r="K73" s="106">
        <v>22646</v>
      </c>
      <c r="L73" s="106">
        <v>21836</v>
      </c>
      <c r="M73" s="106">
        <v>0.33</v>
      </c>
      <c r="N73" s="106">
        <v>0.69</v>
      </c>
      <c r="O73" s="106">
        <v>0.97</v>
      </c>
      <c r="P73" s="106">
        <v>13289</v>
      </c>
      <c r="Q73" s="106">
        <v>9634.791950464396</v>
      </c>
      <c r="R73" s="106">
        <v>0.39789099366519715</v>
      </c>
      <c r="S73" s="106">
        <v>22792.522600619195</v>
      </c>
      <c r="T73" s="106">
        <v>23596.894736842107</v>
      </c>
      <c r="U73" s="106">
        <v>19443.054024020534</v>
      </c>
      <c r="V73" s="106">
        <v>0.74987499617637776</v>
      </c>
      <c r="W73" s="106">
        <v>63927.811926605507</v>
      </c>
      <c r="X73" s="110">
        <v>0.60949156740857835</v>
      </c>
      <c r="Y73" s="106">
        <v>349</v>
      </c>
      <c r="Z73" s="106">
        <v>11.875</v>
      </c>
      <c r="AA73" s="106">
        <v>84183.732570491047</v>
      </c>
      <c r="AB73" s="106">
        <v>661.56523362534051</v>
      </c>
      <c r="AC73" s="106">
        <v>1.1878779539297006</v>
      </c>
      <c r="AD73" s="106">
        <v>23.196517412935325</v>
      </c>
      <c r="AE73" s="106">
        <v>127.24932975871313</v>
      </c>
      <c r="AF73" s="106">
        <v>1.75057456237722E-2</v>
      </c>
      <c r="AG73" s="106">
        <v>29302</v>
      </c>
      <c r="AH73" s="106">
        <v>19829.310216718266</v>
      </c>
      <c r="AI73" s="106">
        <v>22881.067492260063</v>
      </c>
      <c r="AJ73" s="106">
        <v>24908.922600619197</v>
      </c>
      <c r="AK73" s="104">
        <v>19656.967182662538</v>
      </c>
      <c r="AL73" s="118"/>
      <c r="AM73" s="118">
        <v>1733</v>
      </c>
      <c r="AN73" s="118">
        <v>47464</v>
      </c>
      <c r="AO73" s="118">
        <v>303</v>
      </c>
      <c r="AP73" s="118">
        <f t="shared" si="1"/>
        <v>198</v>
      </c>
    </row>
    <row r="74" spans="1:42" ht="12.75">
      <c r="A74" s="106">
        <v>2018</v>
      </c>
      <c r="B74" s="106">
        <v>-197887</v>
      </c>
      <c r="C74" s="106">
        <v>0</v>
      </c>
      <c r="D74" s="106">
        <v>197887</v>
      </c>
      <c r="E74" s="106" t="s">
        <v>218</v>
      </c>
      <c r="F74" s="106" t="s">
        <v>219</v>
      </c>
      <c r="G74" s="106" t="s">
        <v>90</v>
      </c>
      <c r="H74" s="106">
        <v>4</v>
      </c>
      <c r="I74" s="106" t="s">
        <v>24</v>
      </c>
      <c r="J74" s="106">
        <v>2602</v>
      </c>
      <c r="K74" s="106">
        <v>6893</v>
      </c>
      <c r="L74" s="106">
        <v>5924</v>
      </c>
      <c r="M74" s="106">
        <v>0.56999999999999995</v>
      </c>
      <c r="N74" s="106">
        <v>0.11</v>
      </c>
      <c r="O74" s="106">
        <v>0.17</v>
      </c>
      <c r="P74" s="106">
        <v>2364</v>
      </c>
      <c r="Q74" s="106">
        <v>8.797174747122428</v>
      </c>
      <c r="R74" s="106">
        <v>4.3718488744155359E-3</v>
      </c>
      <c r="S74" s="106">
        <v>10252.001395186606</v>
      </c>
      <c r="T74" s="106">
        <v>11117.310952214859</v>
      </c>
      <c r="U74" s="106">
        <v>9537.4691314963384</v>
      </c>
      <c r="V74" s="106">
        <v>0.21005939015921782</v>
      </c>
      <c r="W74" s="106">
        <v>60931.633928571428</v>
      </c>
      <c r="X74" s="110">
        <v>0.64232474858565536</v>
      </c>
      <c r="Y74" s="106">
        <v>521.76339737108196</v>
      </c>
      <c r="Z74" s="106">
        <v>17.393326592517695</v>
      </c>
      <c r="AA74" s="106">
        <v>39542.912509038324</v>
      </c>
      <c r="AB74" s="106">
        <v>317.93781684572809</v>
      </c>
      <c r="AC74" s="106">
        <v>2.5288981932512686</v>
      </c>
      <c r="AD74" s="106">
        <v>34.317617866004966</v>
      </c>
      <c r="AE74" s="106">
        <v>124.37310195227765</v>
      </c>
      <c r="AF74" s="106">
        <v>-1.0239994550497079E-2</v>
      </c>
      <c r="AG74" s="106">
        <v>2432</v>
      </c>
      <c r="AH74" s="106">
        <v>9485.2821764911059</v>
      </c>
      <c r="AI74" s="106">
        <v>9527.2059644227411</v>
      </c>
      <c r="AJ74" s="106">
        <v>10264.092431112662</v>
      </c>
      <c r="AK74" s="104">
        <v>10485.673700732474</v>
      </c>
      <c r="AL74" s="118">
        <v>36088033</v>
      </c>
      <c r="AM74" s="118">
        <v>7262</v>
      </c>
      <c r="AN74" s="118">
        <v>172008</v>
      </c>
      <c r="AO74" s="118">
        <v>928</v>
      </c>
      <c r="AP74" s="118">
        <f t="shared" si="1"/>
        <v>170</v>
      </c>
    </row>
    <row r="75" spans="1:42" ht="12.75">
      <c r="A75" s="106">
        <v>2018</v>
      </c>
      <c r="B75" s="106">
        <v>-156231</v>
      </c>
      <c r="C75" s="106">
        <v>0</v>
      </c>
      <c r="D75" s="106">
        <v>156231</v>
      </c>
      <c r="E75" s="106" t="s">
        <v>4043</v>
      </c>
      <c r="F75" s="106" t="s">
        <v>220</v>
      </c>
      <c r="G75" s="106" t="s">
        <v>118</v>
      </c>
      <c r="H75" s="106">
        <v>4</v>
      </c>
      <c r="I75" s="106" t="s">
        <v>24</v>
      </c>
      <c r="J75" s="106">
        <v>4080</v>
      </c>
      <c r="K75" s="106">
        <v>5733</v>
      </c>
      <c r="L75" s="106">
        <v>4769</v>
      </c>
      <c r="M75" s="106">
        <v>0.72</v>
      </c>
      <c r="N75" s="106">
        <v>0.36</v>
      </c>
      <c r="O75" s="106">
        <v>0.12</v>
      </c>
      <c r="P75" s="106">
        <v>1287</v>
      </c>
      <c r="Q75" s="106">
        <v>3258.9303191489362</v>
      </c>
      <c r="R75" s="106">
        <v>0.62469446066476431</v>
      </c>
      <c r="S75" s="106">
        <v>13455.218617021277</v>
      </c>
      <c r="T75" s="106">
        <v>12197.152659574467</v>
      </c>
      <c r="U75" s="106">
        <v>9505.2020164954938</v>
      </c>
      <c r="V75" s="106">
        <v>0.20598284047414345</v>
      </c>
      <c r="W75" s="106">
        <v>58115.455813953486</v>
      </c>
      <c r="X75" s="110">
        <v>0.5448962255622356</v>
      </c>
      <c r="Y75" s="106">
        <v>537.10476190476186</v>
      </c>
      <c r="Z75" s="106">
        <v>17.904761904761905</v>
      </c>
      <c r="AA75" s="106">
        <v>8401.4009360655982</v>
      </c>
      <c r="AB75" s="106">
        <v>316.86253973706516</v>
      </c>
      <c r="AC75" s="106">
        <v>11.902776782229168</v>
      </c>
      <c r="AD75" s="106">
        <v>117.90465631929045</v>
      </c>
      <c r="AE75" s="106">
        <v>26.514339445228021</v>
      </c>
      <c r="AF75" s="106"/>
      <c r="AG75" s="106">
        <v>3888</v>
      </c>
      <c r="AH75" s="106">
        <v>12672.640957446809</v>
      </c>
      <c r="AI75" s="106">
        <v>12689.773936170213</v>
      </c>
      <c r="AJ75" s="106">
        <v>13479.025531914893</v>
      </c>
      <c r="AK75" s="104">
        <v>11074.334042553191</v>
      </c>
      <c r="AL75" s="118">
        <v>9714000</v>
      </c>
      <c r="AM75" s="118">
        <v>2603</v>
      </c>
      <c r="AN75" s="118">
        <v>56396</v>
      </c>
      <c r="AO75" s="118">
        <v>430</v>
      </c>
      <c r="AP75" s="118">
        <f t="shared" si="1"/>
        <v>192</v>
      </c>
    </row>
    <row r="76" spans="1:42" ht="12.75">
      <c r="A76" s="106">
        <v>2018</v>
      </c>
      <c r="B76" s="106">
        <v>-201104</v>
      </c>
      <c r="C76" s="106">
        <v>0</v>
      </c>
      <c r="D76" s="106">
        <v>201104</v>
      </c>
      <c r="E76" s="106" t="s">
        <v>221</v>
      </c>
      <c r="F76" s="106" t="s">
        <v>220</v>
      </c>
      <c r="G76" s="106" t="s">
        <v>82</v>
      </c>
      <c r="H76" s="106">
        <v>5</v>
      </c>
      <c r="I76" s="106" t="s">
        <v>3639</v>
      </c>
      <c r="J76" s="106">
        <v>20700</v>
      </c>
      <c r="K76" s="106">
        <v>20231</v>
      </c>
      <c r="L76" s="106">
        <v>16125</v>
      </c>
      <c r="M76" s="106">
        <v>0.35</v>
      </c>
      <c r="N76" s="106">
        <v>0.83</v>
      </c>
      <c r="O76" s="106">
        <v>0.93</v>
      </c>
      <c r="P76" s="106">
        <v>10234</v>
      </c>
      <c r="Q76" s="106">
        <v>4949.3493904836805</v>
      </c>
      <c r="R76" s="106">
        <v>0.27349188387522899</v>
      </c>
      <c r="S76" s="106">
        <v>20811.639205662603</v>
      </c>
      <c r="T76" s="106">
        <v>19384.46047974833</v>
      </c>
      <c r="U76" s="106">
        <v>16791.843441324516</v>
      </c>
      <c r="V76" s="106">
        <v>0.782971157718925</v>
      </c>
      <c r="W76" s="106">
        <v>73038.17132138391</v>
      </c>
      <c r="X76" s="110">
        <v>0.59241877060047221</v>
      </c>
      <c r="Y76" s="106">
        <v>496.26223776223776</v>
      </c>
      <c r="Z76" s="106">
        <v>17.783216783216783</v>
      </c>
      <c r="AA76" s="106">
        <v>58018.556890337284</v>
      </c>
      <c r="AB76" s="106">
        <v>601.72418810954957</v>
      </c>
      <c r="AC76" s="106">
        <v>1.7235864757721082</v>
      </c>
      <c r="AD76" s="106">
        <v>28.118433619866284</v>
      </c>
      <c r="AE76" s="106">
        <v>96.420516304347828</v>
      </c>
      <c r="AF76" s="106">
        <v>7.5815892635230572E-2</v>
      </c>
      <c r="AG76" s="106">
        <v>19740</v>
      </c>
      <c r="AH76" s="106">
        <v>18361.122099882028</v>
      </c>
      <c r="AI76" s="106">
        <v>20811.639009044437</v>
      </c>
      <c r="AJ76" s="106">
        <v>21432.807510814</v>
      </c>
      <c r="AK76" s="104">
        <v>16828.02772316162</v>
      </c>
      <c r="AM76" s="118">
        <v>4813</v>
      </c>
      <c r="AN76" s="118">
        <v>141931</v>
      </c>
      <c r="AO76" s="118">
        <v>807</v>
      </c>
      <c r="AP76" s="118">
        <f t="shared" si="1"/>
        <v>960</v>
      </c>
    </row>
    <row r="77" spans="1:42" ht="12.75">
      <c r="A77" s="106">
        <v>2018</v>
      </c>
      <c r="B77" s="106">
        <v>-128577</v>
      </c>
      <c r="C77" s="106">
        <v>0</v>
      </c>
      <c r="D77" s="106">
        <v>128577</v>
      </c>
      <c r="E77" s="106" t="s">
        <v>222</v>
      </c>
      <c r="F77" s="106" t="s">
        <v>223</v>
      </c>
      <c r="G77" s="106" t="s">
        <v>99</v>
      </c>
      <c r="H77" s="106">
        <v>4</v>
      </c>
      <c r="I77" s="106" t="s">
        <v>24</v>
      </c>
      <c r="J77" s="106">
        <v>4356</v>
      </c>
      <c r="K77" s="106">
        <v>8610</v>
      </c>
      <c r="L77" s="106">
        <v>7814</v>
      </c>
      <c r="M77" s="106">
        <v>0.59</v>
      </c>
      <c r="N77" s="106">
        <v>0.3</v>
      </c>
      <c r="O77" s="106">
        <v>0.2</v>
      </c>
      <c r="P77" s="106">
        <v>1386</v>
      </c>
      <c r="Q77" s="106">
        <v>846.24152910512601</v>
      </c>
      <c r="R77" s="106">
        <v>0.11530852201320405</v>
      </c>
      <c r="S77" s="106">
        <v>18652.455256298872</v>
      </c>
      <c r="T77" s="106">
        <v>22794.790616854909</v>
      </c>
      <c r="U77" s="106">
        <v>18390.413553431797</v>
      </c>
      <c r="V77" s="106">
        <v>0.35304761111987198</v>
      </c>
      <c r="W77" s="106">
        <v>121564.623853211</v>
      </c>
      <c r="X77" s="110">
        <v>0.67338201710848622</v>
      </c>
      <c r="Y77" s="106">
        <v>507.8235294117647</v>
      </c>
      <c r="Z77" s="106">
        <v>16.926470588235293</v>
      </c>
      <c r="AA77" s="106">
        <v>49572.285714285717</v>
      </c>
      <c r="AB77" s="106">
        <v>612.978281014711</v>
      </c>
      <c r="AC77" s="106">
        <v>2.0172561857720042</v>
      </c>
      <c r="AD77" s="106">
        <v>39.647168059424324</v>
      </c>
      <c r="AE77" s="106">
        <v>80.871194379391099</v>
      </c>
      <c r="AF77" s="106">
        <v>-7.4028062508185045E-3</v>
      </c>
      <c r="AG77" s="106">
        <v>3816</v>
      </c>
      <c r="AH77" s="106">
        <v>18197.41615986099</v>
      </c>
      <c r="AI77" s="106">
        <v>18331.623805386622</v>
      </c>
      <c r="AJ77" s="106">
        <v>18673.306689834928</v>
      </c>
      <c r="AK77" s="104">
        <v>19194.851433536056</v>
      </c>
      <c r="AL77" s="118">
        <v>11859336</v>
      </c>
      <c r="AM77" s="118">
        <v>1870</v>
      </c>
      <c r="AN77" s="118">
        <v>34532</v>
      </c>
      <c r="AO77" s="118">
        <v>139</v>
      </c>
      <c r="AP77" s="118">
        <f t="shared" si="1"/>
        <v>540</v>
      </c>
    </row>
    <row r="78" spans="1:42" ht="12.75">
      <c r="A78" s="106">
        <v>2018</v>
      </c>
      <c r="B78" s="106">
        <v>-164562</v>
      </c>
      <c r="C78" s="106">
        <v>0</v>
      </c>
      <c r="D78" s="106">
        <v>164562</v>
      </c>
      <c r="E78" s="106" t="s">
        <v>224</v>
      </c>
      <c r="F78" s="106" t="s">
        <v>225</v>
      </c>
      <c r="G78" s="106" t="s">
        <v>150</v>
      </c>
      <c r="H78" s="106">
        <v>6</v>
      </c>
      <c r="I78" s="106" t="s">
        <v>3640</v>
      </c>
      <c r="J78" s="106">
        <v>36260</v>
      </c>
      <c r="K78" s="106">
        <v>29854</v>
      </c>
      <c r="L78" s="106">
        <v>24500</v>
      </c>
      <c r="M78" s="106">
        <v>0.22</v>
      </c>
      <c r="N78" s="106">
        <v>0.76</v>
      </c>
      <c r="O78" s="106">
        <v>0.99</v>
      </c>
      <c r="P78" s="106">
        <v>22028</v>
      </c>
      <c r="Q78" s="106">
        <v>15159.324738114425</v>
      </c>
      <c r="R78" s="106">
        <v>0.48211357326472748</v>
      </c>
      <c r="S78" s="106">
        <v>26246.155116841259</v>
      </c>
      <c r="T78" s="106">
        <v>27280.358581788882</v>
      </c>
      <c r="U78" s="106">
        <v>19881.740531829171</v>
      </c>
      <c r="V78" s="106">
        <v>0.81905039629979681</v>
      </c>
      <c r="W78" s="106">
        <v>91633.771764705889</v>
      </c>
      <c r="X78" s="110">
        <v>0.57516525291371934</v>
      </c>
      <c r="Y78" s="106">
        <v>347.12919463087252</v>
      </c>
      <c r="Z78" s="106">
        <v>12.493288590604028</v>
      </c>
      <c r="AA78" s="106">
        <v>73214.36201780416</v>
      </c>
      <c r="AB78" s="106">
        <v>715.55007757783164</v>
      </c>
      <c r="AC78" s="106">
        <v>1.3658522350530371</v>
      </c>
      <c r="AD78" s="106">
        <v>30.156599552572704</v>
      </c>
      <c r="AE78" s="106">
        <v>102.31899109792285</v>
      </c>
      <c r="AF78" s="106">
        <v>2.6185019680999783E-3</v>
      </c>
      <c r="AG78" s="106">
        <v>35510</v>
      </c>
      <c r="AH78" s="106">
        <v>26370.779210314264</v>
      </c>
      <c r="AI78" s="106">
        <v>26896.265914585012</v>
      </c>
      <c r="AJ78" s="106">
        <v>27462.644238517325</v>
      </c>
      <c r="AK78" s="104">
        <v>19881.740531829171</v>
      </c>
      <c r="AM78" s="118">
        <v>2084</v>
      </c>
      <c r="AN78" s="118">
        <v>68963</v>
      </c>
      <c r="AO78" s="118">
        <v>477</v>
      </c>
      <c r="AP78" s="118">
        <f t="shared" si="1"/>
        <v>750</v>
      </c>
    </row>
    <row r="79" spans="1:42" ht="12.75">
      <c r="A79" s="106">
        <v>2018</v>
      </c>
      <c r="B79" s="106">
        <v>-100812</v>
      </c>
      <c r="C79" s="106">
        <v>0</v>
      </c>
      <c r="D79" s="106">
        <v>100812</v>
      </c>
      <c r="E79" s="106" t="s">
        <v>226</v>
      </c>
      <c r="F79" s="106" t="s">
        <v>227</v>
      </c>
      <c r="G79" s="106" t="s">
        <v>85</v>
      </c>
      <c r="H79" s="106">
        <v>3</v>
      </c>
      <c r="I79" s="104" t="s">
        <v>26</v>
      </c>
      <c r="J79" s="106">
        <v>6690</v>
      </c>
      <c r="K79" s="106"/>
      <c r="L79" s="106"/>
      <c r="M79" s="106"/>
      <c r="N79" s="106"/>
      <c r="O79" s="106"/>
      <c r="P79" s="106"/>
      <c r="Q79" s="106">
        <v>389.50743657042869</v>
      </c>
      <c r="R79" s="106">
        <v>4.607542299822924E-2</v>
      </c>
      <c r="S79" s="106">
        <v>16388.767279090112</v>
      </c>
      <c r="T79" s="106">
        <v>15460.181977252843</v>
      </c>
      <c r="U79" s="106">
        <v>13823.475503062116</v>
      </c>
      <c r="V79" s="106">
        <v>0.58336882068032858</v>
      </c>
      <c r="W79" s="106">
        <v>86104.602150537641</v>
      </c>
      <c r="X79" s="110">
        <v>0.67973516817509017</v>
      </c>
      <c r="Y79" s="106">
        <v>570.93016759776526</v>
      </c>
      <c r="Z79" s="106">
        <v>19.156424581005584</v>
      </c>
      <c r="AA79" s="106">
        <v>40565.423620025671</v>
      </c>
      <c r="AB79" s="106">
        <v>463.81918656705466</v>
      </c>
      <c r="AC79" s="106">
        <v>2.4651535982144566</v>
      </c>
      <c r="AD79" s="106">
        <v>39.145728643216081</v>
      </c>
      <c r="AE79" s="106">
        <v>87.459563543003853</v>
      </c>
      <c r="AF79" s="106">
        <v>0.1213224495495159</v>
      </c>
      <c r="AG79" s="106">
        <v>5940</v>
      </c>
      <c r="AH79" s="106">
        <v>15142.363517060367</v>
      </c>
      <c r="AI79" s="106">
        <v>15142.363517060367</v>
      </c>
      <c r="AJ79" s="106">
        <v>16550.268591426073</v>
      </c>
      <c r="AK79" s="104">
        <v>15152.318022747157</v>
      </c>
      <c r="AL79" s="118">
        <v>12867151</v>
      </c>
      <c r="AM79" s="118">
        <v>2967</v>
      </c>
      <c r="AN79" s="118">
        <v>68131</v>
      </c>
      <c r="AO79" s="118">
        <v>759</v>
      </c>
      <c r="AP79" s="118">
        <f t="shared" si="1"/>
        <v>750</v>
      </c>
    </row>
    <row r="80" spans="1:42" ht="12.75">
      <c r="A80" s="106">
        <v>2018</v>
      </c>
      <c r="B80" s="106">
        <v>-246813</v>
      </c>
      <c r="C80" s="106">
        <v>0</v>
      </c>
      <c r="D80" s="106">
        <v>246813</v>
      </c>
      <c r="E80" s="106" t="s">
        <v>228</v>
      </c>
      <c r="F80" s="106" t="s">
        <v>227</v>
      </c>
      <c r="G80" s="106" t="s">
        <v>63</v>
      </c>
      <c r="H80" s="106">
        <v>4</v>
      </c>
      <c r="I80" s="106" t="s">
        <v>24</v>
      </c>
      <c r="J80" s="106">
        <v>2794</v>
      </c>
      <c r="K80" s="106">
        <v>4365</v>
      </c>
      <c r="L80" s="106">
        <v>2729</v>
      </c>
      <c r="M80" s="106">
        <v>0.6</v>
      </c>
      <c r="N80" s="106">
        <v>0.03</v>
      </c>
      <c r="O80" s="106">
        <v>0</v>
      </c>
      <c r="P80" s="106">
        <v>3328</v>
      </c>
      <c r="Q80" s="106"/>
      <c r="R80" s="106"/>
      <c r="S80" s="106">
        <v>13212.653560042509</v>
      </c>
      <c r="T80" s="106">
        <v>10978.922068721218</v>
      </c>
      <c r="U80" s="106">
        <v>9119.8753099539499</v>
      </c>
      <c r="V80" s="106">
        <v>0.41419545574884653</v>
      </c>
      <c r="W80" s="106">
        <v>59361.775528978847</v>
      </c>
      <c r="X80" s="110">
        <v>0.69397622346390919</v>
      </c>
      <c r="Y80" s="106">
        <v>414.50897226753676</v>
      </c>
      <c r="Z80" s="106">
        <v>13.815660685154977</v>
      </c>
      <c r="AA80" s="106">
        <v>14342.845682451254</v>
      </c>
      <c r="AB80" s="106">
        <v>303.96713027462278</v>
      </c>
      <c r="AC80" s="106">
        <v>6.9721171247315246</v>
      </c>
      <c r="AD80" s="106">
        <v>79.636202307009768</v>
      </c>
      <c r="AE80" s="106">
        <v>47.185515320334261</v>
      </c>
      <c r="AF80" s="106">
        <v>0.24505635047975746</v>
      </c>
      <c r="AG80" s="106">
        <v>2136</v>
      </c>
      <c r="AH80" s="106">
        <v>11024.490612823238</v>
      </c>
      <c r="AI80" s="106">
        <v>11409.356358483883</v>
      </c>
      <c r="AJ80" s="106">
        <v>13212.653560042509</v>
      </c>
      <c r="AK80" s="104">
        <v>10978.922068721218</v>
      </c>
      <c r="AL80" s="119">
        <v>13113911</v>
      </c>
      <c r="AM80" s="118">
        <v>4493</v>
      </c>
      <c r="AN80" s="118">
        <v>84698</v>
      </c>
      <c r="AO80" s="118">
        <v>393</v>
      </c>
      <c r="AP80" s="118">
        <f t="shared" si="1"/>
        <v>658</v>
      </c>
    </row>
    <row r="81" spans="1:42" ht="12.75">
      <c r="A81" s="106">
        <v>2018</v>
      </c>
      <c r="B81" s="106">
        <v>-138901</v>
      </c>
      <c r="C81" s="106">
        <v>0</v>
      </c>
      <c r="D81" s="106">
        <v>138901</v>
      </c>
      <c r="E81" s="106" t="s">
        <v>229</v>
      </c>
      <c r="F81" s="106" t="s">
        <v>230</v>
      </c>
      <c r="G81" s="106" t="s">
        <v>63</v>
      </c>
      <c r="H81" s="106">
        <v>4</v>
      </c>
      <c r="I81" s="106" t="s">
        <v>24</v>
      </c>
      <c r="J81" s="106">
        <v>3416</v>
      </c>
      <c r="K81" s="106">
        <v>4909</v>
      </c>
      <c r="L81" s="106">
        <v>4671</v>
      </c>
      <c r="M81" s="106">
        <v>0.87</v>
      </c>
      <c r="N81" s="106">
        <v>0.23</v>
      </c>
      <c r="O81" s="106">
        <v>0.08</v>
      </c>
      <c r="P81" s="106">
        <v>5013</v>
      </c>
      <c r="Q81" s="106"/>
      <c r="R81" s="106"/>
      <c r="S81" s="106">
        <v>13547.637244348762</v>
      </c>
      <c r="T81" s="106">
        <v>14485.458019375672</v>
      </c>
      <c r="U81" s="106">
        <v>9695.2622433040851</v>
      </c>
      <c r="V81" s="106">
        <v>0.40598014395815474</v>
      </c>
      <c r="W81" s="106">
        <v>71044.494023904379</v>
      </c>
      <c r="X81" s="110">
        <v>0.66256151403242802</v>
      </c>
      <c r="Y81" s="106">
        <v>588.65492957746471</v>
      </c>
      <c r="Z81" s="106">
        <v>19.62676056338028</v>
      </c>
      <c r="AA81" s="106">
        <v>48294.362595332415</v>
      </c>
      <c r="AB81" s="106">
        <v>323.25659921865895</v>
      </c>
      <c r="AC81" s="106">
        <v>2.0706350519193903</v>
      </c>
      <c r="AD81" s="106">
        <v>22.551390568319228</v>
      </c>
      <c r="AE81" s="106">
        <v>149.39946380697052</v>
      </c>
      <c r="AF81" s="106">
        <v>0.55199170661583885</v>
      </c>
      <c r="AG81" s="106">
        <v>2366</v>
      </c>
      <c r="AH81" s="106">
        <v>11661.273950484392</v>
      </c>
      <c r="AI81" s="106">
        <v>12124.216899892357</v>
      </c>
      <c r="AJ81" s="106">
        <v>13547.637244348762</v>
      </c>
      <c r="AK81" s="104">
        <v>11525.163078579117</v>
      </c>
      <c r="AL81" s="118">
        <v>10649511</v>
      </c>
      <c r="AM81" s="118">
        <v>2501</v>
      </c>
      <c r="AN81" s="118">
        <v>55726</v>
      </c>
      <c r="AO81" s="118">
        <v>372</v>
      </c>
      <c r="AP81" s="118">
        <f t="shared" si="1"/>
        <v>1050</v>
      </c>
    </row>
    <row r="82" spans="1:42" ht="12.75">
      <c r="A82" s="106">
        <v>2018</v>
      </c>
      <c r="B82" s="106">
        <v>-138840</v>
      </c>
      <c r="C82" s="106">
        <v>0</v>
      </c>
      <c r="D82" s="106">
        <v>138840</v>
      </c>
      <c r="E82" s="106" t="s">
        <v>231</v>
      </c>
      <c r="F82" s="106" t="s">
        <v>230</v>
      </c>
      <c r="G82" s="106" t="s">
        <v>63</v>
      </c>
      <c r="H82" s="106">
        <v>4</v>
      </c>
      <c r="I82" s="106" t="s">
        <v>24</v>
      </c>
      <c r="J82" s="106">
        <v>2816</v>
      </c>
      <c r="K82" s="106">
        <v>1790</v>
      </c>
      <c r="L82" s="106">
        <v>1525</v>
      </c>
      <c r="M82" s="106">
        <v>0.85</v>
      </c>
      <c r="N82" s="106">
        <v>0.47</v>
      </c>
      <c r="O82" s="106">
        <v>0</v>
      </c>
      <c r="P82" s="106"/>
      <c r="Q82" s="106"/>
      <c r="R82" s="106"/>
      <c r="S82" s="106">
        <v>11872.401517546634</v>
      </c>
      <c r="T82" s="106">
        <v>11423.924122668353</v>
      </c>
      <c r="U82" s="106">
        <v>8848.5425229212779</v>
      </c>
      <c r="V82" s="106">
        <v>0.41271551246715549</v>
      </c>
      <c r="W82" s="106">
        <v>61188.804727646457</v>
      </c>
      <c r="X82" s="110">
        <v>0.54922342670611113</v>
      </c>
      <c r="Y82" s="106">
        <v>565.99801192842949</v>
      </c>
      <c r="Z82" s="106">
        <v>18.864811133200796</v>
      </c>
      <c r="AA82" s="106">
        <v>12248.551422319475</v>
      </c>
      <c r="AB82" s="106">
        <v>294.9234449256578</v>
      </c>
      <c r="AC82" s="106">
        <v>8.1642307365243738</v>
      </c>
      <c r="AD82" s="106">
        <v>98.960588999566909</v>
      </c>
      <c r="AE82" s="106">
        <v>41.53129102844639</v>
      </c>
      <c r="AF82" s="106">
        <v>9.764934694070676E-2</v>
      </c>
      <c r="AG82" s="106">
        <v>2136</v>
      </c>
      <c r="AH82" s="106">
        <v>9468.8830224470439</v>
      </c>
      <c r="AI82" s="106">
        <v>9527.8283275371487</v>
      </c>
      <c r="AJ82" s="106">
        <v>11875.041732532405</v>
      </c>
      <c r="AK82" s="104">
        <v>11251.493834966805</v>
      </c>
      <c r="AL82" s="118">
        <v>13391276</v>
      </c>
      <c r="AM82" s="118">
        <v>4098</v>
      </c>
      <c r="AN82" s="118">
        <v>94899</v>
      </c>
      <c r="AO82" s="118">
        <v>263</v>
      </c>
      <c r="AP82" s="118">
        <f t="shared" si="1"/>
        <v>680</v>
      </c>
    </row>
    <row r="83" spans="1:42" ht="12.75">
      <c r="A83" s="106">
        <v>2018</v>
      </c>
      <c r="B83" s="106">
        <v>-183655</v>
      </c>
      <c r="C83" s="106">
        <v>0</v>
      </c>
      <c r="D83" s="106">
        <v>183655</v>
      </c>
      <c r="E83" s="106" t="s">
        <v>232</v>
      </c>
      <c r="F83" s="106" t="s">
        <v>233</v>
      </c>
      <c r="G83" s="106" t="s">
        <v>234</v>
      </c>
      <c r="H83" s="106">
        <v>4</v>
      </c>
      <c r="I83" s="106" t="s">
        <v>24</v>
      </c>
      <c r="J83" s="106">
        <v>4551</v>
      </c>
      <c r="K83" s="106">
        <v>7788</v>
      </c>
      <c r="L83" s="106">
        <v>9202</v>
      </c>
      <c r="M83" s="106">
        <v>0.63</v>
      </c>
      <c r="N83" s="106">
        <v>0.13</v>
      </c>
      <c r="O83" s="106">
        <v>0.13</v>
      </c>
      <c r="P83" s="106">
        <v>1598</v>
      </c>
      <c r="Q83" s="106">
        <v>475.02578415736309</v>
      </c>
      <c r="R83" s="106">
        <v>7.9556537612469155E-2</v>
      </c>
      <c r="S83" s="106">
        <v>12837.307017543859</v>
      </c>
      <c r="T83" s="106">
        <v>14473.225412014886</v>
      </c>
      <c r="U83" s="106">
        <v>8414.4566296191115</v>
      </c>
      <c r="V83" s="106">
        <v>0.65314912710019368</v>
      </c>
      <c r="W83" s="106">
        <v>89821.563380281688</v>
      </c>
      <c r="X83" s="110">
        <v>0.66371633745451697</v>
      </c>
      <c r="Y83" s="106">
        <v>616.71584699453547</v>
      </c>
      <c r="Z83" s="106">
        <v>20.557377049180328</v>
      </c>
      <c r="AA83" s="106">
        <v>41487.792713796989</v>
      </c>
      <c r="AB83" s="106">
        <v>280.48437289562287</v>
      </c>
      <c r="AC83" s="106">
        <v>2.4103475615067964</v>
      </c>
      <c r="AD83" s="106">
        <v>21.906402526557564</v>
      </c>
      <c r="AE83" s="106">
        <v>147.91480996068151</v>
      </c>
      <c r="AF83" s="106">
        <v>-9.6196797716668735E-3</v>
      </c>
      <c r="AG83" s="106">
        <v>3720</v>
      </c>
      <c r="AH83" s="106">
        <v>12050.1456671983</v>
      </c>
      <c r="AI83" s="106">
        <v>12243.665071770334</v>
      </c>
      <c r="AJ83" s="106">
        <v>12875.671717171717</v>
      </c>
      <c r="AK83" s="104">
        <v>9947.5497076023385</v>
      </c>
      <c r="AL83" s="118">
        <v>14309957</v>
      </c>
      <c r="AM83" s="118">
        <v>5528</v>
      </c>
      <c r="AN83" s="118">
        <v>112859</v>
      </c>
      <c r="AO83" s="118">
        <v>727</v>
      </c>
      <c r="AP83" s="118">
        <f t="shared" si="1"/>
        <v>831</v>
      </c>
    </row>
    <row r="84" spans="1:42" ht="12.75">
      <c r="A84" s="106">
        <v>2018</v>
      </c>
      <c r="B84" s="106">
        <v>-100858</v>
      </c>
      <c r="C84" s="106">
        <v>0</v>
      </c>
      <c r="D84" s="106">
        <v>100858</v>
      </c>
      <c r="E84" s="106" t="s">
        <v>235</v>
      </c>
      <c r="F84" s="106" t="s">
        <v>236</v>
      </c>
      <c r="G84" s="106" t="s">
        <v>85</v>
      </c>
      <c r="H84" s="106">
        <v>1</v>
      </c>
      <c r="I84" s="106" t="s">
        <v>23</v>
      </c>
      <c r="J84" s="106">
        <v>10968</v>
      </c>
      <c r="K84" s="106">
        <v>23205</v>
      </c>
      <c r="L84" s="106">
        <v>18617</v>
      </c>
      <c r="M84" s="106">
        <v>0.14000000000000001</v>
      </c>
      <c r="N84" s="106">
        <v>0.32</v>
      </c>
      <c r="O84" s="106">
        <v>0.62</v>
      </c>
      <c r="P84" s="106">
        <v>8910</v>
      </c>
      <c r="Q84" s="106">
        <v>4387.6715939199557</v>
      </c>
      <c r="R84" s="106">
        <v>0.2196812399643078</v>
      </c>
      <c r="S84" s="106">
        <v>38966.528308464651</v>
      </c>
      <c r="T84" s="106">
        <v>38427.857481522798</v>
      </c>
      <c r="U84" s="106">
        <v>16425.381103561016</v>
      </c>
      <c r="V84" s="106">
        <v>0.94885038094483254</v>
      </c>
      <c r="W84" s="106">
        <v>118319.38397677793</v>
      </c>
      <c r="X84" s="110">
        <v>0.61632245429578603</v>
      </c>
      <c r="Y84" s="106">
        <v>478.07040856802854</v>
      </c>
      <c r="Z84" s="106">
        <v>17.067036890122967</v>
      </c>
      <c r="AA84" s="106">
        <v>68600.121079578355</v>
      </c>
      <c r="AB84" s="106">
        <v>586.38347031034391</v>
      </c>
      <c r="AC84" s="106">
        <v>1.4577233746278198</v>
      </c>
      <c r="AD84" s="106">
        <v>25.512630014858839</v>
      </c>
      <c r="AE84" s="106">
        <v>116.98849737914968</v>
      </c>
      <c r="AF84" s="106">
        <v>5.280885767091905E-2</v>
      </c>
      <c r="AG84" s="106">
        <v>9336</v>
      </c>
      <c r="AH84" s="106">
        <v>36646.788000278902</v>
      </c>
      <c r="AI84" s="106">
        <v>38288.577952865708</v>
      </c>
      <c r="AJ84" s="106">
        <v>40096.47204016176</v>
      </c>
      <c r="AK84" s="104">
        <v>31099.935922465487</v>
      </c>
      <c r="AL84" s="118">
        <v>233252297</v>
      </c>
      <c r="AM84" s="118">
        <v>23964</v>
      </c>
      <c r="AN84" s="118">
        <v>803477</v>
      </c>
      <c r="AO84" s="118">
        <v>4801</v>
      </c>
      <c r="AP84" s="118">
        <f t="shared" si="1"/>
        <v>1632</v>
      </c>
    </row>
    <row r="85" spans="1:42" ht="12.75">
      <c r="A85" s="106">
        <v>2018</v>
      </c>
      <c r="B85" s="106">
        <v>-100830</v>
      </c>
      <c r="C85" s="106">
        <v>0</v>
      </c>
      <c r="D85" s="106">
        <v>100830</v>
      </c>
      <c r="E85" s="106" t="s">
        <v>237</v>
      </c>
      <c r="F85" s="106" t="s">
        <v>87</v>
      </c>
      <c r="G85" s="106" t="s">
        <v>85</v>
      </c>
      <c r="H85" s="106">
        <v>2</v>
      </c>
      <c r="I85" s="106" t="s">
        <v>25</v>
      </c>
      <c r="J85" s="106">
        <v>8020</v>
      </c>
      <c r="K85" s="106">
        <v>12807</v>
      </c>
      <c r="L85" s="106">
        <v>10877</v>
      </c>
      <c r="M85" s="106">
        <v>0.52</v>
      </c>
      <c r="N85" s="106">
        <v>0.55000000000000004</v>
      </c>
      <c r="O85" s="106">
        <v>0.86</v>
      </c>
      <c r="P85" s="106">
        <v>3341</v>
      </c>
      <c r="Q85" s="106">
        <v>1606.9161385720322</v>
      </c>
      <c r="R85" s="106">
        <v>0.15600935267654853</v>
      </c>
      <c r="S85" s="106">
        <v>19218.13307984791</v>
      </c>
      <c r="T85" s="106">
        <v>18845.148077735532</v>
      </c>
      <c r="U85" s="106">
        <v>10621.457641915318</v>
      </c>
      <c r="V85" s="106">
        <v>0.8184574197304344</v>
      </c>
      <c r="W85" s="106">
        <v>86893.212071778136</v>
      </c>
      <c r="X85" s="110">
        <v>0.59706074447884694</v>
      </c>
      <c r="Y85" s="106">
        <v>471.16279069767444</v>
      </c>
      <c r="Z85" s="106">
        <v>18.348837209302324</v>
      </c>
      <c r="AA85" s="106">
        <v>50231.748728099017</v>
      </c>
      <c r="AB85" s="106">
        <v>413.63919444576436</v>
      </c>
      <c r="AC85" s="106">
        <v>1.9907728186269822</v>
      </c>
      <c r="AD85" s="106">
        <v>24.919093851132686</v>
      </c>
      <c r="AE85" s="106">
        <v>121.43856143856144</v>
      </c>
      <c r="AF85" s="106">
        <v>0.62814117192166019</v>
      </c>
      <c r="AG85" s="106">
        <v>7320</v>
      </c>
      <c r="AH85" s="106">
        <v>18303.822560202789</v>
      </c>
      <c r="AI85" s="106">
        <v>18560.350443599495</v>
      </c>
      <c r="AJ85" s="106">
        <v>19802.146387832701</v>
      </c>
      <c r="AK85" s="104">
        <v>13661.817490494297</v>
      </c>
      <c r="AL85" s="118">
        <v>23318449</v>
      </c>
      <c r="AM85" s="118">
        <v>4313</v>
      </c>
      <c r="AN85" s="118">
        <v>121560</v>
      </c>
      <c r="AO85" s="118">
        <v>738</v>
      </c>
      <c r="AP85" s="118">
        <f t="shared" si="1"/>
        <v>700</v>
      </c>
    </row>
    <row r="86" spans="1:42" ht="12.75">
      <c r="A86" s="106">
        <v>2018</v>
      </c>
      <c r="B86" s="106">
        <v>-173045</v>
      </c>
      <c r="C86" s="106">
        <v>0</v>
      </c>
      <c r="D86" s="106">
        <v>173045</v>
      </c>
      <c r="E86" s="106" t="s">
        <v>4044</v>
      </c>
      <c r="F86" s="106" t="s">
        <v>238</v>
      </c>
      <c r="G86" s="106" t="s">
        <v>113</v>
      </c>
      <c r="H86" s="106">
        <v>6</v>
      </c>
      <c r="I86" s="106" t="s">
        <v>3640</v>
      </c>
      <c r="J86" s="106">
        <v>37615</v>
      </c>
      <c r="K86" s="106">
        <v>24608</v>
      </c>
      <c r="L86" s="106">
        <v>19943</v>
      </c>
      <c r="M86" s="106">
        <v>0.51</v>
      </c>
      <c r="N86" s="106">
        <v>0.86</v>
      </c>
      <c r="O86" s="106">
        <v>1</v>
      </c>
      <c r="P86" s="106">
        <v>20431</v>
      </c>
      <c r="Q86" s="106">
        <v>12142.877306273063</v>
      </c>
      <c r="R86" s="106">
        <v>0.42232305160272804</v>
      </c>
      <c r="S86" s="106">
        <v>23893.197109471093</v>
      </c>
      <c r="T86" s="106">
        <v>23722.579335793358</v>
      </c>
      <c r="U86" s="106">
        <v>20678.759961937489</v>
      </c>
      <c r="V86" s="106">
        <v>0.80322527439262392</v>
      </c>
      <c r="W86" s="106">
        <v>74072.217844727682</v>
      </c>
      <c r="X86" s="110">
        <v>0.55241115566223487</v>
      </c>
      <c r="Y86" s="106">
        <v>375.79362880886424</v>
      </c>
      <c r="Z86" s="106">
        <v>13.512465373961218</v>
      </c>
      <c r="AA86" s="106">
        <v>75220.724156846438</v>
      </c>
      <c r="AB86" s="106">
        <v>743.54913585896566</v>
      </c>
      <c r="AC86" s="106">
        <v>1.3294208626798789</v>
      </c>
      <c r="AD86" s="106">
        <v>28.969539857420607</v>
      </c>
      <c r="AE86" s="106">
        <v>101.16442953020135</v>
      </c>
      <c r="AF86" s="106">
        <v>4.2813288099389904E-2</v>
      </c>
      <c r="AG86" s="106">
        <v>36950</v>
      </c>
      <c r="AH86" s="106">
        <v>20938.63560885609</v>
      </c>
      <c r="AI86" s="106">
        <v>24104.089483394833</v>
      </c>
      <c r="AJ86" s="106">
        <v>25336.529827798277</v>
      </c>
      <c r="AK86" s="104">
        <v>21207.089175891761</v>
      </c>
      <c r="AL86" s="118"/>
      <c r="AM86" s="118">
        <v>2427</v>
      </c>
      <c r="AN86" s="118">
        <v>90441</v>
      </c>
      <c r="AO86" s="118">
        <v>548</v>
      </c>
      <c r="AP86" s="118">
        <f t="shared" si="1"/>
        <v>665</v>
      </c>
    </row>
    <row r="87" spans="1:42" ht="12.75">
      <c r="A87" s="106">
        <v>2018</v>
      </c>
      <c r="B87" s="106">
        <v>-138956</v>
      </c>
      <c r="C87" s="106">
        <v>0</v>
      </c>
      <c r="D87" s="106">
        <v>138956</v>
      </c>
      <c r="E87" s="106" t="s">
        <v>239</v>
      </c>
      <c r="F87" s="106" t="s">
        <v>240</v>
      </c>
      <c r="G87" s="106" t="s">
        <v>63</v>
      </c>
      <c r="H87" s="106">
        <v>4</v>
      </c>
      <c r="I87" s="106" t="s">
        <v>24</v>
      </c>
      <c r="J87" s="106">
        <v>2794</v>
      </c>
      <c r="K87" s="106">
        <v>7151</v>
      </c>
      <c r="L87" s="106">
        <v>6928</v>
      </c>
      <c r="M87" s="106">
        <v>0.75</v>
      </c>
      <c r="N87" s="106">
        <v>0.02</v>
      </c>
      <c r="O87" s="106">
        <v>0</v>
      </c>
      <c r="P87" s="106"/>
      <c r="Q87" s="106"/>
      <c r="R87" s="106"/>
      <c r="S87" s="106">
        <v>10900.215966636879</v>
      </c>
      <c r="T87" s="106">
        <v>11557.330354483169</v>
      </c>
      <c r="U87" s="106">
        <v>9736.6142389037832</v>
      </c>
      <c r="V87" s="106">
        <v>0.35279451813560464</v>
      </c>
      <c r="W87" s="106">
        <v>65479.350293542069</v>
      </c>
      <c r="X87" s="110">
        <v>0.5749434544983012</v>
      </c>
      <c r="Y87" s="106">
        <v>578.82183908045977</v>
      </c>
      <c r="Z87" s="106">
        <v>19.293103448275861</v>
      </c>
      <c r="AA87" s="106">
        <v>17303.236633139226</v>
      </c>
      <c r="AB87" s="106">
        <v>324.53769547733702</v>
      </c>
      <c r="AC87" s="106">
        <v>5.7792655859817348</v>
      </c>
      <c r="AD87" s="106">
        <v>68.891320204230482</v>
      </c>
      <c r="AE87" s="106">
        <v>53.316569613552147</v>
      </c>
      <c r="AF87" s="106">
        <v>-5.2580370924819521E-2</v>
      </c>
      <c r="AG87" s="106">
        <v>2136</v>
      </c>
      <c r="AH87" s="106">
        <v>8883.4078045874285</v>
      </c>
      <c r="AI87" s="106">
        <v>9131.0300863866541</v>
      </c>
      <c r="AJ87" s="106">
        <v>10900.475722371164</v>
      </c>
      <c r="AK87" s="104">
        <v>11557.330354483169</v>
      </c>
      <c r="AL87" s="118">
        <v>14332653</v>
      </c>
      <c r="AM87" s="118">
        <v>4595</v>
      </c>
      <c r="AN87" s="118">
        <v>100715</v>
      </c>
      <c r="AO87" s="118">
        <v>367</v>
      </c>
      <c r="AP87" s="118">
        <f t="shared" si="1"/>
        <v>658</v>
      </c>
    </row>
    <row r="88" spans="1:42" ht="12.75">
      <c r="A88" s="106">
        <v>2018</v>
      </c>
      <c r="B88" s="106">
        <v>3044</v>
      </c>
      <c r="C88" s="106">
        <v>1</v>
      </c>
      <c r="D88" s="106">
        <v>482149</v>
      </c>
      <c r="E88" s="106" t="s">
        <v>3833</v>
      </c>
      <c r="F88" s="106" t="s">
        <v>240</v>
      </c>
      <c r="G88" s="106" t="s">
        <v>63</v>
      </c>
      <c r="H88" s="106">
        <v>1</v>
      </c>
      <c r="I88" s="106" t="s">
        <v>23</v>
      </c>
      <c r="J88" s="106">
        <v>8072</v>
      </c>
      <c r="K88" s="106">
        <v>13112</v>
      </c>
      <c r="L88" s="106">
        <v>10875</v>
      </c>
      <c r="M88" s="106">
        <v>0.39</v>
      </c>
      <c r="N88" s="106">
        <v>0.47</v>
      </c>
      <c r="O88" s="106">
        <v>0.16</v>
      </c>
      <c r="P88" s="106">
        <v>8967</v>
      </c>
      <c r="Q88" s="106">
        <v>2056.1480967985885</v>
      </c>
      <c r="R88" s="106">
        <v>0.14770623426321303</v>
      </c>
      <c r="S88" s="106">
        <v>111683.24729014368</v>
      </c>
      <c r="T88" s="106">
        <v>111902.34295437358</v>
      </c>
      <c r="U88" s="106">
        <v>31944.793247659185</v>
      </c>
      <c r="V88" s="106">
        <v>0.37140247722463859</v>
      </c>
      <c r="W88" s="106">
        <v>109642.64016944928</v>
      </c>
      <c r="X88" s="110">
        <v>0.66077865444608874</v>
      </c>
      <c r="Y88" s="106">
        <v>155.70373443983402</v>
      </c>
      <c r="Z88" s="106">
        <v>6.5842323651452279</v>
      </c>
      <c r="AA88" s="106">
        <v>131593.97176891379</v>
      </c>
      <c r="AB88" s="106">
        <v>1350.847122298055</v>
      </c>
      <c r="AC88" s="106">
        <v>0.75991322897074232</v>
      </c>
      <c r="AD88" s="106">
        <v>26.565517241379311</v>
      </c>
      <c r="AE88" s="106">
        <v>97.415887850467286</v>
      </c>
      <c r="AF88" s="106">
        <v>0.1376085778512387</v>
      </c>
      <c r="AG88" s="106">
        <v>6382</v>
      </c>
      <c r="AH88" s="106">
        <v>108680.48525334006</v>
      </c>
      <c r="AI88" s="106">
        <v>110521.33539198387</v>
      </c>
      <c r="AJ88" s="106">
        <v>111932.02344340812</v>
      </c>
      <c r="AK88" s="104">
        <v>53185.088101840185</v>
      </c>
      <c r="AL88" s="119">
        <v>225140575</v>
      </c>
      <c r="AM88" s="118">
        <v>5291</v>
      </c>
      <c r="AN88" s="118">
        <v>187623</v>
      </c>
      <c r="AO88" s="118">
        <v>988</v>
      </c>
      <c r="AP88" s="118">
        <f t="shared" si="1"/>
        <v>1690</v>
      </c>
    </row>
    <row r="89" spans="1:42" ht="12.75">
      <c r="A89" s="106">
        <v>2018</v>
      </c>
      <c r="B89" s="106">
        <v>-143084</v>
      </c>
      <c r="C89" s="106">
        <v>0</v>
      </c>
      <c r="D89" s="106">
        <v>143084</v>
      </c>
      <c r="E89" s="106" t="s">
        <v>241</v>
      </c>
      <c r="F89" s="106" t="s">
        <v>242</v>
      </c>
      <c r="G89" s="106" t="s">
        <v>243</v>
      </c>
      <c r="H89" s="106">
        <v>7</v>
      </c>
      <c r="I89" s="106" t="s">
        <v>3641</v>
      </c>
      <c r="J89" s="106">
        <v>40908</v>
      </c>
      <c r="K89" s="106">
        <v>24110</v>
      </c>
      <c r="L89" s="106">
        <v>17208</v>
      </c>
      <c r="M89" s="106">
        <v>0.25</v>
      </c>
      <c r="N89" s="106">
        <v>0.68</v>
      </c>
      <c r="O89" s="106">
        <v>1</v>
      </c>
      <c r="P89" s="106">
        <v>26173</v>
      </c>
      <c r="Q89" s="106">
        <v>23599.469770935037</v>
      </c>
      <c r="R89" s="106">
        <v>0.58654076223135732</v>
      </c>
      <c r="S89" s="106">
        <v>29208.96357491551</v>
      </c>
      <c r="T89" s="106">
        <v>29065.001126549007</v>
      </c>
      <c r="U89" s="106">
        <v>23422.598315591</v>
      </c>
      <c r="V89" s="106">
        <v>0.71023435402361179</v>
      </c>
      <c r="W89" s="106">
        <v>72647.805128205131</v>
      </c>
      <c r="X89" s="110">
        <v>0.54908155284247828</v>
      </c>
      <c r="Y89" s="106">
        <v>367.54601226993861</v>
      </c>
      <c r="Z89" s="106">
        <v>12.253067484662576</v>
      </c>
      <c r="AA89" s="106">
        <v>100766.36399744562</v>
      </c>
      <c r="AB89" s="106">
        <v>780.85101795717128</v>
      </c>
      <c r="AC89" s="106">
        <v>0.99239464473020933</v>
      </c>
      <c r="AD89" s="106">
        <v>23.43809163195759</v>
      </c>
      <c r="AE89" s="106">
        <v>129.04684975767367</v>
      </c>
      <c r="AF89" s="106">
        <v>5.7798724357163482E-2</v>
      </c>
      <c r="AG89" s="106">
        <v>39690</v>
      </c>
      <c r="AH89" s="106">
        <v>25518.887345099512</v>
      </c>
      <c r="AI89" s="106">
        <v>29314.210664663911</v>
      </c>
      <c r="AJ89" s="106">
        <v>34105.215170859934</v>
      </c>
      <c r="AK89" s="104">
        <v>24592.499061209164</v>
      </c>
      <c r="AL89" s="118"/>
      <c r="AM89" s="118">
        <v>2647</v>
      </c>
      <c r="AN89" s="118">
        <v>79880</v>
      </c>
      <c r="AO89" s="118">
        <v>619</v>
      </c>
      <c r="AP89" s="118">
        <f t="shared" si="1"/>
        <v>1218</v>
      </c>
    </row>
    <row r="90" spans="1:42" ht="12.75">
      <c r="A90" s="106">
        <v>2018</v>
      </c>
      <c r="B90" s="106">
        <v>-219000</v>
      </c>
      <c r="C90" s="106">
        <v>0</v>
      </c>
      <c r="D90" s="106">
        <v>219000</v>
      </c>
      <c r="E90" s="106" t="s">
        <v>244</v>
      </c>
      <c r="F90" s="106" t="s">
        <v>245</v>
      </c>
      <c r="G90" s="106" t="s">
        <v>246</v>
      </c>
      <c r="H90" s="106">
        <v>7</v>
      </c>
      <c r="I90" s="106" t="s">
        <v>3641</v>
      </c>
      <c r="J90" s="106">
        <v>31960</v>
      </c>
      <c r="K90" s="106">
        <v>23257</v>
      </c>
      <c r="L90" s="106">
        <v>18561</v>
      </c>
      <c r="M90" s="106">
        <v>0.21</v>
      </c>
      <c r="N90" s="106">
        <v>0.64</v>
      </c>
      <c r="O90" s="106">
        <v>1</v>
      </c>
      <c r="P90" s="106">
        <v>20136</v>
      </c>
      <c r="Q90" s="106">
        <v>15997.863006670088</v>
      </c>
      <c r="R90" s="106">
        <v>0.54201077710172096</v>
      </c>
      <c r="S90" s="106">
        <v>29418.443817342228</v>
      </c>
      <c r="T90" s="106">
        <v>27244.739866598255</v>
      </c>
      <c r="U90" s="106">
        <v>21089.329785580481</v>
      </c>
      <c r="V90" s="106">
        <v>0.64098303035464255</v>
      </c>
      <c r="W90" s="106">
        <v>70024.340375586849</v>
      </c>
      <c r="X90" s="110">
        <v>0.56177721513285184</v>
      </c>
      <c r="Y90" s="106">
        <v>334.98046875</v>
      </c>
      <c r="Z90" s="106">
        <v>11.419921875</v>
      </c>
      <c r="AA90" s="106">
        <v>80752.659630837632</v>
      </c>
      <c r="AB90" s="106">
        <v>718.9628083277305</v>
      </c>
      <c r="AC90" s="106">
        <v>1.238349305857565</v>
      </c>
      <c r="AD90" s="106">
        <v>27.543290043290042</v>
      </c>
      <c r="AE90" s="106">
        <v>112.31827111984283</v>
      </c>
      <c r="AF90" s="106">
        <v>5.0771910395829005E-2</v>
      </c>
      <c r="AG90" s="106">
        <v>31450</v>
      </c>
      <c r="AH90" s="106">
        <v>23210.939456131349</v>
      </c>
      <c r="AI90" s="106">
        <v>28638.820933812211</v>
      </c>
      <c r="AJ90" s="106">
        <v>30685.54027706516</v>
      </c>
      <c r="AK90" s="104">
        <v>23393.825038481271</v>
      </c>
      <c r="AL90" s="118"/>
      <c r="AM90" s="118">
        <v>1749</v>
      </c>
      <c r="AN90" s="118">
        <v>57170</v>
      </c>
      <c r="AO90" s="118">
        <v>355</v>
      </c>
      <c r="AP90" s="118">
        <f t="shared" si="1"/>
        <v>510</v>
      </c>
    </row>
    <row r="91" spans="1:42" ht="12.75">
      <c r="A91" s="106">
        <v>2018</v>
      </c>
      <c r="B91" s="106">
        <v>-143118</v>
      </c>
      <c r="C91" s="106">
        <v>0</v>
      </c>
      <c r="D91" s="106">
        <v>143118</v>
      </c>
      <c r="E91" s="106" t="s">
        <v>247</v>
      </c>
      <c r="F91" s="106" t="s">
        <v>248</v>
      </c>
      <c r="G91" s="106" t="s">
        <v>243</v>
      </c>
      <c r="H91" s="106">
        <v>6</v>
      </c>
      <c r="I91" s="106" t="s">
        <v>3640</v>
      </c>
      <c r="J91" s="106">
        <v>23520</v>
      </c>
      <c r="K91" s="106">
        <v>18234</v>
      </c>
      <c r="L91" s="106">
        <v>14036</v>
      </c>
      <c r="M91" s="106">
        <v>0.46</v>
      </c>
      <c r="N91" s="106">
        <v>0.65</v>
      </c>
      <c r="O91" s="106">
        <v>1</v>
      </c>
      <c r="P91" s="106">
        <v>11826</v>
      </c>
      <c r="Q91" s="106">
        <v>6020.8432671081682</v>
      </c>
      <c r="R91" s="106">
        <v>0.32245556801770969</v>
      </c>
      <c r="S91" s="106">
        <v>15402.295437821927</v>
      </c>
      <c r="T91" s="106">
        <v>14558.011773362767</v>
      </c>
      <c r="U91" s="106">
        <v>12220.826811961126</v>
      </c>
      <c r="V91" s="106">
        <v>1.0352008799623802</v>
      </c>
      <c r="W91" s="106">
        <v>82735.180297397776</v>
      </c>
      <c r="X91" s="110">
        <v>0.56245914065964708</v>
      </c>
      <c r="Y91" s="106">
        <v>619.1554054054053</v>
      </c>
      <c r="Z91" s="106">
        <v>22.037837837837838</v>
      </c>
      <c r="AA91" s="106">
        <v>36927.412201123225</v>
      </c>
      <c r="AB91" s="106">
        <v>434.98061581156117</v>
      </c>
      <c r="AC91" s="106">
        <v>2.7080153750107163</v>
      </c>
      <c r="AD91" s="106">
        <v>37.346896408553043</v>
      </c>
      <c r="AE91" s="106">
        <v>84.894385769872144</v>
      </c>
      <c r="AF91" s="106">
        <v>5.930628658251183E-2</v>
      </c>
      <c r="AG91" s="106">
        <v>23260</v>
      </c>
      <c r="AH91" s="106">
        <v>14672.26306107432</v>
      </c>
      <c r="AI91" s="106">
        <v>15425.478844738778</v>
      </c>
      <c r="AJ91" s="106">
        <v>16040.150662251655</v>
      </c>
      <c r="AK91" s="104">
        <v>12880.211184694628</v>
      </c>
      <c r="AM91" s="118">
        <v>3933</v>
      </c>
      <c r="AN91" s="118">
        <v>152725</v>
      </c>
      <c r="AO91" s="118">
        <v>1061</v>
      </c>
      <c r="AP91" s="118">
        <f t="shared" si="1"/>
        <v>260</v>
      </c>
    </row>
    <row r="92" spans="1:42" ht="12.75">
      <c r="A92" s="106">
        <v>2018</v>
      </c>
      <c r="B92" s="106">
        <v>-222983</v>
      </c>
      <c r="C92" s="106">
        <v>0</v>
      </c>
      <c r="D92" s="106">
        <v>222983</v>
      </c>
      <c r="E92" s="106" t="s">
        <v>249</v>
      </c>
      <c r="F92" s="106" t="s">
        <v>250</v>
      </c>
      <c r="G92" s="106" t="s">
        <v>60</v>
      </c>
      <c r="H92" s="106">
        <v>7</v>
      </c>
      <c r="I92" s="106" t="s">
        <v>3641</v>
      </c>
      <c r="J92" s="106">
        <v>38800</v>
      </c>
      <c r="K92" s="106">
        <v>23041</v>
      </c>
      <c r="L92" s="106">
        <v>17466</v>
      </c>
      <c r="M92" s="106">
        <v>0.38</v>
      </c>
      <c r="N92" s="106">
        <v>0.56000000000000005</v>
      </c>
      <c r="O92" s="106">
        <v>1</v>
      </c>
      <c r="P92" s="106">
        <v>26856</v>
      </c>
      <c r="Q92" s="106">
        <v>22085.616338439097</v>
      </c>
      <c r="R92" s="106">
        <v>0.64226880458601199</v>
      </c>
      <c r="S92" s="106">
        <v>42035.800875273526</v>
      </c>
      <c r="T92" s="106">
        <v>34321.93508388038</v>
      </c>
      <c r="U92" s="106">
        <v>29853.53520782576</v>
      </c>
      <c r="V92" s="106">
        <v>0.41205362750707131</v>
      </c>
      <c r="W92" s="106">
        <v>77460.947712418303</v>
      </c>
      <c r="X92" s="110">
        <v>0.50372674763411185</v>
      </c>
      <c r="Y92" s="106">
        <v>364.10946745562131</v>
      </c>
      <c r="Z92" s="106">
        <v>12.168639053254438</v>
      </c>
      <c r="AA92" s="106">
        <v>135079.85732649875</v>
      </c>
      <c r="AB92" s="106">
        <v>997.71339906708715</v>
      </c>
      <c r="AC92" s="106">
        <v>0.74030282515247303</v>
      </c>
      <c r="AD92" s="106">
        <v>24.79541734860884</v>
      </c>
      <c r="AE92" s="106">
        <v>135.38943894389439</v>
      </c>
      <c r="AF92" s="106">
        <v>9.7066802310402406E-2</v>
      </c>
      <c r="AG92" s="106">
        <v>38615</v>
      </c>
      <c r="AH92" s="106">
        <v>22023.739606126914</v>
      </c>
      <c r="AI92" s="106">
        <v>42035.800875273526</v>
      </c>
      <c r="AJ92" s="106">
        <v>48749.892049598835</v>
      </c>
      <c r="AK92" s="104">
        <v>30275.819110138586</v>
      </c>
      <c r="AM92" s="118">
        <v>1214</v>
      </c>
      <c r="AN92" s="118">
        <v>41023</v>
      </c>
      <c r="AO92" s="118">
        <v>290</v>
      </c>
      <c r="AP92" s="118">
        <f t="shared" si="1"/>
        <v>185</v>
      </c>
    </row>
    <row r="93" spans="1:42" ht="12.75">
      <c r="A93" s="106">
        <v>2018</v>
      </c>
      <c r="B93" s="106">
        <v>-222992</v>
      </c>
      <c r="C93" s="106">
        <v>0</v>
      </c>
      <c r="D93" s="106">
        <v>222992</v>
      </c>
      <c r="E93" s="106" t="s">
        <v>251</v>
      </c>
      <c r="F93" s="106" t="s">
        <v>252</v>
      </c>
      <c r="G93" s="106" t="s">
        <v>60</v>
      </c>
      <c r="H93" s="106">
        <v>4</v>
      </c>
      <c r="I93" s="106" t="s">
        <v>24</v>
      </c>
      <c r="J93" s="106">
        <v>2550</v>
      </c>
      <c r="K93" s="106">
        <v>4194</v>
      </c>
      <c r="L93" s="106">
        <v>2912</v>
      </c>
      <c r="M93" s="106">
        <v>0.36</v>
      </c>
      <c r="N93" s="106">
        <v>0.57999999999999996</v>
      </c>
      <c r="O93" s="106">
        <v>0.18</v>
      </c>
      <c r="P93" s="106">
        <v>1019</v>
      </c>
      <c r="Q93" s="106">
        <v>816.49453654077854</v>
      </c>
      <c r="R93" s="106">
        <v>0.18607262757034607</v>
      </c>
      <c r="S93" s="106">
        <v>15887.79754040467</v>
      </c>
      <c r="T93" s="106">
        <v>14933.866965806639</v>
      </c>
      <c r="U93" s="106">
        <v>12291.102195951717</v>
      </c>
      <c r="V93" s="106">
        <v>0.29057993147776945</v>
      </c>
      <c r="W93" s="106">
        <v>87130.964861093496</v>
      </c>
      <c r="X93" s="110">
        <v>0.63696045431862391</v>
      </c>
      <c r="Y93" s="106">
        <v>760.06105263157895</v>
      </c>
      <c r="Z93" s="106">
        <v>25.335789473684212</v>
      </c>
      <c r="AA93" s="106">
        <v>70102.971268806126</v>
      </c>
      <c r="AB93" s="106">
        <v>409.71021545964709</v>
      </c>
      <c r="AC93" s="106">
        <v>1.4264730608429605</v>
      </c>
      <c r="AD93" s="106">
        <v>21.351953045942118</v>
      </c>
      <c r="AE93" s="106">
        <v>171.10379146919431</v>
      </c>
      <c r="AF93" s="106">
        <v>0.33408982375024104</v>
      </c>
      <c r="AG93" s="106">
        <v>2010</v>
      </c>
      <c r="AH93" s="106">
        <v>15433.466367526695</v>
      </c>
      <c r="AI93" s="106">
        <v>15438.476338859113</v>
      </c>
      <c r="AJ93" s="106">
        <v>16028.786156466824</v>
      </c>
      <c r="AK93" s="104">
        <v>13141.364992313765</v>
      </c>
      <c r="AL93" s="119">
        <v>262265598</v>
      </c>
      <c r="AM93" s="118">
        <v>40803</v>
      </c>
      <c r="AN93" s="118">
        <v>722058</v>
      </c>
      <c r="AO93" s="118">
        <v>3366</v>
      </c>
      <c r="AP93" s="118">
        <f t="shared" si="1"/>
        <v>540</v>
      </c>
    </row>
    <row r="94" spans="1:42" ht="12.75">
      <c r="A94" s="106">
        <v>2018</v>
      </c>
      <c r="B94" s="106">
        <v>-219602</v>
      </c>
      <c r="C94" s="106">
        <v>0</v>
      </c>
      <c r="D94" s="106">
        <v>219602</v>
      </c>
      <c r="E94" s="106" t="s">
        <v>253</v>
      </c>
      <c r="F94" s="106" t="s">
        <v>254</v>
      </c>
      <c r="G94" s="106" t="s">
        <v>255</v>
      </c>
      <c r="H94" s="106">
        <v>2</v>
      </c>
      <c r="I94" s="106" t="s">
        <v>25</v>
      </c>
      <c r="J94" s="106">
        <v>7913</v>
      </c>
      <c r="K94" s="106">
        <v>13331</v>
      </c>
      <c r="L94" s="106">
        <v>10282</v>
      </c>
      <c r="M94" s="106">
        <v>0.56999999999999995</v>
      </c>
      <c r="N94" s="106">
        <v>0.57999999999999996</v>
      </c>
      <c r="O94" s="106">
        <v>0.22</v>
      </c>
      <c r="P94" s="106">
        <v>5951</v>
      </c>
      <c r="Q94" s="106">
        <v>1446.0208333333333</v>
      </c>
      <c r="R94" s="106">
        <v>0.15306419176901254</v>
      </c>
      <c r="S94" s="106">
        <v>18630.187160326088</v>
      </c>
      <c r="T94" s="106">
        <v>18327.755095108696</v>
      </c>
      <c r="U94" s="106">
        <v>13886.384934335321</v>
      </c>
      <c r="V94" s="106">
        <v>0.57618539101337052</v>
      </c>
      <c r="W94" s="106">
        <v>90292.524014778319</v>
      </c>
      <c r="X94" s="110">
        <v>0.60391835008246986</v>
      </c>
      <c r="Y94" s="106">
        <v>553.92508833922261</v>
      </c>
      <c r="Z94" s="106">
        <v>18.725088339222616</v>
      </c>
      <c r="AA94" s="106">
        <v>52367.443099935765</v>
      </c>
      <c r="AB94" s="106">
        <v>469.4204867800479</v>
      </c>
      <c r="AC94" s="106">
        <v>1.9095833991582198</v>
      </c>
      <c r="AD94" s="106">
        <v>27.311953352769681</v>
      </c>
      <c r="AE94" s="106">
        <v>111.55764304013664</v>
      </c>
      <c r="AF94" s="106">
        <v>2.9823431786866812E-2</v>
      </c>
      <c r="AG94" s="106">
        <v>6384</v>
      </c>
      <c r="AH94" s="106">
        <v>18527.260869565216</v>
      </c>
      <c r="AI94" s="106">
        <v>18664.08389945652</v>
      </c>
      <c r="AJ94" s="106">
        <v>18827.750792572464</v>
      </c>
      <c r="AK94" s="104">
        <v>17036.747735507248</v>
      </c>
      <c r="AL94" s="119">
        <v>45510736</v>
      </c>
      <c r="AM94" s="118">
        <v>9591</v>
      </c>
      <c r="AN94" s="118">
        <v>261268</v>
      </c>
      <c r="AO94" s="118">
        <v>1993</v>
      </c>
      <c r="AP94" s="118">
        <f t="shared" si="1"/>
        <v>1529</v>
      </c>
    </row>
    <row r="95" spans="1:42" ht="12.75">
      <c r="A95" s="106">
        <v>2018</v>
      </c>
      <c r="B95" s="106">
        <v>-446048</v>
      </c>
      <c r="C95" s="106">
        <v>0</v>
      </c>
      <c r="D95" s="106">
        <v>446048</v>
      </c>
      <c r="E95" s="106" t="s">
        <v>256</v>
      </c>
      <c r="F95" s="106" t="s">
        <v>257</v>
      </c>
      <c r="G95" s="106" t="s">
        <v>258</v>
      </c>
      <c r="H95" s="106">
        <v>7</v>
      </c>
      <c r="I95" s="106" t="s">
        <v>3641</v>
      </c>
      <c r="J95" s="106">
        <v>19970</v>
      </c>
      <c r="K95" s="106">
        <v>18924</v>
      </c>
      <c r="L95" s="106">
        <v>12296</v>
      </c>
      <c r="M95" s="106">
        <v>0.27</v>
      </c>
      <c r="N95" s="106">
        <v>0.54</v>
      </c>
      <c r="O95" s="106">
        <v>0.98</v>
      </c>
      <c r="P95" s="106">
        <v>12239</v>
      </c>
      <c r="Q95" s="106">
        <v>11157.537211291703</v>
      </c>
      <c r="R95" s="106">
        <v>0.62763264536796892</v>
      </c>
      <c r="S95" s="106">
        <v>28643.998289136012</v>
      </c>
      <c r="T95" s="106">
        <v>33585.491017964072</v>
      </c>
      <c r="U95" s="106">
        <v>26400.886795182134</v>
      </c>
      <c r="V95" s="106">
        <v>0.25073554422311617</v>
      </c>
      <c r="W95" s="106">
        <v>75043.417207792198</v>
      </c>
      <c r="X95" s="110">
        <v>0.39246944056227789</v>
      </c>
      <c r="Y95" s="106">
        <v>450.82758620689657</v>
      </c>
      <c r="Z95" s="106">
        <v>15.116379310344829</v>
      </c>
      <c r="AA95" s="106">
        <v>120557.17446706217</v>
      </c>
      <c r="AB95" s="106">
        <v>885.22936735795997</v>
      </c>
      <c r="AC95" s="106">
        <v>0.82948194864438651</v>
      </c>
      <c r="AD95" s="106">
        <v>23.486238532110093</v>
      </c>
      <c r="AE95" s="106">
        <v>136.1875</v>
      </c>
      <c r="AF95" s="106">
        <v>6.261169515897556E-3</v>
      </c>
      <c r="AG95" s="106">
        <v>19135</v>
      </c>
      <c r="AH95" s="106">
        <v>14776.738237810094</v>
      </c>
      <c r="AI95" s="106">
        <v>27365.39349871685</v>
      </c>
      <c r="AJ95" s="106">
        <v>34769.446535500429</v>
      </c>
      <c r="AK95" s="104">
        <v>26454.004277159966</v>
      </c>
      <c r="AL95" s="118"/>
      <c r="AM95" s="118">
        <v>1072</v>
      </c>
      <c r="AN95" s="118">
        <v>34864</v>
      </c>
      <c r="AO95" s="118">
        <v>240</v>
      </c>
      <c r="AP95" s="118">
        <f t="shared" si="1"/>
        <v>835</v>
      </c>
    </row>
    <row r="96" spans="1:42" ht="12.75">
      <c r="A96" s="106">
        <v>2018</v>
      </c>
      <c r="B96" s="106">
        <v>-231420</v>
      </c>
      <c r="C96" s="106">
        <v>0</v>
      </c>
      <c r="D96" s="106">
        <v>231420</v>
      </c>
      <c r="E96" s="106" t="s">
        <v>259</v>
      </c>
      <c r="F96" s="106" t="s">
        <v>260</v>
      </c>
      <c r="G96" s="106" t="s">
        <v>261</v>
      </c>
      <c r="H96" s="106">
        <v>7</v>
      </c>
      <c r="I96" s="106" t="s">
        <v>3641</v>
      </c>
      <c r="J96" s="106">
        <v>33350</v>
      </c>
      <c r="K96" s="106">
        <v>23978</v>
      </c>
      <c r="L96" s="106">
        <v>20354</v>
      </c>
      <c r="M96" s="106">
        <v>0.51</v>
      </c>
      <c r="N96" s="106">
        <v>0.82</v>
      </c>
      <c r="O96" s="106">
        <v>1</v>
      </c>
      <c r="P96" s="106">
        <v>17159</v>
      </c>
      <c r="Q96" s="106">
        <v>17510.734873487349</v>
      </c>
      <c r="R96" s="106">
        <v>0.52365512922363444</v>
      </c>
      <c r="S96" s="106">
        <v>31666.711771177117</v>
      </c>
      <c r="T96" s="106">
        <v>29531.75797579758</v>
      </c>
      <c r="U96" s="106">
        <v>25545.202420242025</v>
      </c>
      <c r="V96" s="106">
        <v>0.62354981607055704</v>
      </c>
      <c r="W96" s="106">
        <v>64385.854838709682</v>
      </c>
      <c r="X96" s="110">
        <v>0.49568721453975001</v>
      </c>
      <c r="Y96" s="106">
        <v>410.9246231155779</v>
      </c>
      <c r="Z96" s="106">
        <v>13.7035175879397</v>
      </c>
      <c r="AA96" s="106">
        <v>139045.44311377246</v>
      </c>
      <c r="AB96" s="106">
        <v>851.88161273754497</v>
      </c>
      <c r="AC96" s="106">
        <v>0.71918933667014218</v>
      </c>
      <c r="AD96" s="106">
        <v>18.453038674033149</v>
      </c>
      <c r="AE96" s="106">
        <v>163.22155688622755</v>
      </c>
      <c r="AF96" s="106">
        <v>8.3196383028104295E-2</v>
      </c>
      <c r="AG96" s="106">
        <v>33350</v>
      </c>
      <c r="AH96" s="106">
        <v>24113.984598459847</v>
      </c>
      <c r="AI96" s="106">
        <v>31532.348734873489</v>
      </c>
      <c r="AJ96" s="106">
        <v>33812.446644664466</v>
      </c>
      <c r="AK96" s="104">
        <v>25545.202420242025</v>
      </c>
      <c r="AL96" s="118"/>
      <c r="AM96" s="118">
        <v>927</v>
      </c>
      <c r="AN96" s="118">
        <v>27258</v>
      </c>
      <c r="AO96" s="118">
        <v>167</v>
      </c>
      <c r="AP96" s="118">
        <f t="shared" si="1"/>
        <v>0</v>
      </c>
    </row>
    <row r="97" spans="1:42" ht="12.75">
      <c r="A97" s="106">
        <v>2018</v>
      </c>
      <c r="B97" s="106">
        <v>-176628</v>
      </c>
      <c r="C97" s="106">
        <v>0</v>
      </c>
      <c r="D97" s="106">
        <v>176628</v>
      </c>
      <c r="E97" s="106" t="s">
        <v>262</v>
      </c>
      <c r="F97" s="106" t="s">
        <v>263</v>
      </c>
      <c r="G97" s="106" t="s">
        <v>264</v>
      </c>
      <c r="H97" s="106">
        <v>6</v>
      </c>
      <c r="I97" s="106" t="s">
        <v>3640</v>
      </c>
      <c r="J97" s="106">
        <v>28020</v>
      </c>
      <c r="K97" s="106">
        <v>18607</v>
      </c>
      <c r="L97" s="106">
        <v>19603</v>
      </c>
      <c r="M97" s="106">
        <v>0.53</v>
      </c>
      <c r="N97" s="106">
        <v>0.81</v>
      </c>
      <c r="O97" s="106">
        <v>0.99</v>
      </c>
      <c r="P97" s="106">
        <v>16431</v>
      </c>
      <c r="Q97" s="106">
        <v>8617.5146009085001</v>
      </c>
      <c r="R97" s="106">
        <v>0.39345261596885039</v>
      </c>
      <c r="S97" s="106">
        <v>18678.012978585335</v>
      </c>
      <c r="T97" s="106">
        <v>18961.870214146657</v>
      </c>
      <c r="U97" s="106">
        <v>15031.462037637897</v>
      </c>
      <c r="V97" s="106">
        <v>0.88379817491177814</v>
      </c>
      <c r="W97" s="106">
        <v>62091.451851851853</v>
      </c>
      <c r="X97" s="110">
        <v>0.57373556317569174</v>
      </c>
      <c r="Y97" s="106">
        <v>354.416</v>
      </c>
      <c r="Z97" s="106">
        <v>12.327999999999999</v>
      </c>
      <c r="AA97" s="106">
        <v>52052.770786516856</v>
      </c>
      <c r="AB97" s="106">
        <v>522.85411493837751</v>
      </c>
      <c r="AC97" s="106">
        <v>1.9211273192377849</v>
      </c>
      <c r="AD97" s="106">
        <v>29.353562005277045</v>
      </c>
      <c r="AE97" s="106">
        <v>99.555056179775278</v>
      </c>
      <c r="AF97" s="106">
        <v>1.6922394084256727E-2</v>
      </c>
      <c r="AG97" s="106">
        <v>27070</v>
      </c>
      <c r="AH97" s="106">
        <v>16288.512654120701</v>
      </c>
      <c r="AI97" s="106">
        <v>18678.012978585335</v>
      </c>
      <c r="AJ97" s="106">
        <v>19326.388059701494</v>
      </c>
      <c r="AK97" s="104">
        <v>15031.462037637897</v>
      </c>
      <c r="AM97" s="118">
        <v>1272</v>
      </c>
      <c r="AN97" s="118">
        <v>44302</v>
      </c>
      <c r="AO97" s="118">
        <v>273</v>
      </c>
      <c r="AP97" s="118">
        <f t="shared" si="1"/>
        <v>950</v>
      </c>
    </row>
    <row r="98" spans="1:42" ht="12.75">
      <c r="A98" s="106">
        <v>2018</v>
      </c>
      <c r="B98" s="106">
        <v>-109785</v>
      </c>
      <c r="C98" s="106">
        <v>0</v>
      </c>
      <c r="D98" s="106">
        <v>109785</v>
      </c>
      <c r="E98" s="106" t="s">
        <v>265</v>
      </c>
      <c r="F98" s="106" t="s">
        <v>266</v>
      </c>
      <c r="G98" s="106" t="s">
        <v>121</v>
      </c>
      <c r="H98" s="106">
        <v>5</v>
      </c>
      <c r="I98" s="106" t="s">
        <v>3639</v>
      </c>
      <c r="J98" s="106">
        <v>37506</v>
      </c>
      <c r="K98" s="106">
        <v>29152</v>
      </c>
      <c r="L98" s="106">
        <v>13786</v>
      </c>
      <c r="M98" s="106">
        <v>0.33</v>
      </c>
      <c r="N98" s="106">
        <v>0.57999999999999996</v>
      </c>
      <c r="O98" s="106">
        <v>0.97</v>
      </c>
      <c r="P98" s="106">
        <v>18328</v>
      </c>
      <c r="Q98" s="106">
        <v>9231.6913823272098</v>
      </c>
      <c r="R98" s="106">
        <v>0.31669363218404029</v>
      </c>
      <c r="S98" s="106">
        <v>26264.730971128611</v>
      </c>
      <c r="T98" s="106">
        <v>28507.837926509186</v>
      </c>
      <c r="U98" s="106">
        <v>24314.427837098097</v>
      </c>
      <c r="V98" s="106">
        <v>0.81920644455743741</v>
      </c>
      <c r="W98" s="106">
        <v>87017.362192074259</v>
      </c>
      <c r="X98" s="110">
        <v>0.62334325639212895</v>
      </c>
      <c r="Y98" s="106">
        <v>287.77958697378875</v>
      </c>
      <c r="Z98" s="106">
        <v>10.894360603653695</v>
      </c>
      <c r="AA98" s="106">
        <v>75803.3167890982</v>
      </c>
      <c r="AB98" s="106">
        <v>920.4618976431733</v>
      </c>
      <c r="AC98" s="106">
        <v>1.3192034891853401</v>
      </c>
      <c r="AD98" s="106">
        <v>35.474117077890661</v>
      </c>
      <c r="AE98" s="106">
        <v>82.35356290487556</v>
      </c>
      <c r="AF98" s="106">
        <v>-4.7070994985789386E-2</v>
      </c>
      <c r="AG98" s="106">
        <v>36926</v>
      </c>
      <c r="AH98" s="106">
        <v>24877.864282589675</v>
      </c>
      <c r="AI98" s="106">
        <v>26264.730971128611</v>
      </c>
      <c r="AJ98" s="106">
        <v>26589.611001749781</v>
      </c>
      <c r="AK98" s="104">
        <v>25788.349518810148</v>
      </c>
      <c r="AM98" s="118">
        <v>5671</v>
      </c>
      <c r="AN98" s="118">
        <v>241543</v>
      </c>
      <c r="AO98" s="118">
        <v>1552</v>
      </c>
      <c r="AP98" s="118">
        <f t="shared" si="1"/>
        <v>580</v>
      </c>
    </row>
    <row r="99" spans="1:42" ht="12.75">
      <c r="A99" s="106">
        <v>2018</v>
      </c>
      <c r="B99" s="106">
        <v>-474863</v>
      </c>
      <c r="C99" s="106">
        <v>0</v>
      </c>
      <c r="D99" s="106">
        <v>474863</v>
      </c>
      <c r="E99" s="106" t="s">
        <v>267</v>
      </c>
      <c r="F99" s="106" t="s">
        <v>268</v>
      </c>
      <c r="G99" s="106" t="s">
        <v>121</v>
      </c>
      <c r="H99" s="106">
        <v>7</v>
      </c>
      <c r="I99" s="106" t="s">
        <v>3641</v>
      </c>
      <c r="J99" s="106">
        <v>10200</v>
      </c>
      <c r="K99" s="106">
        <v>19936</v>
      </c>
      <c r="L99" s="106">
        <v>20101</v>
      </c>
      <c r="M99" s="106">
        <v>0.76</v>
      </c>
      <c r="N99" s="106">
        <v>0.88</v>
      </c>
      <c r="O99" s="106">
        <v>0</v>
      </c>
      <c r="P99" s="106"/>
      <c r="Q99" s="106"/>
      <c r="R99" s="106"/>
      <c r="S99" s="106">
        <v>12666.611712598426</v>
      </c>
      <c r="T99" s="106">
        <v>11453.442421259842</v>
      </c>
      <c r="U99" s="106">
        <v>11431.296751968504</v>
      </c>
      <c r="V99" s="106">
        <v>1.1166737951545942</v>
      </c>
      <c r="W99" s="106">
        <v>68781.454379562041</v>
      </c>
      <c r="X99" s="110">
        <v>0.53984728055361064</v>
      </c>
      <c r="Y99" s="106">
        <v>1051.0295857988165</v>
      </c>
      <c r="Z99" s="106">
        <v>36.071005917159759</v>
      </c>
      <c r="AA99" s="106">
        <v>36068.936335403727</v>
      </c>
      <c r="AB99" s="106">
        <v>392.31852114579112</v>
      </c>
      <c r="AC99" s="106">
        <v>2.7724687822813414</v>
      </c>
      <c r="AD99" s="106">
        <v>40.966921119592875</v>
      </c>
      <c r="AE99" s="106">
        <v>91.937888198757761</v>
      </c>
      <c r="AF99" s="106">
        <v>0.45371847363504592</v>
      </c>
      <c r="AG99" s="106">
        <v>10200</v>
      </c>
      <c r="AH99" s="106">
        <v>12815.58809055118</v>
      </c>
      <c r="AI99" s="106">
        <v>12815.58809055118</v>
      </c>
      <c r="AJ99" s="106">
        <v>12670.833169291338</v>
      </c>
      <c r="AK99" s="104">
        <v>11431.296751968504</v>
      </c>
      <c r="AM99" s="118">
        <v>1939</v>
      </c>
      <c r="AN99" s="118">
        <v>59208</v>
      </c>
      <c r="AO99" s="118">
        <v>461</v>
      </c>
      <c r="AP99" s="118">
        <f t="shared" si="1"/>
        <v>0</v>
      </c>
    </row>
    <row r="100" spans="1:42" ht="12.75">
      <c r="A100" s="106">
        <v>2018</v>
      </c>
      <c r="B100" s="106">
        <v>-206817</v>
      </c>
      <c r="C100" s="106">
        <v>0</v>
      </c>
      <c r="D100" s="106">
        <v>206817</v>
      </c>
      <c r="E100" s="106" t="s">
        <v>269</v>
      </c>
      <c r="F100" s="106" t="s">
        <v>270</v>
      </c>
      <c r="G100" s="106" t="s">
        <v>271</v>
      </c>
      <c r="H100" s="106">
        <v>7</v>
      </c>
      <c r="I100" s="106" t="s">
        <v>3641</v>
      </c>
      <c r="J100" s="106">
        <v>17700</v>
      </c>
      <c r="K100" s="106">
        <v>21444</v>
      </c>
      <c r="L100" s="106">
        <v>19236</v>
      </c>
      <c r="M100" s="106">
        <v>0.63</v>
      </c>
      <c r="N100" s="106">
        <v>0.64</v>
      </c>
      <c r="O100" s="106">
        <v>0.9</v>
      </c>
      <c r="P100" s="106">
        <v>7185</v>
      </c>
      <c r="Q100" s="106">
        <v>7202.8559322033898</v>
      </c>
      <c r="R100" s="106">
        <v>0.45350988549512999</v>
      </c>
      <c r="S100" s="106">
        <v>16069.433414043584</v>
      </c>
      <c r="T100" s="106">
        <v>15723.038740920098</v>
      </c>
      <c r="U100" s="106">
        <v>13342.299031476998</v>
      </c>
      <c r="V100" s="106">
        <v>0.65053341704217837</v>
      </c>
      <c r="W100" s="106">
        <v>26621.682926829268</v>
      </c>
      <c r="X100" s="110">
        <v>0.33617299454926108</v>
      </c>
      <c r="Y100" s="106">
        <v>385.22797927461136</v>
      </c>
      <c r="Z100" s="106">
        <v>12.839378238341967</v>
      </c>
      <c r="AA100" s="106">
        <v>91839.491666666669</v>
      </c>
      <c r="AB100" s="106">
        <v>444.68946455231406</v>
      </c>
      <c r="AC100" s="106">
        <v>1.0888562010224543</v>
      </c>
      <c r="AD100" s="106">
        <v>13.468013468013467</v>
      </c>
      <c r="AE100" s="106">
        <v>206.52500000000001</v>
      </c>
      <c r="AF100" s="106">
        <v>2.40670690321854E-2</v>
      </c>
      <c r="AG100" s="106">
        <v>15000</v>
      </c>
      <c r="AH100" s="106">
        <v>14758.604116222761</v>
      </c>
      <c r="AI100" s="106">
        <v>16069.433414043584</v>
      </c>
      <c r="AJ100" s="106">
        <v>16069.433414043584</v>
      </c>
      <c r="AK100" s="104">
        <v>13342.299031476998</v>
      </c>
      <c r="AM100" s="118">
        <v>934</v>
      </c>
      <c r="AN100" s="118">
        <v>24783</v>
      </c>
      <c r="AO100" s="118">
        <v>120</v>
      </c>
      <c r="AP100" s="118">
        <f t="shared" si="1"/>
        <v>2700</v>
      </c>
    </row>
    <row r="101" spans="1:42" ht="12.75">
      <c r="A101" s="106">
        <v>2018</v>
      </c>
      <c r="B101" s="106">
        <v>2532</v>
      </c>
      <c r="C101" s="106">
        <v>1</v>
      </c>
      <c r="D101" s="106">
        <v>168847</v>
      </c>
      <c r="E101" s="106" t="s">
        <v>3834</v>
      </c>
      <c r="F101" s="106" t="s">
        <v>272</v>
      </c>
      <c r="G101" s="106" t="s">
        <v>74</v>
      </c>
      <c r="H101" s="106">
        <v>7</v>
      </c>
      <c r="I101" s="106" t="s">
        <v>3641</v>
      </c>
      <c r="J101" s="106">
        <v>9360</v>
      </c>
      <c r="K101" s="106">
        <v>12877</v>
      </c>
      <c r="L101" s="106">
        <v>10564</v>
      </c>
      <c r="M101" s="106">
        <v>0.6</v>
      </c>
      <c r="N101" s="106">
        <v>0.6</v>
      </c>
      <c r="O101" s="106">
        <v>0.93</v>
      </c>
      <c r="P101" s="106">
        <v>2667</v>
      </c>
      <c r="Q101" s="106">
        <v>1118.0907540088706</v>
      </c>
      <c r="R101" s="106">
        <v>0.11156138831129853</v>
      </c>
      <c r="S101" s="106">
        <v>10515.214829978391</v>
      </c>
      <c r="T101" s="106">
        <v>15617.907881269191</v>
      </c>
      <c r="U101" s="106">
        <v>14300.502672580462</v>
      </c>
      <c r="V101" s="106">
        <v>0.6226432255548402</v>
      </c>
      <c r="W101" s="106">
        <v>49007.573394495405</v>
      </c>
      <c r="X101" s="110">
        <v>0.51864297942337634</v>
      </c>
      <c r="Y101" s="106">
        <v>287.09682133723055</v>
      </c>
      <c r="Z101" s="106">
        <v>9.6379247351114348</v>
      </c>
      <c r="AA101" s="106">
        <v>36237.556195965415</v>
      </c>
      <c r="AB101" s="106">
        <v>480.0720808771876</v>
      </c>
      <c r="AC101" s="106">
        <v>2.759567986848233</v>
      </c>
      <c r="AD101" s="106">
        <v>46.778107306551632</v>
      </c>
      <c r="AE101" s="106">
        <v>75.483573487031705</v>
      </c>
      <c r="AF101" s="106">
        <v>-2.151003896606345E-2</v>
      </c>
      <c r="AG101" s="106">
        <v>9360</v>
      </c>
      <c r="AH101" s="106">
        <v>9480.5601046286811</v>
      </c>
      <c r="AI101" s="106">
        <v>9503.8173547139777</v>
      </c>
      <c r="AJ101" s="106">
        <v>14041.707608324803</v>
      </c>
      <c r="AK101" s="104">
        <v>14300.502672580462</v>
      </c>
      <c r="AM101" s="118">
        <v>11603</v>
      </c>
      <c r="AN101" s="118">
        <v>261928</v>
      </c>
      <c r="AO101" s="118">
        <v>3043</v>
      </c>
      <c r="AP101" s="118">
        <f t="shared" si="1"/>
        <v>0</v>
      </c>
    </row>
    <row r="102" spans="1:42" ht="12.75">
      <c r="A102" s="106">
        <v>2018</v>
      </c>
      <c r="B102" s="106">
        <v>-154688</v>
      </c>
      <c r="C102" s="106">
        <v>0</v>
      </c>
      <c r="D102" s="106">
        <v>154688</v>
      </c>
      <c r="E102" s="106" t="s">
        <v>276</v>
      </c>
      <c r="F102" s="106" t="s">
        <v>277</v>
      </c>
      <c r="G102" s="106" t="s">
        <v>129</v>
      </c>
      <c r="H102" s="106">
        <v>6</v>
      </c>
      <c r="I102" s="106" t="s">
        <v>3640</v>
      </c>
      <c r="J102" s="106">
        <v>28880</v>
      </c>
      <c r="K102" s="106">
        <v>23016</v>
      </c>
      <c r="L102" s="106">
        <v>18293</v>
      </c>
      <c r="M102" s="106">
        <v>0.34</v>
      </c>
      <c r="N102" s="106">
        <v>0.7</v>
      </c>
      <c r="O102" s="106">
        <v>0.96</v>
      </c>
      <c r="P102" s="106">
        <v>19524</v>
      </c>
      <c r="Q102" s="106">
        <v>7560.4540311173978</v>
      </c>
      <c r="R102" s="106">
        <v>0.39504512327882274</v>
      </c>
      <c r="S102" s="106">
        <v>16282.114568599716</v>
      </c>
      <c r="T102" s="106">
        <v>17171.873173031589</v>
      </c>
      <c r="U102" s="106">
        <v>15167.79255068364</v>
      </c>
      <c r="V102" s="106">
        <v>0.76331144480687008</v>
      </c>
      <c r="W102" s="106">
        <v>44455.051948051951</v>
      </c>
      <c r="X102" s="110">
        <v>0.46991954734042979</v>
      </c>
      <c r="Y102" s="106">
        <v>320.68279569892474</v>
      </c>
      <c r="Z102" s="106">
        <v>11.403225806451612</v>
      </c>
      <c r="AA102" s="106">
        <v>39042.339805825242</v>
      </c>
      <c r="AB102" s="106">
        <v>539.35466997501965</v>
      </c>
      <c r="AC102" s="106">
        <v>2.5613219007196819</v>
      </c>
      <c r="AD102" s="106">
        <v>48.074679113185532</v>
      </c>
      <c r="AE102" s="106">
        <v>72.387135922330103</v>
      </c>
      <c r="AF102" s="106">
        <v>2.3277595525174218E-2</v>
      </c>
      <c r="AG102" s="106">
        <v>28430</v>
      </c>
      <c r="AH102" s="106">
        <v>13650.554455445545</v>
      </c>
      <c r="AI102" s="106">
        <v>15866.975954738331</v>
      </c>
      <c r="AJ102" s="106">
        <v>17924.590287600189</v>
      </c>
      <c r="AK102" s="104">
        <v>15167.79255068364</v>
      </c>
      <c r="AM102" s="118">
        <v>1771</v>
      </c>
      <c r="AN102" s="118">
        <v>59647</v>
      </c>
      <c r="AO102" s="118">
        <v>464</v>
      </c>
      <c r="AP102" s="118">
        <f t="shared" si="1"/>
        <v>450</v>
      </c>
    </row>
    <row r="103" spans="1:42" ht="12.75">
      <c r="A103" s="106">
        <v>2018</v>
      </c>
      <c r="B103" s="106">
        <v>-109819</v>
      </c>
      <c r="C103" s="106">
        <v>0</v>
      </c>
      <c r="D103" s="106">
        <v>109819</v>
      </c>
      <c r="E103" s="106" t="s">
        <v>4045</v>
      </c>
      <c r="F103" s="106" t="s">
        <v>278</v>
      </c>
      <c r="G103" s="106" t="s">
        <v>121</v>
      </c>
      <c r="H103" s="106">
        <v>4</v>
      </c>
      <c r="I103" s="106" t="s">
        <v>24</v>
      </c>
      <c r="J103" s="106">
        <v>1325</v>
      </c>
      <c r="K103" s="106">
        <v>6777</v>
      </c>
      <c r="L103" s="106">
        <v>5353</v>
      </c>
      <c r="M103" s="106">
        <v>0.61</v>
      </c>
      <c r="N103" s="106">
        <v>0.01</v>
      </c>
      <c r="O103" s="106">
        <v>0.05</v>
      </c>
      <c r="P103" s="106">
        <v>961</v>
      </c>
      <c r="Q103" s="106"/>
      <c r="R103" s="106"/>
      <c r="S103" s="106">
        <v>12561.108061253974</v>
      </c>
      <c r="T103" s="106">
        <v>13937.686579023404</v>
      </c>
      <c r="U103" s="106">
        <v>10391.18824039295</v>
      </c>
      <c r="V103" s="106">
        <v>0.1527601530451263</v>
      </c>
      <c r="W103" s="106">
        <v>124400.08459595959</v>
      </c>
      <c r="X103" s="110">
        <v>0.5106150045099247</v>
      </c>
      <c r="Y103" s="106">
        <v>998.39423076923072</v>
      </c>
      <c r="Z103" s="106">
        <v>33.278846153846153</v>
      </c>
      <c r="AA103" s="106">
        <v>38494.945143162964</v>
      </c>
      <c r="AB103" s="106">
        <v>346.36293374938606</v>
      </c>
      <c r="AC103" s="106">
        <v>2.5977436681127695</v>
      </c>
      <c r="AD103" s="106">
        <v>27.819548872180448</v>
      </c>
      <c r="AE103" s="106">
        <v>111.14048702167514</v>
      </c>
      <c r="AF103" s="106">
        <v>-1.4083389642850887E-2</v>
      </c>
      <c r="AG103" s="106">
        <v>1288</v>
      </c>
      <c r="AH103" s="106">
        <v>11232.914981219301</v>
      </c>
      <c r="AI103" s="106">
        <v>11232.914981219301</v>
      </c>
      <c r="AJ103" s="106">
        <v>12699.412380814794</v>
      </c>
      <c r="AK103" s="104">
        <v>13178.154796301647</v>
      </c>
      <c r="AL103" s="118">
        <v>92049068</v>
      </c>
      <c r="AM103" s="118">
        <v>23195</v>
      </c>
      <c r="AN103" s="118">
        <v>415332</v>
      </c>
      <c r="AO103" s="118">
        <v>1635</v>
      </c>
      <c r="AP103" s="118">
        <f t="shared" si="1"/>
        <v>37</v>
      </c>
    </row>
    <row r="104" spans="1:42" ht="12.75">
      <c r="A104" s="106">
        <v>2018</v>
      </c>
      <c r="B104" s="106">
        <v>-201195</v>
      </c>
      <c r="C104" s="106">
        <v>0</v>
      </c>
      <c r="D104" s="106">
        <v>201195</v>
      </c>
      <c r="E104" s="106" t="s">
        <v>279</v>
      </c>
      <c r="F104" s="106" t="s">
        <v>280</v>
      </c>
      <c r="G104" s="106" t="s">
        <v>82</v>
      </c>
      <c r="H104" s="106">
        <v>6</v>
      </c>
      <c r="I104" s="106" t="s">
        <v>3640</v>
      </c>
      <c r="J104" s="106">
        <v>31668</v>
      </c>
      <c r="K104" s="106">
        <v>23526</v>
      </c>
      <c r="L104" s="106">
        <v>16715</v>
      </c>
      <c r="M104" s="106">
        <v>0.34</v>
      </c>
      <c r="N104" s="106">
        <v>0.95</v>
      </c>
      <c r="O104" s="106">
        <v>1</v>
      </c>
      <c r="P104" s="106">
        <v>18892</v>
      </c>
      <c r="Q104" s="106">
        <v>11781.360776088097</v>
      </c>
      <c r="R104" s="106">
        <v>0.41696569828490126</v>
      </c>
      <c r="S104" s="106">
        <v>29285.326953329837</v>
      </c>
      <c r="T104" s="106">
        <v>26668.263765076037</v>
      </c>
      <c r="U104" s="106">
        <v>22339.563373523928</v>
      </c>
      <c r="V104" s="106">
        <v>0.73741938853681199</v>
      </c>
      <c r="W104" s="106">
        <v>79914.539072847678</v>
      </c>
      <c r="X104" s="110">
        <v>0.59319477896764927</v>
      </c>
      <c r="Y104" s="106">
        <v>377.84013605442175</v>
      </c>
      <c r="Z104" s="106">
        <v>12.972789115646259</v>
      </c>
      <c r="AA104" s="106">
        <v>86063.732026889149</v>
      </c>
      <c r="AB104" s="106">
        <v>767.00809926290913</v>
      </c>
      <c r="AC104" s="106">
        <v>1.1619296263931094</v>
      </c>
      <c r="AD104" s="106">
        <v>28.053272881836218</v>
      </c>
      <c r="AE104" s="106">
        <v>112.20707070707071</v>
      </c>
      <c r="AF104" s="106">
        <v>7.8400855532961305E-2</v>
      </c>
      <c r="AG104" s="106">
        <v>31668</v>
      </c>
      <c r="AH104" s="106">
        <v>22469.701101206083</v>
      </c>
      <c r="AI104" s="106">
        <v>29396.856843209229</v>
      </c>
      <c r="AJ104" s="106">
        <v>32725.111955951757</v>
      </c>
      <c r="AK104" s="104">
        <v>22894.958049292083</v>
      </c>
      <c r="AM104" s="118">
        <v>3183</v>
      </c>
      <c r="AN104" s="118">
        <v>111085</v>
      </c>
      <c r="AO104" s="118">
        <v>732</v>
      </c>
      <c r="AP104" s="118">
        <f t="shared" si="1"/>
        <v>0</v>
      </c>
    </row>
    <row r="105" spans="1:42" ht="12.75">
      <c r="A105" s="106">
        <v>2018</v>
      </c>
      <c r="B105" s="106">
        <v>-150136</v>
      </c>
      <c r="C105" s="106">
        <v>0</v>
      </c>
      <c r="D105" s="106">
        <v>150136</v>
      </c>
      <c r="E105" s="106" t="s">
        <v>281</v>
      </c>
      <c r="F105" s="106" t="s">
        <v>282</v>
      </c>
      <c r="G105" s="106" t="s">
        <v>161</v>
      </c>
      <c r="H105" s="106">
        <v>1</v>
      </c>
      <c r="I105" s="106" t="s">
        <v>23</v>
      </c>
      <c r="J105" s="106">
        <v>9774</v>
      </c>
      <c r="K105" s="106">
        <v>13642</v>
      </c>
      <c r="L105" s="106">
        <v>8419</v>
      </c>
      <c r="M105" s="106">
        <v>0.37</v>
      </c>
      <c r="N105" s="106">
        <v>0.66</v>
      </c>
      <c r="O105" s="106">
        <v>0.57999999999999996</v>
      </c>
      <c r="P105" s="106">
        <v>8010</v>
      </c>
      <c r="Q105" s="106">
        <v>2493.5009024456276</v>
      </c>
      <c r="R105" s="106">
        <v>0.21800403026616208</v>
      </c>
      <c r="S105" s="106">
        <v>22488.331378034472</v>
      </c>
      <c r="T105" s="106">
        <v>22254.63017778179</v>
      </c>
      <c r="U105" s="106">
        <v>15267.890319427162</v>
      </c>
      <c r="V105" s="106">
        <v>0.58582849283651472</v>
      </c>
      <c r="W105" s="106">
        <v>92420.997263328609</v>
      </c>
      <c r="X105" s="110">
        <v>0.61625601977833599</v>
      </c>
      <c r="Y105" s="106">
        <v>571.98710644677658</v>
      </c>
      <c r="Z105" s="106">
        <v>19.935832083958019</v>
      </c>
      <c r="AA105" s="106">
        <v>58990.060191622171</v>
      </c>
      <c r="AB105" s="106">
        <v>532.14153650281708</v>
      </c>
      <c r="AC105" s="106">
        <v>1.695200846975947</v>
      </c>
      <c r="AD105" s="106">
        <v>30.654125694741342</v>
      </c>
      <c r="AE105" s="106">
        <v>110.85407949790795</v>
      </c>
      <c r="AF105" s="106">
        <v>4.4926580525548314E-2</v>
      </c>
      <c r="AG105" s="106">
        <v>9112</v>
      </c>
      <c r="AH105" s="106">
        <v>22781.636675390309</v>
      </c>
      <c r="AI105" s="106">
        <v>23224.568179767168</v>
      </c>
      <c r="AJ105" s="106">
        <v>22594.880877177151</v>
      </c>
      <c r="AK105" s="104">
        <v>17724.121108203231</v>
      </c>
      <c r="AL105" s="119">
        <v>137440491</v>
      </c>
      <c r="AM105" s="118">
        <v>17004</v>
      </c>
      <c r="AN105" s="118">
        <v>635859</v>
      </c>
      <c r="AO105" s="118">
        <v>3407</v>
      </c>
      <c r="AP105" s="118">
        <f t="shared" si="1"/>
        <v>662</v>
      </c>
    </row>
    <row r="106" spans="1:42" ht="12.75">
      <c r="A106" s="106">
        <v>2018</v>
      </c>
      <c r="B106" s="106">
        <v>-161864</v>
      </c>
      <c r="C106" s="106">
        <v>0</v>
      </c>
      <c r="D106" s="106">
        <v>161864</v>
      </c>
      <c r="E106" s="106" t="s">
        <v>283</v>
      </c>
      <c r="F106" s="106" t="s">
        <v>284</v>
      </c>
      <c r="G106" s="106" t="s">
        <v>124</v>
      </c>
      <c r="H106" s="106">
        <v>4</v>
      </c>
      <c r="I106" s="106" t="s">
        <v>24</v>
      </c>
      <c r="J106" s="106">
        <v>3074</v>
      </c>
      <c r="K106" s="106">
        <v>4825</v>
      </c>
      <c r="L106" s="106">
        <v>4952</v>
      </c>
      <c r="M106" s="106">
        <v>0.74</v>
      </c>
      <c r="N106" s="106">
        <v>0</v>
      </c>
      <c r="O106" s="106">
        <v>0.19</v>
      </c>
      <c r="P106" s="106">
        <v>2591</v>
      </c>
      <c r="Q106" s="106">
        <v>167.43046357615893</v>
      </c>
      <c r="R106" s="106">
        <v>3.662674398102473E-2</v>
      </c>
      <c r="S106" s="106">
        <v>25833.302687962601</v>
      </c>
      <c r="T106" s="106">
        <v>26324.377873003505</v>
      </c>
      <c r="U106" s="106">
        <v>22579.047226255774</v>
      </c>
      <c r="V106" s="106">
        <v>0.19504065231797579</v>
      </c>
      <c r="W106" s="106">
        <v>79472.485928705442</v>
      </c>
      <c r="X106" s="110">
        <v>0.6268447923643824</v>
      </c>
      <c r="Y106" s="106">
        <v>436.75236294896035</v>
      </c>
      <c r="Z106" s="106">
        <v>14.557655954631382</v>
      </c>
      <c r="AA106" s="106">
        <v>85361.434800881543</v>
      </c>
      <c r="AB106" s="106">
        <v>752.59581673200421</v>
      </c>
      <c r="AC106" s="106">
        <v>1.1714892121162808</v>
      </c>
      <c r="AD106" s="106">
        <v>29.62478184991274</v>
      </c>
      <c r="AE106" s="106">
        <v>113.42268041237114</v>
      </c>
      <c r="AF106" s="106">
        <v>-1.2483501737521704E-2</v>
      </c>
      <c r="AG106" s="106">
        <v>2640</v>
      </c>
      <c r="AH106" s="106">
        <v>25062.936501753018</v>
      </c>
      <c r="AI106" s="106">
        <v>25062.936501753018</v>
      </c>
      <c r="AJ106" s="106">
        <v>26073.767043241136</v>
      </c>
      <c r="AK106" s="104">
        <v>25397.434748733929</v>
      </c>
      <c r="AL106" s="118">
        <v>40019583</v>
      </c>
      <c r="AM106" s="118">
        <v>4188</v>
      </c>
      <c r="AN106" s="118">
        <v>77014</v>
      </c>
      <c r="AO106" s="118">
        <v>451</v>
      </c>
      <c r="AP106" s="118">
        <f t="shared" si="1"/>
        <v>434</v>
      </c>
    </row>
    <row r="107" spans="1:42" ht="12.75">
      <c r="A107" s="106">
        <v>2018</v>
      </c>
      <c r="B107" s="106">
        <v>-189088</v>
      </c>
      <c r="C107" s="106">
        <v>0</v>
      </c>
      <c r="D107" s="106">
        <v>189088</v>
      </c>
      <c r="E107" s="106" t="s">
        <v>285</v>
      </c>
      <c r="F107" s="106" t="s">
        <v>286</v>
      </c>
      <c r="G107" s="106" t="s">
        <v>69</v>
      </c>
      <c r="H107" s="106">
        <v>7</v>
      </c>
      <c r="I107" s="106" t="s">
        <v>3641</v>
      </c>
      <c r="J107" s="106">
        <v>52906</v>
      </c>
      <c r="K107" s="106">
        <v>26475</v>
      </c>
      <c r="L107" s="106">
        <v>16022</v>
      </c>
      <c r="M107" s="106">
        <v>0.24</v>
      </c>
      <c r="N107" s="106">
        <v>0.51</v>
      </c>
      <c r="O107" s="106">
        <v>0.68</v>
      </c>
      <c r="P107" s="106">
        <v>42305</v>
      </c>
      <c r="Q107" s="106">
        <v>23617.642164781908</v>
      </c>
      <c r="R107" s="106">
        <v>0.51950283684120058</v>
      </c>
      <c r="S107" s="106">
        <v>63294.384087237479</v>
      </c>
      <c r="T107" s="106">
        <v>69708.320274636513</v>
      </c>
      <c r="U107" s="106">
        <v>51903.975329594345</v>
      </c>
      <c r="V107" s="106">
        <v>0.42086113393143915</v>
      </c>
      <c r="W107" s="106">
        <v>121543.4551534225</v>
      </c>
      <c r="X107" s="110">
        <v>0.59669254418832374</v>
      </c>
      <c r="Y107" s="106">
        <v>275.42765685019208</v>
      </c>
      <c r="Z107" s="106">
        <v>9.510883482714469</v>
      </c>
      <c r="AA107" s="106">
        <v>188991.53370011118</v>
      </c>
      <c r="AB107" s="106">
        <v>1792.3133329996738</v>
      </c>
      <c r="AC107" s="106">
        <v>0.52912423134614295</v>
      </c>
      <c r="AD107" s="106">
        <v>30.64443442992339</v>
      </c>
      <c r="AE107" s="106">
        <v>105.44558823529412</v>
      </c>
      <c r="AF107" s="106">
        <v>-2.9307283048572007E-2</v>
      </c>
      <c r="AG107" s="106">
        <v>52226</v>
      </c>
      <c r="AH107" s="106">
        <v>36892.621970920838</v>
      </c>
      <c r="AI107" s="106">
        <v>63294.384087237479</v>
      </c>
      <c r="AJ107" s="106">
        <v>66736.177302100157</v>
      </c>
      <c r="AK107" s="104">
        <v>62069.334006462035</v>
      </c>
      <c r="AM107" s="118">
        <v>1938</v>
      </c>
      <c r="AN107" s="118">
        <v>71703</v>
      </c>
      <c r="AO107" s="118">
        <v>512</v>
      </c>
      <c r="AP107" s="118">
        <f t="shared" si="1"/>
        <v>680</v>
      </c>
    </row>
    <row r="108" spans="1:42" ht="12.75">
      <c r="A108" s="106">
        <v>2018</v>
      </c>
      <c r="B108" s="106">
        <v>-167792</v>
      </c>
      <c r="C108" s="106">
        <v>0</v>
      </c>
      <c r="D108" s="106">
        <v>167792</v>
      </c>
      <c r="E108" s="106" t="s">
        <v>287</v>
      </c>
      <c r="F108" s="106" t="s">
        <v>288</v>
      </c>
      <c r="G108" s="106" t="s">
        <v>150</v>
      </c>
      <c r="H108" s="106">
        <v>7</v>
      </c>
      <c r="I108" s="106" t="s">
        <v>3641</v>
      </c>
      <c r="J108" s="106">
        <v>53418</v>
      </c>
      <c r="K108" s="106">
        <v>40985</v>
      </c>
      <c r="L108" s="106">
        <v>26265</v>
      </c>
      <c r="M108" s="106">
        <v>0.22</v>
      </c>
      <c r="N108" s="106">
        <v>0.45</v>
      </c>
      <c r="O108" s="106">
        <v>0.93</v>
      </c>
      <c r="P108" s="106">
        <v>27056</v>
      </c>
      <c r="Q108" s="106">
        <v>28535.584577114427</v>
      </c>
      <c r="R108" s="106">
        <v>0.51717156916890017</v>
      </c>
      <c r="S108" s="106">
        <v>49868.532338308454</v>
      </c>
      <c r="T108" s="106">
        <v>56843.109452736317</v>
      </c>
      <c r="U108" s="106">
        <v>47074.554726368158</v>
      </c>
      <c r="V108" s="106">
        <v>0.56592482624286411</v>
      </c>
      <c r="W108" s="106">
        <v>64058.632352941175</v>
      </c>
      <c r="X108" s="110">
        <v>0.57187873753934737</v>
      </c>
      <c r="Y108" s="106">
        <v>194.61290322580646</v>
      </c>
      <c r="Z108" s="106">
        <v>6.4838709677419351</v>
      </c>
      <c r="AA108" s="106">
        <v>136143.67625899281</v>
      </c>
      <c r="AB108" s="106">
        <v>1568.3715398640809</v>
      </c>
      <c r="AC108" s="106">
        <v>0.7345181410392142</v>
      </c>
      <c r="AD108" s="106">
        <v>35.189873417721515</v>
      </c>
      <c r="AE108" s="106">
        <v>86.805755395683448</v>
      </c>
      <c r="AF108" s="106">
        <v>-9.5431934448877237E-2</v>
      </c>
      <c r="AG108" s="106">
        <v>52118</v>
      </c>
      <c r="AH108" s="106">
        <v>43998.960199004978</v>
      </c>
      <c r="AI108" s="106">
        <v>49915.059701492537</v>
      </c>
      <c r="AJ108" s="106">
        <v>49821.905472636819</v>
      </c>
      <c r="AK108" s="104">
        <v>47074.554726368158</v>
      </c>
      <c r="AL108" s="118"/>
      <c r="AM108" s="118">
        <v>401</v>
      </c>
      <c r="AN108" s="118">
        <v>12066</v>
      </c>
      <c r="AO108" s="118">
        <v>139</v>
      </c>
      <c r="AP108" s="118">
        <f t="shared" si="1"/>
        <v>1300</v>
      </c>
    </row>
    <row r="109" spans="1:42" ht="12.75">
      <c r="A109" s="106">
        <v>2018</v>
      </c>
      <c r="B109" s="106">
        <v>-189097</v>
      </c>
      <c r="C109" s="106">
        <v>0</v>
      </c>
      <c r="D109" s="106">
        <v>189097</v>
      </c>
      <c r="E109" s="106" t="s">
        <v>289</v>
      </c>
      <c r="F109" s="106" t="s">
        <v>290</v>
      </c>
      <c r="G109" s="106" t="s">
        <v>69</v>
      </c>
      <c r="H109" s="106">
        <v>7</v>
      </c>
      <c r="I109" s="106" t="s">
        <v>3641</v>
      </c>
      <c r="J109" s="106">
        <v>52662</v>
      </c>
      <c r="K109" s="106">
        <v>26681</v>
      </c>
      <c r="L109" s="106">
        <v>11861</v>
      </c>
      <c r="M109" s="106">
        <v>0.14000000000000001</v>
      </c>
      <c r="N109" s="106">
        <v>0.33</v>
      </c>
      <c r="O109" s="106">
        <v>0.41</v>
      </c>
      <c r="P109" s="106">
        <v>43160</v>
      </c>
      <c r="Q109" s="106">
        <v>14795.195880149813</v>
      </c>
      <c r="R109" s="106">
        <v>0.29894610287135098</v>
      </c>
      <c r="S109" s="106">
        <v>62141.198501872663</v>
      </c>
      <c r="T109" s="106">
        <v>62165.543071161046</v>
      </c>
      <c r="U109" s="106">
        <v>45995.223638716416</v>
      </c>
      <c r="V109" s="106">
        <v>0.75433888614871225</v>
      </c>
      <c r="W109" s="106">
        <v>108446.13584288053</v>
      </c>
      <c r="X109" s="110">
        <v>0.53227128242821509</v>
      </c>
      <c r="Y109" s="106">
        <v>295.92487684729065</v>
      </c>
      <c r="Z109" s="106">
        <v>9.8645320197044324</v>
      </c>
      <c r="AA109" s="106">
        <v>188644.00478551895</v>
      </c>
      <c r="AB109" s="106">
        <v>1533.2315456930078</v>
      </c>
      <c r="AC109" s="106">
        <v>0.53009900904985663</v>
      </c>
      <c r="AD109" s="106">
        <v>25.771971496437057</v>
      </c>
      <c r="AE109" s="106">
        <v>123.036866359447</v>
      </c>
      <c r="AF109" s="106">
        <v>5.1955554738997392E-2</v>
      </c>
      <c r="AG109" s="106">
        <v>50882</v>
      </c>
      <c r="AH109" s="106">
        <v>52478.008239700372</v>
      </c>
      <c r="AI109" s="106">
        <v>62690.367790262171</v>
      </c>
      <c r="AJ109" s="106">
        <v>71697.752808988764</v>
      </c>
      <c r="AK109" s="104">
        <v>48913.108614232209</v>
      </c>
      <c r="AL109" s="118">
        <v>176000</v>
      </c>
      <c r="AM109" s="118">
        <v>2544</v>
      </c>
      <c r="AN109" s="118">
        <v>80097</v>
      </c>
      <c r="AO109" s="118">
        <v>651</v>
      </c>
      <c r="AP109" s="118">
        <f t="shared" si="1"/>
        <v>1780</v>
      </c>
    </row>
    <row r="110" spans="1:42" ht="12.75">
      <c r="A110" s="106">
        <v>2018</v>
      </c>
      <c r="B110" s="106">
        <v>-132471</v>
      </c>
      <c r="C110" s="106">
        <v>0</v>
      </c>
      <c r="D110" s="106">
        <v>132471</v>
      </c>
      <c r="E110" s="106" t="s">
        <v>291</v>
      </c>
      <c r="F110" s="106" t="s">
        <v>292</v>
      </c>
      <c r="G110" s="106" t="s">
        <v>258</v>
      </c>
      <c r="H110" s="106">
        <v>5</v>
      </c>
      <c r="I110" s="106" t="s">
        <v>3639</v>
      </c>
      <c r="J110" s="106">
        <v>30014</v>
      </c>
      <c r="K110" s="106">
        <v>19293</v>
      </c>
      <c r="L110" s="106">
        <v>16157</v>
      </c>
      <c r="M110" s="106">
        <v>0.71</v>
      </c>
      <c r="N110" s="106">
        <v>0.69</v>
      </c>
      <c r="O110" s="106">
        <v>1</v>
      </c>
      <c r="P110" s="106">
        <v>17233</v>
      </c>
      <c r="Q110" s="106">
        <v>7269.9972351571596</v>
      </c>
      <c r="R110" s="106">
        <v>0.30792770291481231</v>
      </c>
      <c r="S110" s="106">
        <v>19765.599825378347</v>
      </c>
      <c r="T110" s="106">
        <v>19866.157305005821</v>
      </c>
      <c r="U110" s="106">
        <v>17956.601862630967</v>
      </c>
      <c r="V110" s="106">
        <v>0.90994008092593703</v>
      </c>
      <c r="W110" s="106">
        <v>74364.528313627889</v>
      </c>
      <c r="X110" s="110">
        <v>0.58357062721977626</v>
      </c>
      <c r="Y110" s="106">
        <v>334.54873646209387</v>
      </c>
      <c r="Z110" s="106">
        <v>14.885198555956681</v>
      </c>
      <c r="AA110" s="106">
        <v>62861.827814569537</v>
      </c>
      <c r="AB110" s="106">
        <v>798.9496147620589</v>
      </c>
      <c r="AC110" s="106">
        <v>1.5907905238610152</v>
      </c>
      <c r="AD110" s="106">
        <v>32.760347129506009</v>
      </c>
      <c r="AE110" s="106">
        <v>78.68059093224656</v>
      </c>
      <c r="AF110" s="106">
        <v>2.6306664030409863E-2</v>
      </c>
      <c r="AG110" s="106">
        <v>29700</v>
      </c>
      <c r="AH110" s="106">
        <v>19380.236030267752</v>
      </c>
      <c r="AI110" s="106">
        <v>19765.599825378347</v>
      </c>
      <c r="AJ110" s="106">
        <v>20323.121798603028</v>
      </c>
      <c r="AK110" s="104">
        <v>17956.601862630967</v>
      </c>
      <c r="AM110" s="118">
        <v>3505</v>
      </c>
      <c r="AN110" s="118">
        <v>154450</v>
      </c>
      <c r="AO110" s="118">
        <v>703</v>
      </c>
      <c r="AP110" s="118">
        <f t="shared" si="1"/>
        <v>314</v>
      </c>
    </row>
    <row r="111" spans="1:42" ht="12.75">
      <c r="A111" s="106">
        <v>2018</v>
      </c>
      <c r="B111" s="106">
        <v>-109907</v>
      </c>
      <c r="C111" s="106">
        <v>0</v>
      </c>
      <c r="D111" s="106">
        <v>109907</v>
      </c>
      <c r="E111" s="106" t="s">
        <v>293</v>
      </c>
      <c r="F111" s="106" t="s">
        <v>294</v>
      </c>
      <c r="G111" s="106" t="s">
        <v>121</v>
      </c>
      <c r="H111" s="106">
        <v>4</v>
      </c>
      <c r="I111" s="106" t="s">
        <v>24</v>
      </c>
      <c r="J111" s="106">
        <v>1104</v>
      </c>
      <c r="K111" s="106">
        <v>8991</v>
      </c>
      <c r="L111" s="106">
        <v>8515</v>
      </c>
      <c r="M111" s="106">
        <v>0.67</v>
      </c>
      <c r="N111" s="106">
        <v>0</v>
      </c>
      <c r="O111" s="106">
        <v>0.46</v>
      </c>
      <c r="P111" s="106">
        <v>319</v>
      </c>
      <c r="Q111" s="106">
        <v>9.0790229885057467</v>
      </c>
      <c r="R111" s="106">
        <v>7.1026042882390214E-3</v>
      </c>
      <c r="S111" s="106">
        <v>15943.748563218391</v>
      </c>
      <c r="T111" s="106">
        <v>16401.984674329502</v>
      </c>
      <c r="U111" s="106">
        <v>9204.0155463130395</v>
      </c>
      <c r="V111" s="106">
        <v>0.13789500170629493</v>
      </c>
      <c r="W111" s="106">
        <v>107941.37625754527</v>
      </c>
      <c r="X111" s="110">
        <v>0.52215109002321469</v>
      </c>
      <c r="Y111" s="106">
        <v>767.19183673469399</v>
      </c>
      <c r="Z111" s="106">
        <v>25.567346938775515</v>
      </c>
      <c r="AA111" s="106">
        <v>43283.74878536402</v>
      </c>
      <c r="AB111" s="106">
        <v>306.73196381239228</v>
      </c>
      <c r="AC111" s="106">
        <v>2.3103359299094266</v>
      </c>
      <c r="AD111" s="106">
        <v>23.806970509383376</v>
      </c>
      <c r="AE111" s="106">
        <v>141.11261261261262</v>
      </c>
      <c r="AF111" s="106">
        <v>1.0391488000263398E-2</v>
      </c>
      <c r="AG111" s="106">
        <v>1104</v>
      </c>
      <c r="AH111" s="106">
        <v>13105.681034482759</v>
      </c>
      <c r="AI111" s="106">
        <v>13105.681034482759</v>
      </c>
      <c r="AJ111" s="106">
        <v>15978.399904214559</v>
      </c>
      <c r="AK111" s="104">
        <v>13369.92816091954</v>
      </c>
      <c r="AL111" s="119">
        <v>18533995</v>
      </c>
      <c r="AM111" s="118">
        <v>3077</v>
      </c>
      <c r="AN111" s="118">
        <v>62654</v>
      </c>
      <c r="AO111" s="118">
        <v>363</v>
      </c>
      <c r="AP111" s="118">
        <f t="shared" si="1"/>
        <v>0</v>
      </c>
    </row>
    <row r="112" spans="1:42" ht="12.75">
      <c r="A112" s="106">
        <v>2018</v>
      </c>
      <c r="B112" s="106">
        <v>-197911</v>
      </c>
      <c r="C112" s="106">
        <v>0</v>
      </c>
      <c r="D112" s="106">
        <v>197911</v>
      </c>
      <c r="E112" s="106" t="s">
        <v>295</v>
      </c>
      <c r="F112" s="106" t="s">
        <v>296</v>
      </c>
      <c r="G112" s="106" t="s">
        <v>90</v>
      </c>
      <c r="H112" s="106">
        <v>7</v>
      </c>
      <c r="I112" s="106" t="s">
        <v>3641</v>
      </c>
      <c r="J112" s="106">
        <v>29998</v>
      </c>
      <c r="K112" s="106">
        <v>22792</v>
      </c>
      <c r="L112" s="106">
        <v>20665</v>
      </c>
      <c r="M112" s="106">
        <v>0.47</v>
      </c>
      <c r="N112" s="106">
        <v>0.81</v>
      </c>
      <c r="O112" s="106">
        <v>0.99</v>
      </c>
      <c r="P112" s="106">
        <v>16782</v>
      </c>
      <c r="Q112" s="106">
        <v>12374.125910509885</v>
      </c>
      <c r="R112" s="106">
        <v>0.46224936412960155</v>
      </c>
      <c r="S112" s="106">
        <v>25845.779396462018</v>
      </c>
      <c r="T112" s="106">
        <v>28347.295525494275</v>
      </c>
      <c r="U112" s="106">
        <v>25296.927087524757</v>
      </c>
      <c r="V112" s="106">
        <v>0.5690512372859674</v>
      </c>
      <c r="W112" s="106">
        <v>69255.818181818177</v>
      </c>
      <c r="X112" s="110">
        <v>0.50336896479231452</v>
      </c>
      <c r="Y112" s="106">
        <v>339.58565737051794</v>
      </c>
      <c r="Z112" s="106">
        <v>11.48605577689243</v>
      </c>
      <c r="AA112" s="106">
        <v>92434.779205746352</v>
      </c>
      <c r="AB112" s="106">
        <v>855.63659478781119</v>
      </c>
      <c r="AC112" s="106">
        <v>1.0818438780214379</v>
      </c>
      <c r="AD112" s="106">
        <v>29.060773480662981</v>
      </c>
      <c r="AE112" s="106">
        <v>108.03041825095058</v>
      </c>
      <c r="AF112" s="106">
        <v>-1.5163472327569085E-2</v>
      </c>
      <c r="AG112" s="106">
        <v>27536</v>
      </c>
      <c r="AH112" s="106">
        <v>19589.724245577523</v>
      </c>
      <c r="AI112" s="106">
        <v>25845.779396462018</v>
      </c>
      <c r="AJ112" s="106">
        <v>27514.019771071798</v>
      </c>
      <c r="AK112" s="104">
        <v>25463.015608740894</v>
      </c>
      <c r="AL112" s="118"/>
      <c r="AM112" s="118">
        <v>887</v>
      </c>
      <c r="AN112" s="118">
        <v>28412</v>
      </c>
      <c r="AO112" s="118">
        <v>223</v>
      </c>
      <c r="AP112" s="118">
        <f t="shared" si="1"/>
        <v>2462</v>
      </c>
    </row>
    <row r="113" spans="1:42" ht="12.75">
      <c r="A113" s="106">
        <v>2018</v>
      </c>
      <c r="B113" s="106">
        <v>-154697</v>
      </c>
      <c r="C113" s="106">
        <v>0</v>
      </c>
      <c r="D113" s="106">
        <v>154697</v>
      </c>
      <c r="E113" s="106" t="s">
        <v>297</v>
      </c>
      <c r="F113" s="106" t="s">
        <v>298</v>
      </c>
      <c r="G113" s="106" t="s">
        <v>129</v>
      </c>
      <c r="H113" s="106">
        <v>4</v>
      </c>
      <c r="I113" s="106" t="s">
        <v>24</v>
      </c>
      <c r="J113" s="106">
        <v>3456</v>
      </c>
      <c r="K113" s="106">
        <v>8510</v>
      </c>
      <c r="L113" s="106">
        <v>6101</v>
      </c>
      <c r="M113" s="106">
        <v>0.38</v>
      </c>
      <c r="N113" s="106">
        <v>0.25</v>
      </c>
      <c r="O113" s="106">
        <v>0.86</v>
      </c>
      <c r="P113" s="106">
        <v>3797</v>
      </c>
      <c r="Q113" s="106">
        <v>640.98713235294122</v>
      </c>
      <c r="R113" s="106">
        <v>0.15698440960131058</v>
      </c>
      <c r="S113" s="106">
        <v>11455.862132352941</v>
      </c>
      <c r="T113" s="106">
        <v>10928.888655462184</v>
      </c>
      <c r="U113" s="106">
        <v>9239.2938793830053</v>
      </c>
      <c r="V113" s="106">
        <v>0.37255432752801354</v>
      </c>
      <c r="W113" s="106">
        <v>62966.074142724741</v>
      </c>
      <c r="X113" s="110">
        <v>0.54416908505731576</v>
      </c>
      <c r="Y113" s="106">
        <v>960</v>
      </c>
      <c r="Z113" s="106">
        <v>32</v>
      </c>
      <c r="AA113" s="106">
        <v>39620.755735011808</v>
      </c>
      <c r="AB113" s="106">
        <v>307.97646264610017</v>
      </c>
      <c r="AC113" s="106">
        <v>2.523929646087812</v>
      </c>
      <c r="AD113" s="106">
        <v>44.4</v>
      </c>
      <c r="AE113" s="106">
        <v>128.64864864864865</v>
      </c>
      <c r="AF113" s="106">
        <v>5.0699829416302807E-2</v>
      </c>
      <c r="AG113" s="106">
        <v>2304</v>
      </c>
      <c r="AH113" s="106">
        <v>10769.353728991597</v>
      </c>
      <c r="AI113" s="106">
        <v>10815.19931722689</v>
      </c>
      <c r="AJ113" s="106">
        <v>11469.680409663866</v>
      </c>
      <c r="AK113" s="104">
        <v>10175.802783613446</v>
      </c>
      <c r="AL113" s="119">
        <v>20273984</v>
      </c>
      <c r="AM113" s="118">
        <v>4228</v>
      </c>
      <c r="AN113" s="118">
        <v>114240</v>
      </c>
      <c r="AO113" s="118">
        <v>539</v>
      </c>
      <c r="AP113" s="118">
        <f t="shared" si="1"/>
        <v>1152</v>
      </c>
    </row>
    <row r="114" spans="1:42" ht="12.75">
      <c r="A114" s="106">
        <v>2018</v>
      </c>
      <c r="B114" s="106">
        <v>-160977</v>
      </c>
      <c r="C114" s="106">
        <v>0</v>
      </c>
      <c r="D114" s="106">
        <v>160977</v>
      </c>
      <c r="E114" s="106" t="s">
        <v>299</v>
      </c>
      <c r="F114" s="106" t="s">
        <v>300</v>
      </c>
      <c r="G114" s="106" t="s">
        <v>301</v>
      </c>
      <c r="H114" s="106">
        <v>7</v>
      </c>
      <c r="I114" s="106" t="s">
        <v>3641</v>
      </c>
      <c r="J114" s="106">
        <v>52042</v>
      </c>
      <c r="K114" s="107">
        <v>25113</v>
      </c>
      <c r="L114" s="107">
        <v>7779</v>
      </c>
      <c r="M114" s="107">
        <v>0.11</v>
      </c>
      <c r="N114" s="107">
        <v>0.22</v>
      </c>
      <c r="O114" s="107">
        <v>0.43</v>
      </c>
      <c r="P114" s="107">
        <v>42572</v>
      </c>
      <c r="Q114" s="106">
        <v>19019.713486289871</v>
      </c>
      <c r="R114" s="106">
        <v>0.28777930208754759</v>
      </c>
      <c r="S114" s="106">
        <v>70799.874650251819</v>
      </c>
      <c r="T114" s="106">
        <v>64551.119194180188</v>
      </c>
      <c r="U114" s="106">
        <v>52019.537215761804</v>
      </c>
      <c r="V114" s="106">
        <v>0.90488319281302265</v>
      </c>
      <c r="W114" s="106">
        <v>84774.534904401968</v>
      </c>
      <c r="X114" s="110">
        <v>0.55094124679190848</v>
      </c>
      <c r="Y114" s="106">
        <v>83.858951175406872</v>
      </c>
      <c r="Z114" s="106">
        <v>9.694394213381555</v>
      </c>
      <c r="AA114" s="106">
        <v>196530.47146842777</v>
      </c>
      <c r="AB114" s="106">
        <v>6013.6442621662791</v>
      </c>
      <c r="AC114" s="106">
        <v>0.508826948069805</v>
      </c>
      <c r="AD114" s="106">
        <v>26.468942361499721</v>
      </c>
      <c r="AE114" s="106">
        <v>32.680761099365753</v>
      </c>
      <c r="AF114" s="106">
        <v>4.118648592503215E-2</v>
      </c>
      <c r="AG114" s="106">
        <v>52042</v>
      </c>
      <c r="AH114" s="106">
        <v>59331.407946278676</v>
      </c>
      <c r="AI114" s="106">
        <v>70956.518186905421</v>
      </c>
      <c r="AJ114" s="106">
        <v>75184.084499160599</v>
      </c>
      <c r="AK114" s="104">
        <v>53428.251818690544</v>
      </c>
      <c r="AL114" s="118"/>
      <c r="AM114" s="118">
        <v>1787</v>
      </c>
      <c r="AN114" s="118">
        <v>15458</v>
      </c>
      <c r="AO114" s="118">
        <v>473</v>
      </c>
      <c r="AP114" s="118">
        <f t="shared" si="1"/>
        <v>0</v>
      </c>
    </row>
    <row r="115" spans="1:42" ht="12.75">
      <c r="A115" s="106">
        <v>2018</v>
      </c>
      <c r="B115" s="106">
        <v>-235671</v>
      </c>
      <c r="C115" s="106">
        <v>0</v>
      </c>
      <c r="D115" s="106">
        <v>235671</v>
      </c>
      <c r="E115" s="106" t="s">
        <v>302</v>
      </c>
      <c r="F115" s="106" t="s">
        <v>303</v>
      </c>
      <c r="G115" s="106" t="s">
        <v>182</v>
      </c>
      <c r="H115" s="106">
        <v>4</v>
      </c>
      <c r="I115" s="106" t="s">
        <v>24</v>
      </c>
      <c r="J115" s="106">
        <v>4677</v>
      </c>
      <c r="K115" s="106">
        <v>4278</v>
      </c>
      <c r="L115" s="106">
        <v>3522</v>
      </c>
      <c r="M115" s="106">
        <v>0.46</v>
      </c>
      <c r="N115" s="106">
        <v>0.19</v>
      </c>
      <c r="O115" s="106">
        <v>0.14000000000000001</v>
      </c>
      <c r="P115" s="106">
        <v>1099</v>
      </c>
      <c r="Q115" s="106">
        <v>98.750754375377184</v>
      </c>
      <c r="R115" s="106">
        <v>2.9948539503089983E-2</v>
      </c>
      <c r="S115" s="106">
        <v>13353.838563669282</v>
      </c>
      <c r="T115" s="106">
        <v>14198.27942063971</v>
      </c>
      <c r="U115" s="106">
        <v>12118.001508750755</v>
      </c>
      <c r="V115" s="106">
        <v>0.26395418099583362</v>
      </c>
      <c r="W115" s="106">
        <v>100688.22246220302</v>
      </c>
      <c r="X115" s="110">
        <v>0.66051119524584756</v>
      </c>
      <c r="Y115" s="106">
        <v>1174.1496062992126</v>
      </c>
      <c r="Z115" s="106">
        <v>26.094488188976378</v>
      </c>
      <c r="AA115" s="106">
        <v>37012.955760368663</v>
      </c>
      <c r="AB115" s="106">
        <v>269.31239898871354</v>
      </c>
      <c r="AC115" s="106">
        <v>2.7017566672444526</v>
      </c>
      <c r="AD115" s="106">
        <v>45.492662473794546</v>
      </c>
      <c r="AE115" s="106">
        <v>137.43502304147466</v>
      </c>
      <c r="AF115" s="106">
        <v>-3.7828688985747462E-2</v>
      </c>
      <c r="AG115" s="106">
        <v>3732</v>
      </c>
      <c r="AH115" s="106">
        <v>13484.552806276402</v>
      </c>
      <c r="AI115" s="106">
        <v>13484.552806276402</v>
      </c>
      <c r="AJ115" s="106">
        <v>13354.120398310199</v>
      </c>
      <c r="AK115" s="104">
        <v>12797.098672299337</v>
      </c>
      <c r="AL115" s="119">
        <v>20124999</v>
      </c>
      <c r="AM115" s="118">
        <v>3448</v>
      </c>
      <c r="AN115" s="118">
        <v>149117</v>
      </c>
      <c r="AO115" s="118">
        <v>350</v>
      </c>
      <c r="AP115" s="118">
        <f t="shared" si="1"/>
        <v>945</v>
      </c>
    </row>
    <row r="116" spans="1:42" ht="12.75">
      <c r="A116" s="106">
        <v>2018</v>
      </c>
      <c r="B116" s="106">
        <v>-437103</v>
      </c>
      <c r="C116" s="106">
        <v>0</v>
      </c>
      <c r="D116" s="106">
        <v>437103</v>
      </c>
      <c r="E116" s="106" t="s">
        <v>304</v>
      </c>
      <c r="F116" s="106" t="s">
        <v>305</v>
      </c>
      <c r="G116" s="106" t="s">
        <v>306</v>
      </c>
      <c r="H116" s="106">
        <v>4</v>
      </c>
      <c r="I116" s="106" t="s">
        <v>24</v>
      </c>
      <c r="J116" s="106">
        <v>4221</v>
      </c>
      <c r="K116" s="106">
        <v>8767</v>
      </c>
      <c r="L116" s="106">
        <v>7845</v>
      </c>
      <c r="M116" s="106">
        <v>0.61</v>
      </c>
      <c r="N116" s="106">
        <v>0.28000000000000003</v>
      </c>
      <c r="O116" s="106">
        <v>0.09</v>
      </c>
      <c r="P116" s="106">
        <v>2566</v>
      </c>
      <c r="Q116" s="106">
        <v>199.49897788515145</v>
      </c>
      <c r="R116" s="106">
        <v>3.934875938240822E-2</v>
      </c>
      <c r="S116" s="106">
        <v>10247.877903735365</v>
      </c>
      <c r="T116" s="106">
        <v>10081.653410146813</v>
      </c>
      <c r="U116" s="106">
        <v>7225.1310165396762</v>
      </c>
      <c r="V116" s="106">
        <v>0.67410826517428812</v>
      </c>
      <c r="W116" s="106">
        <v>73371.217605633807</v>
      </c>
      <c r="X116" s="110">
        <v>0.64017404292034541</v>
      </c>
      <c r="Y116" s="106">
        <v>712.24411764705883</v>
      </c>
      <c r="Z116" s="106">
        <v>23.739705882352943</v>
      </c>
      <c r="AA116" s="106">
        <v>14793.923135464231</v>
      </c>
      <c r="AB116" s="106">
        <v>240.81979906096308</v>
      </c>
      <c r="AC116" s="106">
        <v>6.7595322136207665</v>
      </c>
      <c r="AD116" s="106">
        <v>50.238960045880333</v>
      </c>
      <c r="AE116" s="106">
        <v>61.43150684931507</v>
      </c>
      <c r="AF116" s="106">
        <v>-0.10854463600029593</v>
      </c>
      <c r="AG116" s="106">
        <v>3237</v>
      </c>
      <c r="AH116" s="106">
        <v>9129.4010406987545</v>
      </c>
      <c r="AI116" s="106">
        <v>9129.4010406987545</v>
      </c>
      <c r="AJ116" s="106">
        <v>10252.145883664747</v>
      </c>
      <c r="AK116" s="104">
        <v>8483.9191600074337</v>
      </c>
      <c r="AL116" s="118">
        <v>15179437</v>
      </c>
      <c r="AM116" s="118">
        <v>7908</v>
      </c>
      <c r="AN116" s="118">
        <v>161442</v>
      </c>
      <c r="AO116" s="118">
        <v>526</v>
      </c>
      <c r="AP116" s="118">
        <f t="shared" si="1"/>
        <v>984</v>
      </c>
    </row>
    <row r="117" spans="1:42" ht="12.75">
      <c r="A117" s="106">
        <v>2018</v>
      </c>
      <c r="B117" s="106">
        <v>-168883</v>
      </c>
      <c r="C117" s="106">
        <v>0</v>
      </c>
      <c r="D117" s="106">
        <v>168883</v>
      </c>
      <c r="E117" s="106" t="s">
        <v>309</v>
      </c>
      <c r="F117" s="106" t="s">
        <v>310</v>
      </c>
      <c r="G117" s="106" t="s">
        <v>74</v>
      </c>
      <c r="H117" s="106">
        <v>4</v>
      </c>
      <c r="I117" s="106" t="s">
        <v>24</v>
      </c>
      <c r="J117" s="106">
        <v>4930</v>
      </c>
      <c r="K117" s="106">
        <v>7927</v>
      </c>
      <c r="L117" s="106">
        <v>7639</v>
      </c>
      <c r="M117" s="106">
        <v>0.4</v>
      </c>
      <c r="N117" s="106">
        <v>0.32</v>
      </c>
      <c r="O117" s="106">
        <v>0.28000000000000003</v>
      </c>
      <c r="P117" s="106">
        <v>1689</v>
      </c>
      <c r="Q117" s="106">
        <v>718.00390243902439</v>
      </c>
      <c r="R117" s="106">
        <v>9.2223009174256743E-2</v>
      </c>
      <c r="S117" s="106">
        <v>21239.562926829269</v>
      </c>
      <c r="T117" s="106">
        <v>20985.481951219514</v>
      </c>
      <c r="U117" s="106">
        <v>20239.057429924003</v>
      </c>
      <c r="V117" s="106">
        <v>0.3492017437478066</v>
      </c>
      <c r="W117" s="106">
        <v>87935.551648351655</v>
      </c>
      <c r="X117" s="110">
        <v>0.62002874089167059</v>
      </c>
      <c r="Y117" s="106">
        <v>425.40686274509807</v>
      </c>
      <c r="Z117" s="106">
        <v>15.073529411764707</v>
      </c>
      <c r="AA117" s="106">
        <v>52123.200667517849</v>
      </c>
      <c r="AB117" s="106">
        <v>717.13471068085119</v>
      </c>
      <c r="AC117" s="106">
        <v>1.9185314546947618</v>
      </c>
      <c r="AD117" s="106">
        <v>35.759209344115007</v>
      </c>
      <c r="AE117" s="106">
        <v>72.682579564489117</v>
      </c>
      <c r="AF117" s="106">
        <v>2.4938571086375649E-2</v>
      </c>
      <c r="AG117" s="106">
        <v>3746</v>
      </c>
      <c r="AH117" s="106">
        <v>19502.947317073169</v>
      </c>
      <c r="AI117" s="106">
        <v>20091.691707317073</v>
      </c>
      <c r="AJ117" s="106">
        <v>21247.741463414633</v>
      </c>
      <c r="AK117" s="104">
        <v>21878.719024390244</v>
      </c>
      <c r="AL117" s="119">
        <v>11481579</v>
      </c>
      <c r="AM117" s="118">
        <v>1853</v>
      </c>
      <c r="AN117" s="118">
        <v>28927.666666666668</v>
      </c>
      <c r="AO117" s="118">
        <v>286</v>
      </c>
      <c r="AP117" s="118">
        <f t="shared" si="1"/>
        <v>1184</v>
      </c>
    </row>
    <row r="118" spans="1:42" ht="12.75">
      <c r="A118" s="106">
        <v>2018</v>
      </c>
      <c r="B118" s="106">
        <v>-164632</v>
      </c>
      <c r="C118" s="106">
        <v>0</v>
      </c>
      <c r="D118" s="106">
        <v>164632</v>
      </c>
      <c r="E118" s="106" t="s">
        <v>307</v>
      </c>
      <c r="F118" s="106" t="s">
        <v>308</v>
      </c>
      <c r="G118" s="106" t="s">
        <v>150</v>
      </c>
      <c r="H118" s="106">
        <v>6</v>
      </c>
      <c r="I118" s="106" t="s">
        <v>3640</v>
      </c>
      <c r="J118" s="106">
        <v>33557</v>
      </c>
      <c r="K118" s="106">
        <v>21100</v>
      </c>
      <c r="L118" s="106">
        <v>17002</v>
      </c>
      <c r="M118" s="106">
        <v>0.59</v>
      </c>
      <c r="N118" s="106">
        <v>0.91</v>
      </c>
      <c r="O118" s="106">
        <v>1</v>
      </c>
      <c r="P118" s="106">
        <v>20773</v>
      </c>
      <c r="Q118" s="106">
        <v>3731.6824368114062</v>
      </c>
      <c r="R118" s="106">
        <v>0.19123793986618293</v>
      </c>
      <c r="S118" s="106">
        <v>18697.983149708361</v>
      </c>
      <c r="T118" s="106">
        <v>18738.454633830203</v>
      </c>
      <c r="U118" s="106">
        <v>17806.692482177576</v>
      </c>
      <c r="V118" s="106">
        <v>0.8862742537490319</v>
      </c>
      <c r="W118" s="106">
        <v>80838.779714738514</v>
      </c>
      <c r="X118" s="110">
        <v>0.58806882357511614</v>
      </c>
      <c r="Y118" s="106">
        <v>507.67073170731709</v>
      </c>
      <c r="Z118" s="106">
        <v>18.817073170731707</v>
      </c>
      <c r="AA118" s="106">
        <v>55006.45945945946</v>
      </c>
      <c r="AB118" s="106">
        <v>660.01408873621756</v>
      </c>
      <c r="AC118" s="106">
        <v>1.8179683074076312</v>
      </c>
      <c r="AD118" s="106">
        <v>40.692464358452142</v>
      </c>
      <c r="AE118" s="106">
        <v>83.341341341341348</v>
      </c>
      <c r="AF118" s="106">
        <v>3.8939815878786477E-2</v>
      </c>
      <c r="AG118" s="106">
        <v>33557</v>
      </c>
      <c r="AH118" s="106">
        <v>18088.824044069992</v>
      </c>
      <c r="AI118" s="106">
        <v>18869.696046662346</v>
      </c>
      <c r="AJ118" s="106">
        <v>19767.160077770575</v>
      </c>
      <c r="AK118" s="104">
        <v>17806.692482177576</v>
      </c>
      <c r="AL118" s="118"/>
      <c r="AM118" s="118">
        <v>1947</v>
      </c>
      <c r="AN118" s="118">
        <v>83258</v>
      </c>
      <c r="AO118" s="118">
        <v>450</v>
      </c>
      <c r="AP118" s="118">
        <f t="shared" si="1"/>
        <v>0</v>
      </c>
    </row>
    <row r="119" spans="1:42" ht="12.75">
      <c r="A119" s="106">
        <v>2018</v>
      </c>
      <c r="B119" s="106">
        <v>-223232</v>
      </c>
      <c r="C119" s="106">
        <v>0</v>
      </c>
      <c r="D119" s="106">
        <v>223232</v>
      </c>
      <c r="E119" s="106" t="s">
        <v>311</v>
      </c>
      <c r="F119" s="106" t="s">
        <v>312</v>
      </c>
      <c r="G119" s="106" t="s">
        <v>60</v>
      </c>
      <c r="H119" s="106">
        <v>5</v>
      </c>
      <c r="I119" s="106" t="s">
        <v>3639</v>
      </c>
      <c r="J119" s="106">
        <v>43790</v>
      </c>
      <c r="K119" s="106">
        <v>35158</v>
      </c>
      <c r="L119" s="106">
        <v>24220</v>
      </c>
      <c r="M119" s="106">
        <v>0.22</v>
      </c>
      <c r="N119" s="106">
        <v>0.47</v>
      </c>
      <c r="O119" s="106">
        <v>0.96</v>
      </c>
      <c r="P119" s="106">
        <v>23714</v>
      </c>
      <c r="Q119" s="106">
        <v>17557.744813753583</v>
      </c>
      <c r="R119" s="106">
        <v>0.42540275683430673</v>
      </c>
      <c r="S119" s="106">
        <v>36151.346704871059</v>
      </c>
      <c r="T119" s="106">
        <v>38094.957020057307</v>
      </c>
      <c r="U119" s="106">
        <v>32617.905692992004</v>
      </c>
      <c r="V119" s="106">
        <v>0.72706945170665027</v>
      </c>
      <c r="W119" s="106">
        <v>117908.67169047352</v>
      </c>
      <c r="X119" s="110">
        <v>0.52566877821519742</v>
      </c>
      <c r="Y119" s="106">
        <v>413.07536557930263</v>
      </c>
      <c r="Z119" s="106">
        <v>14.721597300337459</v>
      </c>
      <c r="AA119" s="106">
        <v>126372.65860184513</v>
      </c>
      <c r="AB119" s="106">
        <v>1162.469884204281</v>
      </c>
      <c r="AC119" s="106">
        <v>0.79131040769715932</v>
      </c>
      <c r="AD119" s="106">
        <v>27.13743447611014</v>
      </c>
      <c r="AE119" s="106">
        <v>108.71047957371225</v>
      </c>
      <c r="AF119" s="106">
        <v>5.194293843715872E-2</v>
      </c>
      <c r="AG119" s="106">
        <v>39610</v>
      </c>
      <c r="AH119" s="106">
        <v>33074.102177650428</v>
      </c>
      <c r="AI119" s="106">
        <v>36460.06206303725</v>
      </c>
      <c r="AJ119" s="106">
        <v>43388.137535816619</v>
      </c>
      <c r="AK119" s="104">
        <v>35751.461318051573</v>
      </c>
      <c r="AL119" s="118"/>
      <c r="AM119" s="118">
        <v>14316</v>
      </c>
      <c r="AN119" s="118">
        <v>489632</v>
      </c>
      <c r="AO119" s="118">
        <v>3367</v>
      </c>
      <c r="AP119" s="118">
        <f t="shared" si="1"/>
        <v>4180</v>
      </c>
    </row>
    <row r="120" spans="1:42" ht="12.75">
      <c r="A120" s="106">
        <v>2018</v>
      </c>
      <c r="B120" s="106">
        <v>-384254</v>
      </c>
      <c r="C120" s="106">
        <v>0</v>
      </c>
      <c r="D120" s="106">
        <v>384254</v>
      </c>
      <c r="E120" s="106" t="s">
        <v>313</v>
      </c>
      <c r="F120" s="106" t="s">
        <v>314</v>
      </c>
      <c r="G120" s="106" t="s">
        <v>258</v>
      </c>
      <c r="H120" s="106">
        <v>7</v>
      </c>
      <c r="I120" s="106" t="s">
        <v>3641</v>
      </c>
      <c r="J120" s="106">
        <v>37788</v>
      </c>
      <c r="K120" s="106">
        <v>37337</v>
      </c>
      <c r="L120" s="106">
        <v>21498</v>
      </c>
      <c r="M120" s="106">
        <v>0.32</v>
      </c>
      <c r="N120" s="106">
        <v>0.73</v>
      </c>
      <c r="O120" s="106">
        <v>0.72</v>
      </c>
      <c r="P120" s="106">
        <v>14343</v>
      </c>
      <c r="Q120" s="106">
        <v>8283.4726775956278</v>
      </c>
      <c r="R120" s="106">
        <v>0.23341369778219531</v>
      </c>
      <c r="S120" s="106">
        <v>43570.278688524588</v>
      </c>
      <c r="T120" s="106">
        <v>40101.330601092894</v>
      </c>
      <c r="U120" s="106">
        <v>27887.685792349726</v>
      </c>
      <c r="V120" s="106">
        <v>0.97551664350748069</v>
      </c>
      <c r="W120" s="106">
        <v>67653.682692307688</v>
      </c>
      <c r="X120" s="110">
        <v>0.47938552111873428</v>
      </c>
      <c r="Y120" s="106">
        <v>346.28571428571428</v>
      </c>
      <c r="Z120" s="106">
        <v>13.071428571428571</v>
      </c>
      <c r="AA120" s="106">
        <v>175980.91379310345</v>
      </c>
      <c r="AB120" s="106">
        <v>1052.6911097359737</v>
      </c>
      <c r="AC120" s="106">
        <v>0.56824344097660273</v>
      </c>
      <c r="AD120" s="106">
        <v>16.76300578034682</v>
      </c>
      <c r="AE120" s="106">
        <v>167.17241379310346</v>
      </c>
      <c r="AF120" s="106">
        <v>0.27243834076844597</v>
      </c>
      <c r="AG120" s="106">
        <v>37788</v>
      </c>
      <c r="AH120" s="106">
        <v>39015.6912568306</v>
      </c>
      <c r="AI120" s="106">
        <v>43541.590163934423</v>
      </c>
      <c r="AJ120" s="106">
        <v>43656.584699453553</v>
      </c>
      <c r="AK120" s="104">
        <v>27887.685792349726</v>
      </c>
      <c r="AL120" s="118"/>
      <c r="AM120" s="118">
        <v>348</v>
      </c>
      <c r="AN120" s="118">
        <v>9696</v>
      </c>
      <c r="AO120" s="118">
        <v>58</v>
      </c>
      <c r="AP120" s="118">
        <f t="shared" si="1"/>
        <v>0</v>
      </c>
    </row>
    <row r="121" spans="1:42" ht="12.75">
      <c r="A121" s="106">
        <v>2018</v>
      </c>
      <c r="B121" s="106">
        <v>-197966</v>
      </c>
      <c r="C121" s="106">
        <v>0</v>
      </c>
      <c r="D121" s="106">
        <v>197966</v>
      </c>
      <c r="E121" s="106" t="s">
        <v>315</v>
      </c>
      <c r="F121" s="106" t="s">
        <v>155</v>
      </c>
      <c r="G121" s="106" t="s">
        <v>90</v>
      </c>
      <c r="H121" s="106">
        <v>4</v>
      </c>
      <c r="I121" s="106" t="s">
        <v>24</v>
      </c>
      <c r="J121" s="106">
        <v>2518</v>
      </c>
      <c r="K121" s="106">
        <v>8933</v>
      </c>
      <c r="L121" s="106">
        <v>7452</v>
      </c>
      <c r="M121" s="106">
        <v>0.59</v>
      </c>
      <c r="N121" s="106">
        <v>0</v>
      </c>
      <c r="O121" s="106">
        <v>0.26</v>
      </c>
      <c r="P121" s="106">
        <v>1377</v>
      </c>
      <c r="Q121" s="106"/>
      <c r="R121" s="106"/>
      <c r="S121" s="106">
        <v>16129.156448202959</v>
      </c>
      <c r="T121" s="106">
        <v>18858.40380549683</v>
      </c>
      <c r="U121" s="106">
        <v>15282.565763955172</v>
      </c>
      <c r="V121" s="106">
        <v>0.10980205211419586</v>
      </c>
      <c r="W121" s="106">
        <v>41102.6102841678</v>
      </c>
      <c r="X121" s="110">
        <v>0.56754005734288859</v>
      </c>
      <c r="Y121" s="106">
        <v>213.8969849246231</v>
      </c>
      <c r="Z121" s="106">
        <v>7.1306532663316569</v>
      </c>
      <c r="AA121" s="106">
        <v>24503.9105300027</v>
      </c>
      <c r="AB121" s="106">
        <v>509.47271426512992</v>
      </c>
      <c r="AC121" s="106">
        <v>4.0809812734812079</v>
      </c>
      <c r="AD121" s="106">
        <v>76.723016905071518</v>
      </c>
      <c r="AE121" s="106">
        <v>48.096610169491527</v>
      </c>
      <c r="AF121" s="106">
        <v>-4.4138935552488483E-2</v>
      </c>
      <c r="AG121" s="106">
        <v>2432</v>
      </c>
      <c r="AH121" s="106">
        <v>14765.031712473572</v>
      </c>
      <c r="AI121" s="106">
        <v>15065.718816067652</v>
      </c>
      <c r="AJ121" s="106">
        <v>16364.783298097251</v>
      </c>
      <c r="AK121" s="104">
        <v>16866.763213530656</v>
      </c>
      <c r="AL121" s="119">
        <v>11380082</v>
      </c>
      <c r="AM121" s="118">
        <v>1500</v>
      </c>
      <c r="AN121" s="118">
        <v>28377</v>
      </c>
      <c r="AO121" s="118">
        <v>285</v>
      </c>
      <c r="AP121" s="118">
        <f t="shared" si="1"/>
        <v>86</v>
      </c>
    </row>
    <row r="122" spans="1:42" ht="12.75">
      <c r="A122" s="106">
        <v>2018</v>
      </c>
      <c r="B122" s="106">
        <v>-164720</v>
      </c>
      <c r="C122" s="106">
        <v>0</v>
      </c>
      <c r="D122" s="106">
        <v>164720</v>
      </c>
      <c r="E122" s="106" t="s">
        <v>316</v>
      </c>
      <c r="F122" s="106" t="s">
        <v>225</v>
      </c>
      <c r="G122" s="106" t="s">
        <v>150</v>
      </c>
      <c r="H122" s="106">
        <v>7</v>
      </c>
      <c r="I122" s="106" t="s">
        <v>3641</v>
      </c>
      <c r="J122" s="106">
        <v>38250</v>
      </c>
      <c r="K122" s="106">
        <v>33266</v>
      </c>
      <c r="L122" s="106">
        <v>30434</v>
      </c>
      <c r="M122" s="106">
        <v>0.39</v>
      </c>
      <c r="N122" s="106">
        <v>0.8</v>
      </c>
      <c r="O122" s="106">
        <v>0.99</v>
      </c>
      <c r="P122" s="106">
        <v>17947</v>
      </c>
      <c r="Q122" s="106">
        <v>14573.022284122562</v>
      </c>
      <c r="R122" s="106">
        <v>0.46288135202126313</v>
      </c>
      <c r="S122" s="106">
        <v>25656.241782729805</v>
      </c>
      <c r="T122" s="106">
        <v>26210.140389972144</v>
      </c>
      <c r="U122" s="106">
        <v>20860.234540389971</v>
      </c>
      <c r="V122" s="106">
        <v>0.81064552162941683</v>
      </c>
      <c r="W122" s="106">
        <v>76010.964592274671</v>
      </c>
      <c r="X122" s="110">
        <v>0.50192300490048269</v>
      </c>
      <c r="Y122" s="106">
        <v>474.71470588235297</v>
      </c>
      <c r="Z122" s="106">
        <v>15.838235294117649</v>
      </c>
      <c r="AA122" s="106">
        <v>79499.195329087044</v>
      </c>
      <c r="AB122" s="106">
        <v>695.97444285422205</v>
      </c>
      <c r="AC122" s="106">
        <v>1.257874366980066</v>
      </c>
      <c r="AD122" s="106">
        <v>28.153018529587566</v>
      </c>
      <c r="AE122" s="106">
        <v>114.2271762208068</v>
      </c>
      <c r="AF122" s="106">
        <v>3.2570119055011899E-2</v>
      </c>
      <c r="AG122" s="106">
        <v>34650</v>
      </c>
      <c r="AH122" s="106">
        <v>23561.406685236769</v>
      </c>
      <c r="AI122" s="106">
        <v>24021.553203342617</v>
      </c>
      <c r="AJ122" s="106">
        <v>25816.09582172702</v>
      </c>
      <c r="AK122" s="104">
        <v>20860.234540389971</v>
      </c>
      <c r="AM122" s="118">
        <v>1882</v>
      </c>
      <c r="AN122" s="118">
        <v>53801</v>
      </c>
      <c r="AO122" s="118">
        <v>445</v>
      </c>
      <c r="AP122" s="118">
        <f t="shared" si="1"/>
        <v>3600</v>
      </c>
    </row>
    <row r="123" spans="1:42" ht="12.75">
      <c r="A123" s="106">
        <v>2018</v>
      </c>
      <c r="B123" s="106">
        <v>-175421</v>
      </c>
      <c r="C123" s="106">
        <v>0</v>
      </c>
      <c r="D123" s="106">
        <v>175421</v>
      </c>
      <c r="E123" s="106" t="s">
        <v>317</v>
      </c>
      <c r="F123" s="106" t="s">
        <v>273</v>
      </c>
      <c r="G123" s="106" t="s">
        <v>107</v>
      </c>
      <c r="H123" s="106">
        <v>6</v>
      </c>
      <c r="I123" s="106" t="s">
        <v>3640</v>
      </c>
      <c r="J123" s="106">
        <v>24250</v>
      </c>
      <c r="K123" s="106">
        <v>18734</v>
      </c>
      <c r="L123" s="106">
        <v>16737</v>
      </c>
      <c r="M123" s="106">
        <v>0.52</v>
      </c>
      <c r="N123" s="106">
        <v>0.75</v>
      </c>
      <c r="O123" s="106">
        <v>1</v>
      </c>
      <c r="P123" s="106">
        <v>12934</v>
      </c>
      <c r="Q123" s="106">
        <v>4092.8519553072624</v>
      </c>
      <c r="R123" s="106">
        <v>0.24346005568068921</v>
      </c>
      <c r="S123" s="106">
        <v>15095.443513345748</v>
      </c>
      <c r="T123" s="106">
        <v>15807.02576039727</v>
      </c>
      <c r="U123" s="106">
        <v>12522.465238981998</v>
      </c>
      <c r="V123" s="106">
        <v>1.0156412870693496</v>
      </c>
      <c r="W123" s="106">
        <v>43762.586763070074</v>
      </c>
      <c r="X123" s="110">
        <v>0.51498635280256011</v>
      </c>
      <c r="Y123" s="106">
        <v>302.94582392776522</v>
      </c>
      <c r="Z123" s="106">
        <v>10.909706546275393</v>
      </c>
      <c r="AA123" s="106">
        <v>32072.641494435611</v>
      </c>
      <c r="AB123" s="106">
        <v>450.95990834916734</v>
      </c>
      <c r="AC123" s="106">
        <v>3.1179221710612559</v>
      </c>
      <c r="AD123" s="106">
        <v>50.239616613418526</v>
      </c>
      <c r="AE123" s="106">
        <v>71.120826709062001</v>
      </c>
      <c r="AF123" s="106">
        <v>-5.4546575154680497E-2</v>
      </c>
      <c r="AG123" s="106">
        <v>23900</v>
      </c>
      <c r="AH123" s="106">
        <v>14515.373060211048</v>
      </c>
      <c r="AI123" s="106">
        <v>15178.501551831161</v>
      </c>
      <c r="AJ123" s="106">
        <v>15163.728119180632</v>
      </c>
      <c r="AK123" s="104">
        <v>12522.465238981998</v>
      </c>
      <c r="AM123" s="118">
        <v>2482</v>
      </c>
      <c r="AN123" s="118">
        <v>89470</v>
      </c>
      <c r="AO123" s="118">
        <v>608</v>
      </c>
      <c r="AP123" s="118">
        <f t="shared" si="1"/>
        <v>350</v>
      </c>
    </row>
    <row r="124" spans="1:42" ht="12.75">
      <c r="A124" s="106">
        <v>2018</v>
      </c>
      <c r="B124" s="106">
        <v>-156286</v>
      </c>
      <c r="C124" s="106">
        <v>0</v>
      </c>
      <c r="D124" s="106">
        <v>156286</v>
      </c>
      <c r="E124" s="106" t="s">
        <v>318</v>
      </c>
      <c r="F124" s="106" t="s">
        <v>319</v>
      </c>
      <c r="G124" s="106" t="s">
        <v>118</v>
      </c>
      <c r="H124" s="106">
        <v>6</v>
      </c>
      <c r="I124" s="106" t="s">
        <v>3640</v>
      </c>
      <c r="J124" s="106">
        <v>40350</v>
      </c>
      <c r="K124" s="106">
        <v>23607</v>
      </c>
      <c r="L124" s="106">
        <v>19622</v>
      </c>
      <c r="M124" s="106">
        <v>0.31</v>
      </c>
      <c r="N124" s="106">
        <v>0.67</v>
      </c>
      <c r="O124" s="106">
        <v>1</v>
      </c>
      <c r="P124" s="106">
        <v>26966</v>
      </c>
      <c r="Q124" s="106">
        <v>16259.762399077277</v>
      </c>
      <c r="R124" s="106">
        <v>0.48635491486274623</v>
      </c>
      <c r="S124" s="106">
        <v>23129.52652825836</v>
      </c>
      <c r="T124" s="106">
        <v>24094.869953863898</v>
      </c>
      <c r="U124" s="106">
        <v>21230.619993909084</v>
      </c>
      <c r="V124" s="106">
        <v>0.80883762622334987</v>
      </c>
      <c r="W124" s="106">
        <v>80836.538294405225</v>
      </c>
      <c r="X124" s="110">
        <v>0.59365832932917317</v>
      </c>
      <c r="Y124" s="106">
        <v>326.97520661157029</v>
      </c>
      <c r="Z124" s="106">
        <v>12.283353010625738</v>
      </c>
      <c r="AA124" s="106">
        <v>83667.94333963262</v>
      </c>
      <c r="AB124" s="106">
        <v>797.56261253603611</v>
      </c>
      <c r="AC124" s="106">
        <v>1.195200885888527</v>
      </c>
      <c r="AD124" s="106">
        <v>28.178033941722703</v>
      </c>
      <c r="AE124" s="106">
        <v>104.90454545454546</v>
      </c>
      <c r="AF124" s="106">
        <v>1.8683623280843838E-2</v>
      </c>
      <c r="AG124" s="106">
        <v>38800</v>
      </c>
      <c r="AH124" s="106">
        <v>20281.642156862745</v>
      </c>
      <c r="AI124" s="106">
        <v>23129.52652825836</v>
      </c>
      <c r="AJ124" s="106">
        <v>24795.431372549021</v>
      </c>
      <c r="AK124" s="104">
        <v>21271.331314878891</v>
      </c>
      <c r="AL124" s="118"/>
      <c r="AM124" s="118">
        <v>2544</v>
      </c>
      <c r="AN124" s="118">
        <v>92316</v>
      </c>
      <c r="AO124" s="118">
        <v>571</v>
      </c>
      <c r="AP124" s="118">
        <f t="shared" si="1"/>
        <v>1550</v>
      </c>
    </row>
    <row r="125" spans="1:42" ht="12.75">
      <c r="A125" s="106">
        <v>2018</v>
      </c>
      <c r="B125" s="106">
        <v>-234669</v>
      </c>
      <c r="C125" s="106">
        <v>0</v>
      </c>
      <c r="D125" s="106">
        <v>234669</v>
      </c>
      <c r="E125" s="106" t="s">
        <v>320</v>
      </c>
      <c r="F125" s="106" t="s">
        <v>321</v>
      </c>
      <c r="G125" s="106" t="s">
        <v>182</v>
      </c>
      <c r="H125" s="106">
        <v>4</v>
      </c>
      <c r="I125" s="106" t="s">
        <v>24</v>
      </c>
      <c r="J125" s="106">
        <v>3699</v>
      </c>
      <c r="K125" s="106">
        <v>7477</v>
      </c>
      <c r="L125" s="106">
        <v>6255</v>
      </c>
      <c r="M125" s="106">
        <v>0.24</v>
      </c>
      <c r="N125" s="106">
        <v>0.06</v>
      </c>
      <c r="O125" s="106">
        <v>0.15</v>
      </c>
      <c r="P125" s="106">
        <v>1800</v>
      </c>
      <c r="Q125" s="106">
        <v>135.4974995369513</v>
      </c>
      <c r="R125" s="106">
        <v>2.4853483808676441E-2</v>
      </c>
      <c r="S125" s="106">
        <v>11793.427764400814</v>
      </c>
      <c r="T125" s="106">
        <v>11923.296814224856</v>
      </c>
      <c r="U125" s="106">
        <v>9596.1534543433972</v>
      </c>
      <c r="V125" s="106">
        <v>0.55400884188861987</v>
      </c>
      <c r="W125" s="106">
        <v>104678.46038034865</v>
      </c>
      <c r="X125" s="110">
        <v>0.68404668697961568</v>
      </c>
      <c r="Y125" s="106">
        <v>1336.1356553620533</v>
      </c>
      <c r="Z125" s="106">
        <v>29.692025664527961</v>
      </c>
      <c r="AA125" s="106">
        <v>38779.66504491018</v>
      </c>
      <c r="AB125" s="106">
        <v>213.24873227030631</v>
      </c>
      <c r="AC125" s="106">
        <v>2.5786710608302421</v>
      </c>
      <c r="AD125" s="106">
        <v>28.224358297243057</v>
      </c>
      <c r="AE125" s="106">
        <v>181.85179640718562</v>
      </c>
      <c r="AF125" s="106">
        <v>1.1911441007857982E-3</v>
      </c>
      <c r="AG125" s="106">
        <v>3468</v>
      </c>
      <c r="AH125" s="106">
        <v>11731.17503241341</v>
      </c>
      <c r="AI125" s="106">
        <v>11731.17503241341</v>
      </c>
      <c r="AJ125" s="106">
        <v>11870.922670864975</v>
      </c>
      <c r="AK125" s="104">
        <v>10157.75689942582</v>
      </c>
      <c r="AL125" s="119">
        <v>36120534</v>
      </c>
      <c r="AM125" s="118">
        <v>13322</v>
      </c>
      <c r="AN125" s="118">
        <v>485908</v>
      </c>
      <c r="AO125" s="118">
        <v>2296</v>
      </c>
      <c r="AP125" s="118">
        <f t="shared" si="1"/>
        <v>231</v>
      </c>
    </row>
    <row r="126" spans="1:42" ht="12.75">
      <c r="A126" s="106">
        <v>2018</v>
      </c>
      <c r="B126" s="106">
        <v>-180814</v>
      </c>
      <c r="C126" s="106">
        <v>0</v>
      </c>
      <c r="D126" s="106">
        <v>180814</v>
      </c>
      <c r="E126" s="106" t="s">
        <v>322</v>
      </c>
      <c r="F126" s="106" t="s">
        <v>321</v>
      </c>
      <c r="G126" s="106" t="s">
        <v>323</v>
      </c>
      <c r="H126" s="106">
        <v>6</v>
      </c>
      <c r="I126" s="106" t="s">
        <v>3640</v>
      </c>
      <c r="J126" s="106">
        <v>7752</v>
      </c>
      <c r="K126" s="106">
        <v>9635</v>
      </c>
      <c r="L126" s="106">
        <v>12411</v>
      </c>
      <c r="M126" s="106">
        <v>0.23</v>
      </c>
      <c r="N126" s="106">
        <v>0.34</v>
      </c>
      <c r="O126" s="106">
        <v>0.71</v>
      </c>
      <c r="P126" s="106">
        <v>8458</v>
      </c>
      <c r="Q126" s="106">
        <v>755.44547038327528</v>
      </c>
      <c r="R126" s="106">
        <v>5.9489980751000857E-2</v>
      </c>
      <c r="S126" s="106">
        <v>12955.166376306621</v>
      </c>
      <c r="T126" s="106">
        <v>13667.828397212543</v>
      </c>
      <c r="U126" s="106">
        <v>13573.75418118467</v>
      </c>
      <c r="V126" s="106">
        <v>0.87987856869045633</v>
      </c>
      <c r="W126" s="106">
        <v>74467.291479820633</v>
      </c>
      <c r="X126" s="110">
        <v>0.63500956332831482</v>
      </c>
      <c r="Y126" s="106">
        <v>863.20212765957444</v>
      </c>
      <c r="Z126" s="106">
        <v>30.531914893617021</v>
      </c>
      <c r="AA126" s="106">
        <v>28036.469593378912</v>
      </c>
      <c r="AB126" s="106">
        <v>480.11085024833312</v>
      </c>
      <c r="AC126" s="106">
        <v>3.5667828885137509</v>
      </c>
      <c r="AD126" s="106">
        <v>36.402934241550952</v>
      </c>
      <c r="AE126" s="106">
        <v>58.395825836631879</v>
      </c>
      <c r="AF126" s="106">
        <v>8.0198465321148233E-3</v>
      </c>
      <c r="AG126" s="106">
        <v>7152</v>
      </c>
      <c r="AH126" s="106">
        <v>12652.495296167248</v>
      </c>
      <c r="AI126" s="106">
        <v>13101.687108013937</v>
      </c>
      <c r="AJ126" s="106">
        <v>13905.987630662021</v>
      </c>
      <c r="AK126" s="104">
        <v>13573.75418118467</v>
      </c>
      <c r="AM126" s="118">
        <v>5744</v>
      </c>
      <c r="AN126" s="118">
        <v>162282</v>
      </c>
      <c r="AO126" s="118">
        <v>1816</v>
      </c>
      <c r="AP126" s="118">
        <f t="shared" si="1"/>
        <v>600</v>
      </c>
    </row>
    <row r="127" spans="1:42" ht="12.75">
      <c r="A127" s="106">
        <v>2018</v>
      </c>
      <c r="B127" s="106">
        <v>-234696</v>
      </c>
      <c r="C127" s="106">
        <v>0</v>
      </c>
      <c r="D127" s="106">
        <v>234696</v>
      </c>
      <c r="E127" s="106" t="s">
        <v>324</v>
      </c>
      <c r="F127" s="106" t="s">
        <v>325</v>
      </c>
      <c r="G127" s="106" t="s">
        <v>182</v>
      </c>
      <c r="H127" s="106">
        <v>4</v>
      </c>
      <c r="I127" s="106" t="s">
        <v>24</v>
      </c>
      <c r="J127" s="106">
        <v>3461</v>
      </c>
      <c r="K127" s="106">
        <v>5194</v>
      </c>
      <c r="L127" s="106">
        <v>2964</v>
      </c>
      <c r="M127" s="106">
        <v>0.42</v>
      </c>
      <c r="N127" s="106">
        <v>0.18</v>
      </c>
      <c r="O127" s="106">
        <v>0.36</v>
      </c>
      <c r="P127" s="106">
        <v>735</v>
      </c>
      <c r="Q127" s="106">
        <v>228.15971515768058</v>
      </c>
      <c r="R127" s="106">
        <v>4.751063333777128E-2</v>
      </c>
      <c r="S127" s="106">
        <v>17084.257375381487</v>
      </c>
      <c r="T127" s="106">
        <v>18727.190742624618</v>
      </c>
      <c r="U127" s="106">
        <v>13993.1505595117</v>
      </c>
      <c r="V127" s="106">
        <v>0.32688333130865432</v>
      </c>
      <c r="W127" s="106">
        <v>82804.386554621844</v>
      </c>
      <c r="X127" s="110">
        <v>0.53527154104347274</v>
      </c>
      <c r="Y127" s="106">
        <v>990.26865671641792</v>
      </c>
      <c r="Z127" s="106">
        <v>22.007462686567166</v>
      </c>
      <c r="AA127" s="106">
        <v>24026.667248908296</v>
      </c>
      <c r="AB127" s="106">
        <v>310.97999186109604</v>
      </c>
      <c r="AC127" s="106">
        <v>4.1620420745013531</v>
      </c>
      <c r="AD127" s="106">
        <v>61.526061257388498</v>
      </c>
      <c r="AE127" s="106">
        <v>77.261135371179037</v>
      </c>
      <c r="AF127" s="106">
        <v>-2.5907664483979478E-2</v>
      </c>
      <c r="AG127" s="106">
        <v>2568</v>
      </c>
      <c r="AH127" s="106">
        <v>16001.01983723296</v>
      </c>
      <c r="AI127" s="106">
        <v>16001.01983723296</v>
      </c>
      <c r="AJ127" s="106">
        <v>17111.884028484234</v>
      </c>
      <c r="AK127" s="104">
        <v>16535.183621566634</v>
      </c>
      <c r="AL127" s="119">
        <v>12774115</v>
      </c>
      <c r="AM127" s="118">
        <v>2392</v>
      </c>
      <c r="AN127" s="118">
        <v>88464</v>
      </c>
      <c r="AO127" s="118">
        <v>459</v>
      </c>
      <c r="AP127" s="118">
        <f t="shared" si="1"/>
        <v>893</v>
      </c>
    </row>
    <row r="128" spans="1:42">
      <c r="A128" s="106">
        <v>2018</v>
      </c>
      <c r="B128" s="106">
        <v>-197984</v>
      </c>
      <c r="C128" s="106">
        <v>0</v>
      </c>
      <c r="D128" s="106">
        <v>197984</v>
      </c>
      <c r="E128" s="106" t="s">
        <v>326</v>
      </c>
      <c r="F128" s="106" t="s">
        <v>327</v>
      </c>
      <c r="G128" s="106" t="s">
        <v>90</v>
      </c>
      <c r="H128" s="106">
        <v>7</v>
      </c>
      <c r="I128" s="106" t="s">
        <v>3641</v>
      </c>
      <c r="J128" s="107">
        <v>18500</v>
      </c>
      <c r="K128" s="107">
        <v>22731</v>
      </c>
      <c r="L128" s="107">
        <v>18935</v>
      </c>
      <c r="M128" s="107">
        <v>0.31</v>
      </c>
      <c r="N128" s="107">
        <v>0.66</v>
      </c>
      <c r="O128" s="107">
        <v>0.99</v>
      </c>
      <c r="P128" s="107">
        <v>6916</v>
      </c>
      <c r="Q128" s="107">
        <v>5524.0910973084883</v>
      </c>
      <c r="R128" s="107">
        <v>0.34271505804386898</v>
      </c>
      <c r="S128" s="107">
        <v>22151.541752933059</v>
      </c>
      <c r="T128" s="107">
        <v>21086.125603864733</v>
      </c>
      <c r="U128" s="107">
        <v>17355.093857832988</v>
      </c>
      <c r="V128" s="107">
        <v>0.61045599267777029</v>
      </c>
      <c r="W128" s="107">
        <v>61268.485465116275</v>
      </c>
      <c r="X128" s="111">
        <v>0.4598743147987242</v>
      </c>
      <c r="Y128" s="107">
        <v>456.05244755244757</v>
      </c>
      <c r="Z128" s="107">
        <v>15.1993006993007</v>
      </c>
      <c r="AA128" s="107">
        <v>81647.827922077922</v>
      </c>
      <c r="AB128" s="107">
        <v>578.40998688961974</v>
      </c>
      <c r="AC128" s="106">
        <v>1.2247723245673701</v>
      </c>
      <c r="AD128" s="106">
        <v>21.256038647342994</v>
      </c>
      <c r="AE128" s="107">
        <v>141.15909090909091</v>
      </c>
      <c r="AF128" s="107">
        <v>0.14237470556335488</v>
      </c>
      <c r="AG128" s="107">
        <v>18500</v>
      </c>
      <c r="AH128" s="107">
        <v>16683.438923395446</v>
      </c>
      <c r="AI128" s="107">
        <v>22151.541752933059</v>
      </c>
      <c r="AJ128" s="107">
        <v>22646.690821256037</v>
      </c>
      <c r="AK128" s="104">
        <v>17355.093857832988</v>
      </c>
      <c r="AL128" s="118"/>
      <c r="AM128" s="118">
        <v>1555</v>
      </c>
      <c r="AN128" s="118">
        <v>43477</v>
      </c>
      <c r="AO128" s="118">
        <v>308</v>
      </c>
      <c r="AP128" s="118">
        <f t="shared" si="1"/>
        <v>0</v>
      </c>
    </row>
    <row r="129" spans="1:42" ht="12.75">
      <c r="A129" s="106">
        <v>2018</v>
      </c>
      <c r="B129" s="106">
        <v>-201283</v>
      </c>
      <c r="C129" s="106">
        <v>0</v>
      </c>
      <c r="D129" s="106">
        <v>201283</v>
      </c>
      <c r="E129" s="106" t="s">
        <v>328</v>
      </c>
      <c r="F129" s="106" t="s">
        <v>329</v>
      </c>
      <c r="G129" s="106" t="s">
        <v>82</v>
      </c>
      <c r="H129" s="106">
        <v>4</v>
      </c>
      <c r="I129" s="106" t="s">
        <v>24</v>
      </c>
      <c r="J129" s="106">
        <v>3541</v>
      </c>
      <c r="K129" s="106">
        <v>5166</v>
      </c>
      <c r="L129" s="106">
        <v>3931</v>
      </c>
      <c r="M129" s="106">
        <v>0.48</v>
      </c>
      <c r="N129" s="106">
        <v>0.26</v>
      </c>
      <c r="O129" s="106">
        <v>0.63</v>
      </c>
      <c r="P129" s="106">
        <v>1891</v>
      </c>
      <c r="Q129" s="106">
        <v>564.44993968636913</v>
      </c>
      <c r="R129" s="106">
        <v>0.10811670705099516</v>
      </c>
      <c r="S129" s="106">
        <v>11865.078407720144</v>
      </c>
      <c r="T129" s="106">
        <v>7272.3848009650183</v>
      </c>
      <c r="U129" s="106">
        <v>9612.6776870417962</v>
      </c>
      <c r="V129" s="106">
        <v>0.48439122736225437</v>
      </c>
      <c r="W129" s="106">
        <v>11393.56119402985</v>
      </c>
      <c r="X129" s="110">
        <v>0.21103362572396164</v>
      </c>
      <c r="Y129" s="106">
        <v>394.82539682539681</v>
      </c>
      <c r="Z129" s="106">
        <v>13.158730158730158</v>
      </c>
      <c r="AA129" s="106">
        <v>28768.627446056496</v>
      </c>
      <c r="AB129" s="106">
        <v>320.37106225607658</v>
      </c>
      <c r="AC129" s="106">
        <v>3.4760087246952636</v>
      </c>
      <c r="AD129" s="106">
        <v>37.73841961852861</v>
      </c>
      <c r="AE129" s="106">
        <v>89.797833935018048</v>
      </c>
      <c r="AF129" s="106">
        <v>0.54236962928798194</v>
      </c>
      <c r="AG129" s="106">
        <v>2527</v>
      </c>
      <c r="AH129" s="106">
        <v>11126.38841978287</v>
      </c>
      <c r="AI129" s="106">
        <v>11147.749095295538</v>
      </c>
      <c r="AJ129" s="106">
        <v>11950.600723763571</v>
      </c>
      <c r="AK129" s="104">
        <v>10458.135102533173</v>
      </c>
      <c r="AL129" s="119">
        <v>4547009</v>
      </c>
      <c r="AM129" s="118">
        <v>1150</v>
      </c>
      <c r="AN129" s="118">
        <v>24874</v>
      </c>
      <c r="AO129" s="118">
        <v>193</v>
      </c>
      <c r="AP129" s="118">
        <f t="shared" si="1"/>
        <v>1014</v>
      </c>
    </row>
    <row r="130" spans="1:42" ht="12.75">
      <c r="A130" s="106">
        <v>2018</v>
      </c>
      <c r="B130" s="106">
        <v>-219709</v>
      </c>
      <c r="C130" s="106">
        <v>0</v>
      </c>
      <c r="D130" s="106">
        <v>219709</v>
      </c>
      <c r="E130" s="106" t="s">
        <v>330</v>
      </c>
      <c r="F130" s="106" t="s">
        <v>331</v>
      </c>
      <c r="G130" s="106" t="s">
        <v>255</v>
      </c>
      <c r="H130" s="106">
        <v>6</v>
      </c>
      <c r="I130" s="106" t="s">
        <v>3640</v>
      </c>
      <c r="J130" s="106">
        <v>32820</v>
      </c>
      <c r="K130" s="106">
        <v>36694</v>
      </c>
      <c r="L130" s="106">
        <v>25875</v>
      </c>
      <c r="M130" s="106">
        <v>0.16</v>
      </c>
      <c r="N130" s="106">
        <v>0.37</v>
      </c>
      <c r="O130" s="106">
        <v>0.84</v>
      </c>
      <c r="P130" s="106">
        <v>12079</v>
      </c>
      <c r="Q130" s="106">
        <v>7450.9058396898836</v>
      </c>
      <c r="R130" s="106">
        <v>0.22701006050868014</v>
      </c>
      <c r="S130" s="106">
        <v>33001.181192947355</v>
      </c>
      <c r="T130" s="106">
        <v>22373.50994122796</v>
      </c>
      <c r="U130" s="106">
        <v>19650.837439039638</v>
      </c>
      <c r="V130" s="106">
        <v>1.2910906893243592</v>
      </c>
      <c r="W130" s="106">
        <v>97772.254088431248</v>
      </c>
      <c r="X130" s="110">
        <v>0.60146481217999737</v>
      </c>
      <c r="Y130" s="106">
        <v>408.86964980544747</v>
      </c>
      <c r="Z130" s="106">
        <v>15.558365758754864</v>
      </c>
      <c r="AA130" s="106">
        <v>78849.847967887603</v>
      </c>
      <c r="AB130" s="106">
        <v>747.75644630969884</v>
      </c>
      <c r="AC130" s="106">
        <v>1.2682332633123909</v>
      </c>
      <c r="AD130" s="106">
        <v>26.372899298663487</v>
      </c>
      <c r="AE130" s="106">
        <v>105.44856999498244</v>
      </c>
      <c r="AF130" s="106">
        <v>0.13640003823467145</v>
      </c>
      <c r="AG130" s="106">
        <v>31300</v>
      </c>
      <c r="AH130" s="106">
        <v>31642.774290358884</v>
      </c>
      <c r="AI130" s="106">
        <v>33158.577216456171</v>
      </c>
      <c r="AJ130" s="106">
        <v>35031.493560085029</v>
      </c>
      <c r="AK130" s="104">
        <v>19650.837439039638</v>
      </c>
      <c r="AL130" s="118"/>
      <c r="AM130" s="118">
        <v>6497</v>
      </c>
      <c r="AN130" s="118">
        <v>210159</v>
      </c>
      <c r="AO130" s="118">
        <v>1482</v>
      </c>
      <c r="AP130" s="118">
        <f t="shared" si="1"/>
        <v>1520</v>
      </c>
    </row>
    <row r="131" spans="1:42" ht="12.75">
      <c r="A131" s="106">
        <v>2018</v>
      </c>
      <c r="B131" s="106">
        <v>-238333</v>
      </c>
      <c r="C131" s="106">
        <v>0</v>
      </c>
      <c r="D131" s="106">
        <v>238333</v>
      </c>
      <c r="E131" s="106" t="s">
        <v>332</v>
      </c>
      <c r="F131" s="106" t="s">
        <v>333</v>
      </c>
      <c r="G131" s="106" t="s">
        <v>139</v>
      </c>
      <c r="H131" s="106">
        <v>7</v>
      </c>
      <c r="I131" s="106" t="s">
        <v>3641</v>
      </c>
      <c r="J131" s="106">
        <v>48706</v>
      </c>
      <c r="K131" s="106">
        <v>25980</v>
      </c>
      <c r="L131" s="106">
        <v>7864</v>
      </c>
      <c r="M131" s="106">
        <v>0.31</v>
      </c>
      <c r="N131" s="106">
        <v>0.65</v>
      </c>
      <c r="O131" s="106">
        <v>0.98</v>
      </c>
      <c r="P131" s="106">
        <v>32066</v>
      </c>
      <c r="Q131" s="106">
        <v>26401.983429394812</v>
      </c>
      <c r="R131" s="106">
        <v>0.59991763277168619</v>
      </c>
      <c r="S131" s="106">
        <v>38627.131123919309</v>
      </c>
      <c r="T131" s="106">
        <v>37950.040345821326</v>
      </c>
      <c r="U131" s="106">
        <v>31151.550541166915</v>
      </c>
      <c r="V131" s="106">
        <v>0.56521629026410147</v>
      </c>
      <c r="W131" s="106">
        <v>78854.030973451328</v>
      </c>
      <c r="X131" s="110">
        <v>0.56387050728912214</v>
      </c>
      <c r="Y131" s="106">
        <v>317.10913705583755</v>
      </c>
      <c r="Z131" s="106">
        <v>10.568527918781726</v>
      </c>
      <c r="AA131" s="106">
        <v>165031.8784394644</v>
      </c>
      <c r="AB131" s="106">
        <v>1038.2104869772054</v>
      </c>
      <c r="AC131" s="106">
        <v>0.6059435361555382</v>
      </c>
      <c r="AD131" s="106">
        <v>19.152046783625732</v>
      </c>
      <c r="AE131" s="106">
        <v>158.95801526717557</v>
      </c>
      <c r="AF131" s="106">
        <v>6.2306715647233266E-2</v>
      </c>
      <c r="AG131" s="106">
        <v>48236</v>
      </c>
      <c r="AH131" s="106">
        <v>27621.406340057638</v>
      </c>
      <c r="AI131" s="106">
        <v>38627.131123919309</v>
      </c>
      <c r="AJ131" s="106">
        <v>45812.069164265129</v>
      </c>
      <c r="AK131" s="104">
        <v>32015.195244956773</v>
      </c>
      <c r="AM131" s="118">
        <v>1402</v>
      </c>
      <c r="AN131" s="118">
        <v>41647</v>
      </c>
      <c r="AO131" s="118">
        <v>262</v>
      </c>
      <c r="AP131" s="118">
        <f t="shared" si="1"/>
        <v>470</v>
      </c>
    </row>
    <row r="132" spans="1:42" ht="12.75">
      <c r="A132" s="106">
        <v>2018</v>
      </c>
      <c r="B132" s="106">
        <v>-173124</v>
      </c>
      <c r="C132" s="106">
        <v>0</v>
      </c>
      <c r="D132" s="106">
        <v>173124</v>
      </c>
      <c r="E132" s="106" t="s">
        <v>334</v>
      </c>
      <c r="F132" s="106" t="s">
        <v>335</v>
      </c>
      <c r="G132" s="106" t="s">
        <v>113</v>
      </c>
      <c r="H132" s="106">
        <v>2</v>
      </c>
      <c r="I132" s="106" t="s">
        <v>25</v>
      </c>
      <c r="J132" s="106">
        <v>8678</v>
      </c>
      <c r="K132" s="106">
        <v>14814</v>
      </c>
      <c r="L132" s="106">
        <v>10520</v>
      </c>
      <c r="M132" s="106">
        <v>0.31</v>
      </c>
      <c r="N132" s="106">
        <v>0.69</v>
      </c>
      <c r="O132" s="106">
        <v>0.55000000000000004</v>
      </c>
      <c r="P132" s="106">
        <v>2593</v>
      </c>
      <c r="Q132" s="106">
        <v>813.07097680955724</v>
      </c>
      <c r="R132" s="106">
        <v>9.4559620780777495E-2</v>
      </c>
      <c r="S132" s="106">
        <v>18241.274303115482</v>
      </c>
      <c r="T132" s="106">
        <v>19541.578824080581</v>
      </c>
      <c r="U132" s="106">
        <v>14549.314356951436</v>
      </c>
      <c r="V132" s="106">
        <v>0.53510630480912125</v>
      </c>
      <c r="W132" s="106">
        <v>117129.10284463895</v>
      </c>
      <c r="X132" s="110">
        <v>0.6416455893458638</v>
      </c>
      <c r="Y132" s="106">
        <v>655.75647668393788</v>
      </c>
      <c r="Z132" s="106">
        <v>22.119170984455959</v>
      </c>
      <c r="AA132" s="106">
        <v>50620.230635554755</v>
      </c>
      <c r="AB132" s="106">
        <v>490.7595783047359</v>
      </c>
      <c r="AC132" s="106">
        <v>1.9754947526802016</v>
      </c>
      <c r="AD132" s="106">
        <v>29.803254797182415</v>
      </c>
      <c r="AE132" s="106">
        <v>103.14669926650367</v>
      </c>
      <c r="AF132" s="106">
        <v>-0.10170310170310171</v>
      </c>
      <c r="AG132" s="106">
        <v>7630</v>
      </c>
      <c r="AH132" s="106">
        <v>18646.052939798548</v>
      </c>
      <c r="AI132" s="106">
        <v>19213.867416256733</v>
      </c>
      <c r="AJ132" s="106">
        <v>18368.938861560084</v>
      </c>
      <c r="AK132" s="104">
        <v>14966.268446943079</v>
      </c>
      <c r="AL132" s="118">
        <v>22457000</v>
      </c>
      <c r="AM132" s="118">
        <v>4815</v>
      </c>
      <c r="AN132" s="118">
        <v>126561</v>
      </c>
      <c r="AO132" s="118">
        <v>1108</v>
      </c>
      <c r="AP132" s="118">
        <f t="shared" si="1"/>
        <v>1048</v>
      </c>
    </row>
    <row r="133" spans="1:42" ht="12.75">
      <c r="A133" s="106">
        <v>2018</v>
      </c>
      <c r="B133" s="106">
        <v>-217721</v>
      </c>
      <c r="C133" s="106">
        <v>0</v>
      </c>
      <c r="D133" s="106">
        <v>217721</v>
      </c>
      <c r="E133" s="106" t="s">
        <v>336</v>
      </c>
      <c r="F133" s="106" t="s">
        <v>131</v>
      </c>
      <c r="G133" s="106" t="s">
        <v>79</v>
      </c>
      <c r="H133" s="106">
        <v>7</v>
      </c>
      <c r="I133" s="106" t="s">
        <v>3641</v>
      </c>
      <c r="J133" s="106">
        <v>19958</v>
      </c>
      <c r="K133" s="106">
        <v>23001</v>
      </c>
      <c r="L133" s="106">
        <v>24245</v>
      </c>
      <c r="M133" s="106">
        <v>0.85</v>
      </c>
      <c r="N133" s="106">
        <v>0.94</v>
      </c>
      <c r="O133" s="106">
        <v>0.59</v>
      </c>
      <c r="P133" s="106">
        <v>8831</v>
      </c>
      <c r="Q133" s="106">
        <v>7111.7681432610743</v>
      </c>
      <c r="R133" s="106">
        <v>0.38677478535986848</v>
      </c>
      <c r="S133" s="106">
        <v>23527.970311027333</v>
      </c>
      <c r="T133" s="106">
        <v>23616.674835061262</v>
      </c>
      <c r="U133" s="106">
        <v>16734.568438230508</v>
      </c>
      <c r="V133" s="106">
        <v>0.67379056067842924</v>
      </c>
      <c r="W133" s="106">
        <v>51911.784374999996</v>
      </c>
      <c r="X133" s="110">
        <v>0.44196771143505853</v>
      </c>
      <c r="Y133" s="106">
        <v>484.61421319796949</v>
      </c>
      <c r="Z133" s="106">
        <v>16.157360406091371</v>
      </c>
      <c r="AA133" s="106">
        <v>143188.52510453685</v>
      </c>
      <c r="AB133" s="106">
        <v>557.94164952903782</v>
      </c>
      <c r="AC133" s="106">
        <v>0.69837998489748776</v>
      </c>
      <c r="AD133" s="106">
        <v>11.911623439000961</v>
      </c>
      <c r="AE133" s="106">
        <v>256.63709677419354</v>
      </c>
      <c r="AF133" s="106">
        <v>1.3349573614295417E-2</v>
      </c>
      <c r="AG133" s="106">
        <v>17848</v>
      </c>
      <c r="AH133" s="106">
        <v>22596.444863336474</v>
      </c>
      <c r="AI133" s="106">
        <v>23527.970311027333</v>
      </c>
      <c r="AJ133" s="106">
        <v>23827.252591894438</v>
      </c>
      <c r="AK133" s="104">
        <v>18893.726672950048</v>
      </c>
      <c r="AM133" s="118">
        <v>2090</v>
      </c>
      <c r="AN133" s="118">
        <v>63646</v>
      </c>
      <c r="AO133" s="118">
        <v>248</v>
      </c>
      <c r="AP133" s="118">
        <f t="shared" si="1"/>
        <v>2110</v>
      </c>
    </row>
    <row r="134" spans="1:42" ht="12.75">
      <c r="A134" s="106">
        <v>2018</v>
      </c>
      <c r="B134" s="106">
        <v>-154712</v>
      </c>
      <c r="C134" s="106">
        <v>0</v>
      </c>
      <c r="D134" s="106">
        <v>154712</v>
      </c>
      <c r="E134" s="106" t="s">
        <v>337</v>
      </c>
      <c r="F134" s="106" t="s">
        <v>338</v>
      </c>
      <c r="G134" s="106" t="s">
        <v>129</v>
      </c>
      <c r="H134" s="106">
        <v>7</v>
      </c>
      <c r="I134" s="106" t="s">
        <v>3641</v>
      </c>
      <c r="J134" s="106">
        <v>28480</v>
      </c>
      <c r="K134" s="106">
        <v>24461</v>
      </c>
      <c r="L134" s="106">
        <v>20424</v>
      </c>
      <c r="M134" s="106">
        <v>0.22</v>
      </c>
      <c r="N134" s="106">
        <v>0.56999999999999995</v>
      </c>
      <c r="O134" s="106">
        <v>1</v>
      </c>
      <c r="P134" s="106">
        <v>17402</v>
      </c>
      <c r="Q134" s="106">
        <v>13415.623103279491</v>
      </c>
      <c r="R134" s="106">
        <v>0.51963390765765272</v>
      </c>
      <c r="S134" s="106">
        <v>23912.781693587862</v>
      </c>
      <c r="T134" s="106">
        <v>24299.14439549682</v>
      </c>
      <c r="U134" s="106">
        <v>17326.455431008893</v>
      </c>
      <c r="V134" s="106">
        <v>0.71577410874455227</v>
      </c>
      <c r="W134" s="106">
        <v>64060.881844380405</v>
      </c>
      <c r="X134" s="110">
        <v>0.44777829578589207</v>
      </c>
      <c r="Y134" s="106">
        <v>424.41995359628771</v>
      </c>
      <c r="Z134" s="106">
        <v>14.220417633410674</v>
      </c>
      <c r="AA134" s="106">
        <v>76453.452366201236</v>
      </c>
      <c r="AB134" s="106">
        <v>580.53215982863753</v>
      </c>
      <c r="AC134" s="106">
        <v>1.3079854068723298</v>
      </c>
      <c r="AD134" s="106">
        <v>23.26633165829146</v>
      </c>
      <c r="AE134" s="106">
        <v>131.69546436285097</v>
      </c>
      <c r="AF134" s="106">
        <v>1.2873108981960729E-2</v>
      </c>
      <c r="AG134" s="106">
        <v>27730</v>
      </c>
      <c r="AH134" s="106">
        <v>20978.804698972101</v>
      </c>
      <c r="AI134" s="106">
        <v>23912.781693587862</v>
      </c>
      <c r="AJ134" s="106">
        <v>24828.390602055799</v>
      </c>
      <c r="AK134" s="104">
        <v>17330.139500734214</v>
      </c>
      <c r="AM134" s="118">
        <v>2085</v>
      </c>
      <c r="AN134" s="118">
        <v>60975</v>
      </c>
      <c r="AO134" s="118">
        <v>429</v>
      </c>
      <c r="AP134" s="118">
        <f t="shared" ref="AP134:AP197" si="2">J134-AG134</f>
        <v>750</v>
      </c>
    </row>
    <row r="135" spans="1:42" ht="12.75">
      <c r="A135" s="106">
        <v>2018</v>
      </c>
      <c r="B135" s="106">
        <v>-145619</v>
      </c>
      <c r="C135" s="106">
        <v>0</v>
      </c>
      <c r="D135" s="106">
        <v>145619</v>
      </c>
      <c r="E135" s="106" t="s">
        <v>339</v>
      </c>
      <c r="F135" s="106" t="s">
        <v>340</v>
      </c>
      <c r="G135" s="106" t="s">
        <v>243</v>
      </c>
      <c r="H135" s="106">
        <v>5</v>
      </c>
      <c r="I135" s="106" t="s">
        <v>3639</v>
      </c>
      <c r="J135" s="106">
        <v>32739</v>
      </c>
      <c r="K135" s="106">
        <v>25508</v>
      </c>
      <c r="L135" s="106">
        <v>21202</v>
      </c>
      <c r="M135" s="106">
        <v>0.44</v>
      </c>
      <c r="N135" s="106">
        <v>0.69</v>
      </c>
      <c r="O135" s="106">
        <v>0.99</v>
      </c>
      <c r="P135" s="106">
        <v>15185</v>
      </c>
      <c r="Q135" s="106">
        <v>6823.7255099979802</v>
      </c>
      <c r="R135" s="106">
        <v>0.29560495818654114</v>
      </c>
      <c r="S135" s="106">
        <v>18910.337507574226</v>
      </c>
      <c r="T135" s="106">
        <v>18525.737830741265</v>
      </c>
      <c r="U135" s="106">
        <v>17489.991291338258</v>
      </c>
      <c r="V135" s="106">
        <v>0.9296865148657758</v>
      </c>
      <c r="W135" s="106">
        <v>75783.772682926821</v>
      </c>
      <c r="X135" s="110">
        <v>0.56459936820525847</v>
      </c>
      <c r="Y135" s="106">
        <v>441.34017278617716</v>
      </c>
      <c r="Z135" s="106">
        <v>16.039956803455727</v>
      </c>
      <c r="AA135" s="106">
        <v>43557.820363891202</v>
      </c>
      <c r="AB135" s="106">
        <v>635.65186698243167</v>
      </c>
      <c r="AC135" s="106">
        <v>2.295798990045391</v>
      </c>
      <c r="AD135" s="106">
        <v>53.584905660377359</v>
      </c>
      <c r="AE135" s="106">
        <v>68.524647887323937</v>
      </c>
      <c r="AF135" s="106">
        <v>2.4837407348072348E-2</v>
      </c>
      <c r="AG135" s="106">
        <v>31289</v>
      </c>
      <c r="AH135" s="106">
        <v>18621.947687335891</v>
      </c>
      <c r="AI135" s="106">
        <v>18971.760048475055</v>
      </c>
      <c r="AJ135" s="106">
        <v>19031.395879620279</v>
      </c>
      <c r="AK135" s="104">
        <v>17891.960614017371</v>
      </c>
      <c r="AL135" s="118"/>
      <c r="AM135" s="118">
        <v>2884</v>
      </c>
      <c r="AN135" s="118">
        <v>136227</v>
      </c>
      <c r="AO135" s="118">
        <v>819</v>
      </c>
      <c r="AP135" s="118">
        <f t="shared" si="2"/>
        <v>1450</v>
      </c>
    </row>
    <row r="136" spans="1:42" ht="12.75">
      <c r="A136" s="106">
        <v>2018</v>
      </c>
      <c r="B136" s="106">
        <v>-197993</v>
      </c>
      <c r="C136" s="106">
        <v>0</v>
      </c>
      <c r="D136" s="106">
        <v>197993</v>
      </c>
      <c r="E136" s="106" t="s">
        <v>341</v>
      </c>
      <c r="F136" s="106" t="s">
        <v>342</v>
      </c>
      <c r="G136" s="106" t="s">
        <v>90</v>
      </c>
      <c r="H136" s="106">
        <v>7</v>
      </c>
      <c r="I136" s="106" t="s">
        <v>3641</v>
      </c>
      <c r="J136" s="106">
        <v>18513</v>
      </c>
      <c r="K136" s="106">
        <v>18392</v>
      </c>
      <c r="L136" s="106">
        <v>17365</v>
      </c>
      <c r="M136" s="106">
        <v>0.86</v>
      </c>
      <c r="N136" s="106">
        <v>0.97</v>
      </c>
      <c r="O136" s="106">
        <v>0.98</v>
      </c>
      <c r="P136" s="106">
        <v>6485</v>
      </c>
      <c r="Q136" s="106">
        <v>6730.3576309794989</v>
      </c>
      <c r="R136" s="106">
        <v>0.38084581904820092</v>
      </c>
      <c r="S136" s="106">
        <v>33707.407744874712</v>
      </c>
      <c r="T136" s="106">
        <v>35583.931662870156</v>
      </c>
      <c r="U136" s="106">
        <v>31184.025056947608</v>
      </c>
      <c r="V136" s="106">
        <v>0.35087755565517564</v>
      </c>
      <c r="W136" s="106">
        <v>51205.997389033939</v>
      </c>
      <c r="X136" s="110">
        <v>0.41848500122844728</v>
      </c>
      <c r="Y136" s="106">
        <v>326.28099173553716</v>
      </c>
      <c r="Z136" s="106">
        <v>10.884297520661157</v>
      </c>
      <c r="AA136" s="106">
        <v>190135.93055555556</v>
      </c>
      <c r="AB136" s="106">
        <v>1040.2573708206687</v>
      </c>
      <c r="AC136" s="106">
        <v>0.52593951973102282</v>
      </c>
      <c r="AD136" s="106">
        <v>16.475972540045767</v>
      </c>
      <c r="AE136" s="106">
        <v>182.77777777777777</v>
      </c>
      <c r="AF136" s="106">
        <v>1.0997042237765456E-3</v>
      </c>
      <c r="AG136" s="106">
        <v>15964</v>
      </c>
      <c r="AH136" s="106">
        <v>26196.405466970387</v>
      </c>
      <c r="AI136" s="106">
        <v>35871.87699316629</v>
      </c>
      <c r="AJ136" s="106">
        <v>35619.626423690206</v>
      </c>
      <c r="AK136" s="104">
        <v>31184.025056947608</v>
      </c>
      <c r="AM136" s="118">
        <v>493</v>
      </c>
      <c r="AN136" s="118">
        <v>13160</v>
      </c>
      <c r="AO136" s="118">
        <v>72</v>
      </c>
      <c r="AP136" s="118">
        <f t="shared" si="2"/>
        <v>2549</v>
      </c>
    </row>
    <row r="137" spans="1:42" ht="12.75">
      <c r="A137" s="106">
        <v>2018</v>
      </c>
      <c r="B137" s="106">
        <v>-230816</v>
      </c>
      <c r="C137" s="106">
        <v>0</v>
      </c>
      <c r="D137" s="106">
        <v>230816</v>
      </c>
      <c r="E137" s="106" t="s">
        <v>343</v>
      </c>
      <c r="F137" s="106" t="s">
        <v>344</v>
      </c>
      <c r="G137" s="106" t="s">
        <v>345</v>
      </c>
      <c r="H137" s="106">
        <v>7</v>
      </c>
      <c r="I137" s="106" t="s">
        <v>3641</v>
      </c>
      <c r="J137" s="106">
        <v>51920</v>
      </c>
      <c r="K137" s="106">
        <v>34227</v>
      </c>
      <c r="L137" s="106">
        <v>19523</v>
      </c>
      <c r="M137" s="106">
        <v>0.23</v>
      </c>
      <c r="N137" s="106">
        <v>0.54</v>
      </c>
      <c r="O137" s="106">
        <v>0.95</v>
      </c>
      <c r="P137" s="106">
        <v>34915</v>
      </c>
      <c r="Q137" s="106">
        <v>26066.409817351599</v>
      </c>
      <c r="R137" s="106">
        <v>0.48170131279372763</v>
      </c>
      <c r="S137" s="106">
        <v>46072.093607305935</v>
      </c>
      <c r="T137" s="106">
        <v>47878.78767123288</v>
      </c>
      <c r="U137" s="106">
        <v>44087.72831050228</v>
      </c>
      <c r="V137" s="106">
        <v>0.63615914719639777</v>
      </c>
      <c r="W137" s="106">
        <v>84675.679954441905</v>
      </c>
      <c r="X137" s="110">
        <v>0.5908601529862153</v>
      </c>
      <c r="Y137" s="106">
        <v>314.19183673469388</v>
      </c>
      <c r="Z137" s="106">
        <v>10.726530612244897</v>
      </c>
      <c r="AA137" s="106">
        <v>212202.47252747254</v>
      </c>
      <c r="AB137" s="106">
        <v>1505.1580342180132</v>
      </c>
      <c r="AC137" s="106">
        <v>0.47124804347910521</v>
      </c>
      <c r="AD137" s="106">
        <v>22.195121951219512</v>
      </c>
      <c r="AE137" s="106">
        <v>140.9835164835165</v>
      </c>
      <c r="AF137" s="106">
        <v>-9.2320046354781703E-3</v>
      </c>
      <c r="AG137" s="106">
        <v>51240</v>
      </c>
      <c r="AH137" s="106">
        <v>30848.631278538815</v>
      </c>
      <c r="AI137" s="106">
        <v>46314.186073059362</v>
      </c>
      <c r="AJ137" s="106">
        <v>47129.874429223746</v>
      </c>
      <c r="AK137" s="104">
        <v>44087.72831050228</v>
      </c>
      <c r="AM137" s="118">
        <v>775</v>
      </c>
      <c r="AN137" s="118">
        <v>25659</v>
      </c>
      <c r="AO137" s="118">
        <v>147</v>
      </c>
      <c r="AP137" s="118">
        <f t="shared" si="2"/>
        <v>680</v>
      </c>
    </row>
    <row r="138" spans="1:42" ht="12.75">
      <c r="A138" s="106">
        <v>2018</v>
      </c>
      <c r="B138" s="106">
        <v>-164739</v>
      </c>
      <c r="C138" s="106">
        <v>0</v>
      </c>
      <c r="D138" s="106">
        <v>164739</v>
      </c>
      <c r="E138" s="106" t="s">
        <v>346</v>
      </c>
      <c r="F138" s="106" t="s">
        <v>347</v>
      </c>
      <c r="G138" s="106" t="s">
        <v>150</v>
      </c>
      <c r="H138" s="106">
        <v>6</v>
      </c>
      <c r="I138" s="106" t="s">
        <v>3640</v>
      </c>
      <c r="J138" s="106">
        <v>48000</v>
      </c>
      <c r="K138" s="106">
        <v>38270</v>
      </c>
      <c r="L138" s="106">
        <v>20486</v>
      </c>
      <c r="M138" s="106">
        <v>0.13</v>
      </c>
      <c r="N138" s="106">
        <v>0.5</v>
      </c>
      <c r="O138" s="106">
        <v>0.68</v>
      </c>
      <c r="P138" s="106">
        <v>27389</v>
      </c>
      <c r="Q138" s="106">
        <v>17400.887275660414</v>
      </c>
      <c r="R138" s="106">
        <v>0.36395115881819523</v>
      </c>
      <c r="S138" s="106">
        <v>45152.04678362573</v>
      </c>
      <c r="T138" s="106">
        <v>44005.847953216376</v>
      </c>
      <c r="U138" s="106">
        <v>34723.057138969161</v>
      </c>
      <c r="V138" s="106">
        <v>0.87579164523661923</v>
      </c>
      <c r="W138" s="106">
        <v>128972.48677248677</v>
      </c>
      <c r="X138" s="110">
        <v>0.55850154656890827</v>
      </c>
      <c r="Y138" s="106">
        <v>418.40988372093022</v>
      </c>
      <c r="Z138" s="106">
        <v>14.415697674418604</v>
      </c>
      <c r="AA138" s="106">
        <v>98339.029327326149</v>
      </c>
      <c r="AB138" s="106">
        <v>1196.3319068743658</v>
      </c>
      <c r="AC138" s="106">
        <v>1.016890248805947</v>
      </c>
      <c r="AD138" s="106">
        <v>33.973612727978271</v>
      </c>
      <c r="AE138" s="106">
        <v>82.200456881781832</v>
      </c>
      <c r="AF138" s="106">
        <v>8.1211281636210816E-2</v>
      </c>
      <c r="AG138" s="106">
        <v>46370</v>
      </c>
      <c r="AH138" s="106">
        <v>43969.55031256302</v>
      </c>
      <c r="AI138" s="106">
        <v>45255.09175236943</v>
      </c>
      <c r="AJ138" s="106">
        <v>50318.612623512803</v>
      </c>
      <c r="AK138" s="104">
        <v>35451.502319015934</v>
      </c>
      <c r="AM138" s="118">
        <v>4272</v>
      </c>
      <c r="AN138" s="118">
        <v>143933</v>
      </c>
      <c r="AO138" s="118">
        <v>1073</v>
      </c>
      <c r="AP138" s="118">
        <f t="shared" si="2"/>
        <v>1630</v>
      </c>
    </row>
    <row r="139" spans="1:42" ht="12.75">
      <c r="A139" s="106">
        <v>2018</v>
      </c>
      <c r="B139" s="106">
        <v>-156295</v>
      </c>
      <c r="C139" s="106">
        <v>0</v>
      </c>
      <c r="D139" s="106">
        <v>156295</v>
      </c>
      <c r="E139" s="106" t="s">
        <v>348</v>
      </c>
      <c r="F139" s="106" t="s">
        <v>280</v>
      </c>
      <c r="G139" s="106" t="s">
        <v>118</v>
      </c>
      <c r="H139" s="106">
        <v>7</v>
      </c>
      <c r="I139" s="106" t="s">
        <v>3641</v>
      </c>
      <c r="J139" s="106">
        <v>25760</v>
      </c>
      <c r="K139" s="106">
        <v>1196</v>
      </c>
      <c r="L139" s="106">
        <v>74</v>
      </c>
      <c r="M139" s="106">
        <v>0.92</v>
      </c>
      <c r="N139" s="106">
        <v>0.14000000000000001</v>
      </c>
      <c r="O139" s="106">
        <v>1</v>
      </c>
      <c r="P139" s="106">
        <v>26730</v>
      </c>
      <c r="Q139" s="106">
        <v>27446.727793696275</v>
      </c>
      <c r="R139" s="106">
        <v>0.97567483500099383</v>
      </c>
      <c r="S139" s="106">
        <v>57852.417191977074</v>
      </c>
      <c r="T139" s="106">
        <v>67956.783381088826</v>
      </c>
      <c r="U139" s="106">
        <v>33399.647440114342</v>
      </c>
      <c r="V139" s="106">
        <v>2.0487991430788288E-2</v>
      </c>
      <c r="W139" s="106">
        <v>76126.069530558016</v>
      </c>
      <c r="X139" s="110">
        <v>0.4831787709476949</v>
      </c>
      <c r="Y139" s="106">
        <v>333.44585987261149</v>
      </c>
      <c r="Z139" s="106">
        <v>11.114649681528663</v>
      </c>
      <c r="AA139" s="106">
        <v>191089.78617376895</v>
      </c>
      <c r="AB139" s="106">
        <v>1113.3003148554856</v>
      </c>
      <c r="AC139" s="106">
        <v>0.52331420743264756</v>
      </c>
      <c r="AD139" s="106">
        <v>18.631643249847283</v>
      </c>
      <c r="AE139" s="106">
        <v>171.64262295081969</v>
      </c>
      <c r="AF139" s="106">
        <v>4.2685799239106446E-2</v>
      </c>
      <c r="AG139" s="106">
        <v>25200</v>
      </c>
      <c r="AH139" s="106">
        <v>30122.884813753582</v>
      </c>
      <c r="AI139" s="106">
        <v>57852.417191977074</v>
      </c>
      <c r="AJ139" s="106">
        <v>102565.20573065903</v>
      </c>
      <c r="AK139" s="104">
        <v>59041.778796561608</v>
      </c>
      <c r="AM139" s="118">
        <v>1670</v>
      </c>
      <c r="AN139" s="118">
        <v>52351</v>
      </c>
      <c r="AO139" s="118">
        <v>305</v>
      </c>
      <c r="AP139" s="118">
        <f t="shared" si="2"/>
        <v>560</v>
      </c>
    </row>
    <row r="140" spans="1:42" ht="12.75">
      <c r="A140" s="106">
        <v>2018</v>
      </c>
      <c r="B140" s="106">
        <v>-183743</v>
      </c>
      <c r="C140" s="106">
        <v>0</v>
      </c>
      <c r="D140" s="106">
        <v>183743</v>
      </c>
      <c r="E140" s="106" t="s">
        <v>349</v>
      </c>
      <c r="F140" s="106" t="s">
        <v>350</v>
      </c>
      <c r="G140" s="106" t="s">
        <v>234</v>
      </c>
      <c r="H140" s="106">
        <v>4</v>
      </c>
      <c r="I140" s="106" t="s">
        <v>24</v>
      </c>
      <c r="J140" s="106">
        <v>4446</v>
      </c>
      <c r="K140" s="106">
        <v>8755</v>
      </c>
      <c r="L140" s="106">
        <v>8159</v>
      </c>
      <c r="M140" s="106">
        <v>0.46</v>
      </c>
      <c r="N140" s="106">
        <v>0.25</v>
      </c>
      <c r="O140" s="106">
        <v>0</v>
      </c>
      <c r="P140" s="106"/>
      <c r="Q140" s="106"/>
      <c r="R140" s="106"/>
      <c r="S140" s="106">
        <v>11711.411838426684</v>
      </c>
      <c r="T140" s="106">
        <v>13675.825219319388</v>
      </c>
      <c r="U140" s="106">
        <v>13163.461197339246</v>
      </c>
      <c r="V140" s="106">
        <v>0.56884580327877232</v>
      </c>
      <c r="W140" s="106">
        <v>103849.13436510727</v>
      </c>
      <c r="X140" s="110">
        <v>0.69374611829387189</v>
      </c>
      <c r="Y140" s="106">
        <v>625.74329758713134</v>
      </c>
      <c r="Z140" s="106">
        <v>20.857238605898125</v>
      </c>
      <c r="AA140" s="106">
        <v>60875.872938029424</v>
      </c>
      <c r="AB140" s="106">
        <v>438.76371050407613</v>
      </c>
      <c r="AC140" s="106">
        <v>1.6426869164044391</v>
      </c>
      <c r="AD140" s="106">
        <v>22.797032218721412</v>
      </c>
      <c r="AE140" s="106">
        <v>138.74409273294694</v>
      </c>
      <c r="AF140" s="106">
        <v>2.2953255196117694E-2</v>
      </c>
      <c r="AG140" s="106">
        <v>3408</v>
      </c>
      <c r="AH140" s="106">
        <v>11860.127831871205</v>
      </c>
      <c r="AI140" s="106">
        <v>11860.127831871205</v>
      </c>
      <c r="AJ140" s="106">
        <v>12830.712619300106</v>
      </c>
      <c r="AK140" s="104">
        <v>13616.681577171503</v>
      </c>
      <c r="AL140" s="119">
        <v>32982551</v>
      </c>
      <c r="AM140" s="118">
        <v>14062</v>
      </c>
      <c r="AN140" s="118">
        <v>311203</v>
      </c>
      <c r="AO140" s="118">
        <v>2175</v>
      </c>
      <c r="AP140" s="118">
        <f t="shared" si="2"/>
        <v>1038</v>
      </c>
    </row>
    <row r="141" spans="1:42" ht="12.75">
      <c r="A141" s="106">
        <v>2018</v>
      </c>
      <c r="B141" s="106">
        <v>-461643</v>
      </c>
      <c r="C141" s="106">
        <v>0</v>
      </c>
      <c r="D141" s="106">
        <v>461643</v>
      </c>
      <c r="E141" s="106" t="s">
        <v>351</v>
      </c>
      <c r="F141" s="106" t="s">
        <v>352</v>
      </c>
      <c r="G141" s="106" t="s">
        <v>121</v>
      </c>
      <c r="H141" s="106">
        <v>7</v>
      </c>
      <c r="I141" s="106" t="s">
        <v>3641</v>
      </c>
      <c r="J141" s="106">
        <v>9975</v>
      </c>
      <c r="K141" s="106"/>
      <c r="L141" s="106"/>
      <c r="M141" s="106"/>
      <c r="N141" s="106"/>
      <c r="O141" s="106"/>
      <c r="P141" s="106"/>
      <c r="Q141" s="106"/>
      <c r="R141" s="106"/>
      <c r="S141" s="106">
        <v>32422.084745762713</v>
      </c>
      <c r="T141" s="106">
        <v>22918.898305084746</v>
      </c>
      <c r="U141" s="106">
        <v>19013.64412125375</v>
      </c>
      <c r="V141" s="106">
        <v>0.50378274157369929</v>
      </c>
      <c r="W141" s="106">
        <v>47248.442307692312</v>
      </c>
      <c r="X141" s="110">
        <v>0.60565294720144358</v>
      </c>
      <c r="Y141" s="106">
        <v>229.09090909090907</v>
      </c>
      <c r="Z141" s="106">
        <v>8.045454545454545</v>
      </c>
      <c r="AA141" s="106">
        <v>32051.57151868489</v>
      </c>
      <c r="AB141" s="106">
        <v>667.74107330593517</v>
      </c>
      <c r="AC141" s="106">
        <v>3.1199718223396213</v>
      </c>
      <c r="AD141" s="106">
        <v>57.377049180327866</v>
      </c>
      <c r="AE141" s="106">
        <v>48</v>
      </c>
      <c r="AF141" s="106">
        <v>0.71873556383052029</v>
      </c>
      <c r="AG141" s="106">
        <v>9375</v>
      </c>
      <c r="AH141" s="106">
        <v>19389.627118644068</v>
      </c>
      <c r="AI141" s="106">
        <v>32422.084745762713</v>
      </c>
      <c r="AJ141" s="106">
        <v>32464.949152542373</v>
      </c>
      <c r="AK141" s="104">
        <v>20148.355932203391</v>
      </c>
      <c r="AM141" s="118">
        <v>41</v>
      </c>
      <c r="AN141" s="118">
        <v>1680</v>
      </c>
      <c r="AO141" s="118">
        <v>26</v>
      </c>
      <c r="AP141" s="118">
        <f t="shared" si="2"/>
        <v>600</v>
      </c>
    </row>
    <row r="142" spans="1:42" ht="12.75">
      <c r="A142" s="106">
        <v>2018</v>
      </c>
      <c r="B142" s="106">
        <v>-125170</v>
      </c>
      <c r="C142" s="106">
        <v>0</v>
      </c>
      <c r="D142" s="106">
        <v>125170</v>
      </c>
      <c r="E142" s="106" t="s">
        <v>4046</v>
      </c>
      <c r="F142" s="106" t="s">
        <v>353</v>
      </c>
      <c r="G142" s="106" t="s">
        <v>121</v>
      </c>
      <c r="H142" s="106">
        <v>4</v>
      </c>
      <c r="I142" s="106" t="s">
        <v>24</v>
      </c>
      <c r="J142" s="106">
        <v>1230</v>
      </c>
      <c r="K142" s="106">
        <v>8393</v>
      </c>
      <c r="L142" s="106">
        <v>5072</v>
      </c>
      <c r="M142" s="106">
        <v>0.32</v>
      </c>
      <c r="N142" s="106">
        <v>0.01</v>
      </c>
      <c r="O142" s="106">
        <v>0</v>
      </c>
      <c r="P142" s="106"/>
      <c r="Q142" s="106">
        <v>618.40043057050593</v>
      </c>
      <c r="R142" s="106">
        <v>0.37885055409532986</v>
      </c>
      <c r="S142" s="106">
        <v>13246.258611410118</v>
      </c>
      <c r="T142" s="106">
        <v>9011.8310010764271</v>
      </c>
      <c r="U142" s="106">
        <v>6868.6480086114098</v>
      </c>
      <c r="V142" s="106">
        <v>0.14761371069683094</v>
      </c>
      <c r="W142" s="106">
        <v>125376.59025270758</v>
      </c>
      <c r="X142" s="110">
        <v>0.69137905786090792</v>
      </c>
      <c r="Y142" s="106">
        <v>891.86400000000003</v>
      </c>
      <c r="Z142" s="106">
        <v>29.728000000000002</v>
      </c>
      <c r="AA142" s="106">
        <v>32227.141414141413</v>
      </c>
      <c r="AB142" s="106">
        <v>228.94877245858112</v>
      </c>
      <c r="AC142" s="106">
        <v>3.1029745615637987</v>
      </c>
      <c r="AD142" s="106">
        <v>27.179135209334248</v>
      </c>
      <c r="AE142" s="106">
        <v>140.76136363636363</v>
      </c>
      <c r="AF142" s="106"/>
      <c r="AG142" s="106">
        <v>1104</v>
      </c>
      <c r="AH142" s="106">
        <v>11888.985199138859</v>
      </c>
      <c r="AI142" s="106">
        <v>11888.985199138859</v>
      </c>
      <c r="AJ142" s="106">
        <v>13253.479817007536</v>
      </c>
      <c r="AK142" s="104">
        <v>8496.762648008611</v>
      </c>
      <c r="AL142" s="119">
        <v>27018638</v>
      </c>
      <c r="AM142" s="118">
        <v>6356</v>
      </c>
      <c r="AN142" s="118">
        <v>111483</v>
      </c>
      <c r="AO142" s="118">
        <v>377</v>
      </c>
      <c r="AP142" s="118">
        <f t="shared" si="2"/>
        <v>126</v>
      </c>
    </row>
    <row r="143" spans="1:42" ht="12.75">
      <c r="A143" s="106">
        <v>2018</v>
      </c>
      <c r="B143" s="106">
        <v>-164775</v>
      </c>
      <c r="C143" s="106">
        <v>0</v>
      </c>
      <c r="D143" s="106">
        <v>164775</v>
      </c>
      <c r="E143" s="106" t="s">
        <v>354</v>
      </c>
      <c r="F143" s="106" t="s">
        <v>355</v>
      </c>
      <c r="G143" s="106" t="s">
        <v>150</v>
      </c>
      <c r="H143" s="106">
        <v>4</v>
      </c>
      <c r="I143" s="106" t="s">
        <v>24</v>
      </c>
      <c r="J143" s="106">
        <v>5212</v>
      </c>
      <c r="K143" s="106">
        <v>9194</v>
      </c>
      <c r="L143" s="106">
        <v>7948</v>
      </c>
      <c r="M143" s="106">
        <v>0.66</v>
      </c>
      <c r="N143" s="106">
        <v>0.24</v>
      </c>
      <c r="O143" s="106">
        <v>0.11</v>
      </c>
      <c r="P143" s="106">
        <v>1408</v>
      </c>
      <c r="Q143" s="106">
        <v>618.35394862036151</v>
      </c>
      <c r="R143" s="106">
        <v>8.9413284908073778E-2</v>
      </c>
      <c r="S143" s="106">
        <v>25688.861084681255</v>
      </c>
      <c r="T143" s="106">
        <v>26941.523311132256</v>
      </c>
      <c r="U143" s="106">
        <v>24350.570884871551</v>
      </c>
      <c r="V143" s="106">
        <v>0.25861115289860875</v>
      </c>
      <c r="W143" s="106">
        <v>81313.129411764705</v>
      </c>
      <c r="X143" s="110">
        <v>0.65091378617840989</v>
      </c>
      <c r="Y143" s="106">
        <v>362.42528735632186</v>
      </c>
      <c r="Z143" s="106">
        <v>12.080459770114942</v>
      </c>
      <c r="AA143" s="106">
        <v>75051.173020527858</v>
      </c>
      <c r="AB143" s="106">
        <v>811.65995369636232</v>
      </c>
      <c r="AC143" s="106">
        <v>1.3324242110466173</v>
      </c>
      <c r="AD143" s="106">
        <v>32.946859903381643</v>
      </c>
      <c r="AE143" s="106">
        <v>92.466275659824049</v>
      </c>
      <c r="AF143" s="106">
        <v>8.7572858606733556E-2</v>
      </c>
      <c r="AG143" s="106">
        <v>624</v>
      </c>
      <c r="AH143" s="106">
        <v>24529.834443387252</v>
      </c>
      <c r="AI143" s="106">
        <v>24529.834443387252</v>
      </c>
      <c r="AJ143" s="106">
        <v>25703.309229305425</v>
      </c>
      <c r="AK143" s="104">
        <v>26147.340627973357</v>
      </c>
      <c r="AL143" s="118">
        <v>14829146</v>
      </c>
      <c r="AM143" s="118">
        <v>1847</v>
      </c>
      <c r="AN143" s="118">
        <v>31531</v>
      </c>
      <c r="AO143" s="118">
        <v>212</v>
      </c>
      <c r="AP143" s="118">
        <f t="shared" si="2"/>
        <v>4588</v>
      </c>
    </row>
    <row r="144" spans="1:42" ht="12.75">
      <c r="A144" s="106">
        <v>2018</v>
      </c>
      <c r="B144" s="106">
        <v>-139144</v>
      </c>
      <c r="C144" s="106">
        <v>0</v>
      </c>
      <c r="D144" s="106">
        <v>139144</v>
      </c>
      <c r="E144" s="106" t="s">
        <v>356</v>
      </c>
      <c r="F144" s="106" t="s">
        <v>357</v>
      </c>
      <c r="G144" s="106" t="s">
        <v>63</v>
      </c>
      <c r="H144" s="106">
        <v>6</v>
      </c>
      <c r="I144" s="106" t="s">
        <v>3640</v>
      </c>
      <c r="J144" s="106">
        <v>35176</v>
      </c>
      <c r="K144" s="106">
        <v>24917</v>
      </c>
      <c r="L144" s="106">
        <v>17460</v>
      </c>
      <c r="M144" s="106">
        <v>0.22</v>
      </c>
      <c r="N144" s="106">
        <v>0.54</v>
      </c>
      <c r="O144" s="106">
        <v>1</v>
      </c>
      <c r="P144" s="106">
        <v>20978</v>
      </c>
      <c r="Q144" s="106">
        <v>18635.406504065042</v>
      </c>
      <c r="R144" s="106">
        <v>0.55671301794443717</v>
      </c>
      <c r="S144" s="106">
        <v>32588.666188426589</v>
      </c>
      <c r="T144" s="106">
        <v>44668.154949784795</v>
      </c>
      <c r="U144" s="106">
        <v>36466.968282805152</v>
      </c>
      <c r="V144" s="106">
        <v>0.40690479927749218</v>
      </c>
      <c r="W144" s="106">
        <v>86629.084870848703</v>
      </c>
      <c r="X144" s="110">
        <v>0.50270240893919982</v>
      </c>
      <c r="Y144" s="106">
        <v>346.82122905027933</v>
      </c>
      <c r="Z144" s="106">
        <v>11.681564245810057</v>
      </c>
      <c r="AA144" s="106">
        <v>154045.31450372844</v>
      </c>
      <c r="AB144" s="106">
        <v>1228.273234634519</v>
      </c>
      <c r="AC144" s="106">
        <v>0.64915963411259514</v>
      </c>
      <c r="AD144" s="106">
        <v>24.51708766716196</v>
      </c>
      <c r="AE144" s="106">
        <v>125.41616161616162</v>
      </c>
      <c r="AF144" s="106">
        <v>3.1055858868630441E-2</v>
      </c>
      <c r="AG144" s="106">
        <v>34950</v>
      </c>
      <c r="AH144" s="106">
        <v>28601.747967479674</v>
      </c>
      <c r="AI144" s="106">
        <v>32666.750836920135</v>
      </c>
      <c r="AJ144" s="106">
        <v>58800.573409851742</v>
      </c>
      <c r="AK144" s="104">
        <v>36744.057388809182</v>
      </c>
      <c r="AM144" s="118">
        <v>1978</v>
      </c>
      <c r="AN144" s="118">
        <v>62081</v>
      </c>
      <c r="AO144" s="118">
        <v>434</v>
      </c>
      <c r="AP144" s="118">
        <f t="shared" si="2"/>
        <v>226</v>
      </c>
    </row>
    <row r="145" spans="1:42" ht="12.75">
      <c r="A145" s="106">
        <v>2018</v>
      </c>
      <c r="B145" s="106">
        <v>-154721</v>
      </c>
      <c r="C145" s="106">
        <v>0</v>
      </c>
      <c r="D145" s="106">
        <v>154721</v>
      </c>
      <c r="E145" s="106" t="s">
        <v>3921</v>
      </c>
      <c r="F145" s="106" t="s">
        <v>358</v>
      </c>
      <c r="G145" s="106" t="s">
        <v>129</v>
      </c>
      <c r="H145" s="106">
        <v>7</v>
      </c>
      <c r="I145" s="106" t="s">
        <v>3641</v>
      </c>
      <c r="J145" s="106">
        <v>26922</v>
      </c>
      <c r="K145" s="106">
        <v>22583</v>
      </c>
      <c r="L145" s="106">
        <v>29549</v>
      </c>
      <c r="M145" s="106">
        <v>0.52</v>
      </c>
      <c r="N145" s="106">
        <v>0.76</v>
      </c>
      <c r="O145" s="106">
        <v>0.93</v>
      </c>
      <c r="P145" s="106">
        <v>17975</v>
      </c>
      <c r="Q145" s="106">
        <v>7921.1548117154807</v>
      </c>
      <c r="R145" s="106">
        <v>0.88439996561728806</v>
      </c>
      <c r="S145" s="106">
        <v>20399.504881450488</v>
      </c>
      <c r="T145" s="106">
        <v>21507.652719665271</v>
      </c>
      <c r="U145" s="106">
        <v>18121.957641985216</v>
      </c>
      <c r="V145" s="106">
        <v>5.7133737689505748E-2</v>
      </c>
      <c r="W145" s="106">
        <v>39066.644927536232</v>
      </c>
      <c r="X145" s="110">
        <v>0.34960129335430995</v>
      </c>
      <c r="Y145" s="106">
        <v>410.80891719745222</v>
      </c>
      <c r="Z145" s="106">
        <v>13.700636942675159</v>
      </c>
      <c r="AA145" s="106">
        <v>113977.57569564386</v>
      </c>
      <c r="AB145" s="106">
        <v>604.37432575019295</v>
      </c>
      <c r="AC145" s="106">
        <v>0.87736556414422784</v>
      </c>
      <c r="AD145" s="106">
        <v>15.489130434782608</v>
      </c>
      <c r="AE145" s="106">
        <v>188.58771929824562</v>
      </c>
      <c r="AF145" s="106">
        <v>0.15578679884784044</v>
      </c>
      <c r="AG145" s="106">
        <v>26172</v>
      </c>
      <c r="AH145" s="106">
        <v>16265.820083682009</v>
      </c>
      <c r="AI145" s="106">
        <v>19664.377963737796</v>
      </c>
      <c r="AJ145" s="106">
        <v>20399.504881450488</v>
      </c>
      <c r="AK145" s="104">
        <v>18835.403068340307</v>
      </c>
      <c r="AL145" s="118"/>
      <c r="AM145" s="118">
        <v>775</v>
      </c>
      <c r="AN145" s="118">
        <v>21499</v>
      </c>
      <c r="AO145" s="118">
        <v>114</v>
      </c>
      <c r="AP145" s="118">
        <f t="shared" si="2"/>
        <v>750</v>
      </c>
    </row>
    <row r="146" spans="1:42" ht="12.75">
      <c r="A146" s="106">
        <v>2018</v>
      </c>
      <c r="B146" s="106">
        <v>-237181</v>
      </c>
      <c r="C146" s="106">
        <v>0</v>
      </c>
      <c r="D146" s="106">
        <v>237181</v>
      </c>
      <c r="E146" s="106" t="s">
        <v>3922</v>
      </c>
      <c r="F146" s="106" t="s">
        <v>359</v>
      </c>
      <c r="G146" s="106" t="s">
        <v>110</v>
      </c>
      <c r="H146" s="106">
        <v>7</v>
      </c>
      <c r="I146" s="106" t="s">
        <v>3641</v>
      </c>
      <c r="J146" s="106">
        <v>28454</v>
      </c>
      <c r="K146" s="106">
        <v>20075</v>
      </c>
      <c r="L146" s="106">
        <v>18659</v>
      </c>
      <c r="M146" s="106">
        <v>0.44</v>
      </c>
      <c r="N146" s="106">
        <v>0.81</v>
      </c>
      <c r="O146" s="106">
        <v>1</v>
      </c>
      <c r="P146" s="106">
        <v>19165</v>
      </c>
      <c r="Q146" s="106">
        <v>17637.732049036778</v>
      </c>
      <c r="R146" s="106">
        <v>0.64491752942061675</v>
      </c>
      <c r="S146" s="106">
        <v>39657.919439579688</v>
      </c>
      <c r="T146" s="106">
        <v>44733.271453590191</v>
      </c>
      <c r="U146" s="106">
        <v>34759.155866900175</v>
      </c>
      <c r="V146" s="106">
        <v>0.27938209580078638</v>
      </c>
      <c r="W146" s="106">
        <v>63707.087188612095</v>
      </c>
      <c r="X146" s="110">
        <v>0.46723572427626869</v>
      </c>
      <c r="Y146" s="106">
        <v>299.96470588235297</v>
      </c>
      <c r="Z146" s="106">
        <v>10.076470588235294</v>
      </c>
      <c r="AA146" s="106">
        <v>150359.68181818182</v>
      </c>
      <c r="AB146" s="106">
        <v>1167.6360748323332</v>
      </c>
      <c r="AC146" s="106">
        <v>0.66507190485360412</v>
      </c>
      <c r="AD146" s="106">
        <v>21.256038647342994</v>
      </c>
      <c r="AE146" s="106">
        <v>128.77272727272728</v>
      </c>
      <c r="AF146" s="106">
        <v>-3.0787443116895726E-3</v>
      </c>
      <c r="AG146" s="106">
        <v>27288</v>
      </c>
      <c r="AH146" s="106">
        <v>22127.220665499124</v>
      </c>
      <c r="AI146" s="106">
        <v>38806.884413309985</v>
      </c>
      <c r="AJ146" s="106">
        <v>44503.150612959718</v>
      </c>
      <c r="AK146" s="104">
        <v>34759.155866900175</v>
      </c>
      <c r="AM146" s="118">
        <v>601</v>
      </c>
      <c r="AN146" s="118">
        <v>16998</v>
      </c>
      <c r="AO146" s="118">
        <v>123</v>
      </c>
      <c r="AP146" s="118">
        <f t="shared" si="2"/>
        <v>1166</v>
      </c>
    </row>
    <row r="147" spans="1:42" ht="12.75">
      <c r="A147" s="106">
        <v>2018</v>
      </c>
      <c r="B147" s="106">
        <v>-173142</v>
      </c>
      <c r="C147" s="106">
        <v>0</v>
      </c>
      <c r="D147" s="106">
        <v>173142</v>
      </c>
      <c r="E147" s="106" t="s">
        <v>360</v>
      </c>
      <c r="F147" s="106" t="s">
        <v>361</v>
      </c>
      <c r="G147" s="106" t="s">
        <v>113</v>
      </c>
      <c r="H147" s="106">
        <v>7</v>
      </c>
      <c r="I147" s="106" t="s">
        <v>3641</v>
      </c>
      <c r="J147" s="106">
        <v>26830</v>
      </c>
      <c r="K147" s="106">
        <v>17546</v>
      </c>
      <c r="L147" s="106">
        <v>13009</v>
      </c>
      <c r="M147" s="106">
        <v>0.38</v>
      </c>
      <c r="N147" s="106">
        <v>0.7</v>
      </c>
      <c r="O147" s="106">
        <v>0.99</v>
      </c>
      <c r="P147" s="106">
        <v>15403</v>
      </c>
      <c r="Q147" s="106">
        <v>12021.410130718954</v>
      </c>
      <c r="R147" s="106">
        <v>0.57390689312048393</v>
      </c>
      <c r="S147" s="106">
        <v>27015.419934640522</v>
      </c>
      <c r="T147" s="106">
        <v>32699.272875816994</v>
      </c>
      <c r="U147" s="106">
        <v>27895.92320261438</v>
      </c>
      <c r="V147" s="106">
        <v>0.31994677930133042</v>
      </c>
      <c r="W147" s="106">
        <v>70777.014814814815</v>
      </c>
      <c r="X147" s="110">
        <v>0.47745944861459061</v>
      </c>
      <c r="Y147" s="106">
        <v>352.94230769230768</v>
      </c>
      <c r="Z147" s="106">
        <v>11.76923076923077</v>
      </c>
      <c r="AA147" s="106">
        <v>189692.27777777778</v>
      </c>
      <c r="AB147" s="106">
        <v>930.21876532447016</v>
      </c>
      <c r="AC147" s="106">
        <v>0.52716958840648642</v>
      </c>
      <c r="AD147" s="106">
        <v>15.706806282722512</v>
      </c>
      <c r="AE147" s="106">
        <v>203.92222222222222</v>
      </c>
      <c r="AF147" s="106">
        <v>-3.3849263485193582E-3</v>
      </c>
      <c r="AG147" s="106">
        <v>26280</v>
      </c>
      <c r="AH147" s="106">
        <v>18120.934640522875</v>
      </c>
      <c r="AI147" s="106">
        <v>25634.612745098038</v>
      </c>
      <c r="AJ147" s="106">
        <v>32256.818627450979</v>
      </c>
      <c r="AK147" s="104">
        <v>27895.92320261438</v>
      </c>
      <c r="AM147" s="118">
        <v>651</v>
      </c>
      <c r="AN147" s="118">
        <v>18353</v>
      </c>
      <c r="AO147" s="118">
        <v>89</v>
      </c>
      <c r="AP147" s="118">
        <f t="shared" si="2"/>
        <v>550</v>
      </c>
    </row>
    <row r="148" spans="1:42" ht="12.75">
      <c r="A148" s="106">
        <v>2018</v>
      </c>
      <c r="B148" s="106">
        <v>-150145</v>
      </c>
      <c r="C148" s="106">
        <v>0</v>
      </c>
      <c r="D148" s="106">
        <v>150145</v>
      </c>
      <c r="E148" s="106" t="s">
        <v>362</v>
      </c>
      <c r="F148" s="106" t="s">
        <v>363</v>
      </c>
      <c r="G148" s="106" t="s">
        <v>161</v>
      </c>
      <c r="H148" s="106">
        <v>6</v>
      </c>
      <c r="I148" s="106" t="s">
        <v>3640</v>
      </c>
      <c r="J148" s="106">
        <v>28030</v>
      </c>
      <c r="K148" s="106">
        <v>20247</v>
      </c>
      <c r="L148" s="106">
        <v>16920</v>
      </c>
      <c r="M148" s="106">
        <v>0.45</v>
      </c>
      <c r="N148" s="106">
        <v>0.65</v>
      </c>
      <c r="O148" s="106">
        <v>0.99</v>
      </c>
      <c r="P148" s="106">
        <v>14147</v>
      </c>
      <c r="Q148" s="106">
        <v>9093.4501872659184</v>
      </c>
      <c r="R148" s="106">
        <v>0.40644366098863949</v>
      </c>
      <c r="S148" s="106">
        <v>24210.599250936331</v>
      </c>
      <c r="T148" s="106">
        <v>22480.34756554307</v>
      </c>
      <c r="U148" s="106">
        <v>19874.17227753302</v>
      </c>
      <c r="V148" s="106">
        <v>0.66819194340813193</v>
      </c>
      <c r="W148" s="106">
        <v>57741.083333333336</v>
      </c>
      <c r="X148" s="110">
        <v>0.48484305759330898</v>
      </c>
      <c r="Y148" s="106">
        <v>387.794701986755</v>
      </c>
      <c r="Z148" s="106">
        <v>13.261589403973511</v>
      </c>
      <c r="AA148" s="106">
        <v>61559.211114864462</v>
      </c>
      <c r="AB148" s="106">
        <v>679.64598571921158</v>
      </c>
      <c r="AC148" s="106">
        <v>1.6244522661833365</v>
      </c>
      <c r="AD148" s="106">
        <v>34.479999999999997</v>
      </c>
      <c r="AE148" s="106">
        <v>90.575406032482604</v>
      </c>
      <c r="AF148" s="106">
        <v>8.7378465128664845E-2</v>
      </c>
      <c r="AG148" s="106">
        <v>27580</v>
      </c>
      <c r="AH148" s="106">
        <v>19987.016479400751</v>
      </c>
      <c r="AI148" s="106">
        <v>24210.599250936331</v>
      </c>
      <c r="AJ148" s="106">
        <v>24668.668164794006</v>
      </c>
      <c r="AK148" s="104">
        <v>19891.525842696628</v>
      </c>
      <c r="AM148" s="118">
        <v>1330</v>
      </c>
      <c r="AN148" s="118">
        <v>39038</v>
      </c>
      <c r="AO148" s="118">
        <v>336</v>
      </c>
      <c r="AP148" s="118">
        <f t="shared" si="2"/>
        <v>450</v>
      </c>
    </row>
    <row r="149" spans="1:42" ht="12.75">
      <c r="A149" s="106">
        <v>2018</v>
      </c>
      <c r="B149" s="106">
        <v>-154749</v>
      </c>
      <c r="C149" s="106">
        <v>0</v>
      </c>
      <c r="D149" s="106">
        <v>154749</v>
      </c>
      <c r="E149" s="106" t="s">
        <v>364</v>
      </c>
      <c r="F149" s="106" t="s">
        <v>365</v>
      </c>
      <c r="G149" s="106" t="s">
        <v>129</v>
      </c>
      <c r="H149" s="106">
        <v>7</v>
      </c>
      <c r="I149" s="106" t="s">
        <v>3641</v>
      </c>
      <c r="J149" s="106">
        <v>27720</v>
      </c>
      <c r="K149" s="106">
        <v>22211</v>
      </c>
      <c r="L149" s="106">
        <v>22522</v>
      </c>
      <c r="M149" s="106">
        <v>0.41</v>
      </c>
      <c r="N149" s="106">
        <v>0.75</v>
      </c>
      <c r="O149" s="106">
        <v>0.99</v>
      </c>
      <c r="P149" s="106">
        <v>15806</v>
      </c>
      <c r="Q149" s="106">
        <v>13977.943434343435</v>
      </c>
      <c r="R149" s="106">
        <v>0.50371521055577717</v>
      </c>
      <c r="S149" s="106">
        <v>26546.70505050505</v>
      </c>
      <c r="T149" s="106">
        <v>29055.941414141413</v>
      </c>
      <c r="U149" s="106">
        <v>24058.404269249324</v>
      </c>
      <c r="V149" s="106">
        <v>0.57242996505608323</v>
      </c>
      <c r="W149" s="106">
        <v>54945.676537585416</v>
      </c>
      <c r="X149" s="110">
        <v>0.55903196418528356</v>
      </c>
      <c r="Y149" s="106">
        <v>289.38311688311688</v>
      </c>
      <c r="Z149" s="106">
        <v>9.6428571428571423</v>
      </c>
      <c r="AA149" s="106">
        <v>124051.14701331682</v>
      </c>
      <c r="AB149" s="106">
        <v>801.67688409817674</v>
      </c>
      <c r="AC149" s="106">
        <v>0.80611910818740795</v>
      </c>
      <c r="AD149" s="106">
        <v>19.4331983805668</v>
      </c>
      <c r="AE149" s="106">
        <v>154.73958333333334</v>
      </c>
      <c r="AF149" s="106">
        <v>7.0866322254132799E-3</v>
      </c>
      <c r="AG149" s="106">
        <v>27480</v>
      </c>
      <c r="AH149" s="106">
        <v>21097.357575757575</v>
      </c>
      <c r="AI149" s="106">
        <v>27640.80404040404</v>
      </c>
      <c r="AJ149" s="106">
        <v>29589.850505050505</v>
      </c>
      <c r="AK149" s="104">
        <v>26152.010101010103</v>
      </c>
      <c r="AM149" s="118">
        <v>503</v>
      </c>
      <c r="AN149" s="118">
        <v>14855</v>
      </c>
      <c r="AO149" s="118">
        <v>87</v>
      </c>
      <c r="AP149" s="118">
        <f t="shared" si="2"/>
        <v>240</v>
      </c>
    </row>
    <row r="150" spans="1:42" ht="12.75">
      <c r="A150" s="106">
        <v>2018</v>
      </c>
      <c r="B150" s="106">
        <v>-173160</v>
      </c>
      <c r="C150" s="106">
        <v>0</v>
      </c>
      <c r="D150" s="106">
        <v>173160</v>
      </c>
      <c r="E150" s="106" t="s">
        <v>4246</v>
      </c>
      <c r="F150" s="106" t="s">
        <v>366</v>
      </c>
      <c r="G150" s="106" t="s">
        <v>113</v>
      </c>
      <c r="H150" s="106">
        <v>6</v>
      </c>
      <c r="I150" s="106" t="s">
        <v>3640</v>
      </c>
      <c r="J150" s="106">
        <v>36210</v>
      </c>
      <c r="K150" s="106">
        <v>27085</v>
      </c>
      <c r="L150" s="106">
        <v>18177</v>
      </c>
      <c r="M150" s="106">
        <v>0.28000000000000003</v>
      </c>
      <c r="N150" s="106">
        <v>0.71</v>
      </c>
      <c r="O150" s="106">
        <v>1</v>
      </c>
      <c r="P150" s="106">
        <v>19680</v>
      </c>
      <c r="Q150" s="106">
        <v>10774.22130697419</v>
      </c>
      <c r="R150" s="106">
        <v>0.38670271437620884</v>
      </c>
      <c r="S150" s="106">
        <v>26691.170785282811</v>
      </c>
      <c r="T150" s="106">
        <v>26849.889621087314</v>
      </c>
      <c r="U150" s="106">
        <v>21619.592161781042</v>
      </c>
      <c r="V150" s="106">
        <v>0.7903732202616145</v>
      </c>
      <c r="W150" s="106">
        <v>79955.475887170163</v>
      </c>
      <c r="X150" s="110">
        <v>0.59906258990814942</v>
      </c>
      <c r="Y150" s="106">
        <v>377.69027611044413</v>
      </c>
      <c r="Z150" s="106">
        <v>13.116446578631452</v>
      </c>
      <c r="AA150" s="106">
        <v>71063.677484843458</v>
      </c>
      <c r="AB150" s="106">
        <v>750.80626528726975</v>
      </c>
      <c r="AC150" s="106">
        <v>1.4071886445973487</v>
      </c>
      <c r="AD150" s="106">
        <v>35.320369780044629</v>
      </c>
      <c r="AE150" s="106">
        <v>94.649819494584833</v>
      </c>
      <c r="AF150" s="106">
        <v>3.2431188507338497E-2</v>
      </c>
      <c r="AG150" s="106">
        <v>36060</v>
      </c>
      <c r="AH150" s="106">
        <v>24394.433003844042</v>
      </c>
      <c r="AI150" s="106">
        <v>26691.170785282811</v>
      </c>
      <c r="AJ150" s="106">
        <v>28383.46622734761</v>
      </c>
      <c r="AK150" s="104">
        <v>21926.696320702911</v>
      </c>
      <c r="AM150" s="118">
        <v>2901</v>
      </c>
      <c r="AN150" s="118">
        <v>104872</v>
      </c>
      <c r="AO150" s="118">
        <v>708</v>
      </c>
      <c r="AP150" s="118">
        <f t="shared" si="2"/>
        <v>150</v>
      </c>
    </row>
    <row r="151" spans="1:42" ht="12.75">
      <c r="A151" s="106">
        <v>2018</v>
      </c>
      <c r="B151" s="106">
        <v>-219718</v>
      </c>
      <c r="C151" s="106">
        <v>0</v>
      </c>
      <c r="D151" s="106">
        <v>219718</v>
      </c>
      <c r="E151" s="106" t="s">
        <v>3900</v>
      </c>
      <c r="F151" s="106" t="s">
        <v>367</v>
      </c>
      <c r="G151" s="106" t="s">
        <v>255</v>
      </c>
      <c r="H151" s="106">
        <v>6</v>
      </c>
      <c r="I151" s="106" t="s">
        <v>3640</v>
      </c>
      <c r="J151" s="106">
        <v>11065</v>
      </c>
      <c r="K151" s="106">
        <v>15018</v>
      </c>
      <c r="L151" s="106">
        <v>14932</v>
      </c>
      <c r="M151" s="106">
        <v>0.7</v>
      </c>
      <c r="N151" s="106">
        <v>0.84</v>
      </c>
      <c r="O151" s="106">
        <v>0.85</v>
      </c>
      <c r="P151" s="106">
        <v>9663</v>
      </c>
      <c r="Q151" s="106">
        <v>3810.7394262052649</v>
      </c>
      <c r="R151" s="106">
        <v>0.25004025955370174</v>
      </c>
      <c r="S151" s="106">
        <v>15877.728482697426</v>
      </c>
      <c r="T151" s="106">
        <v>15925.01952085182</v>
      </c>
      <c r="U151" s="106">
        <v>14638.026027802425</v>
      </c>
      <c r="V151" s="106">
        <v>0.78082686514195276</v>
      </c>
      <c r="W151" s="106">
        <v>47609.954974986103</v>
      </c>
      <c r="X151" s="110">
        <v>0.5302522686032487</v>
      </c>
      <c r="Y151" s="106">
        <v>423.44588744588742</v>
      </c>
      <c r="Z151" s="106">
        <v>14.636363636363637</v>
      </c>
      <c r="AA151" s="106">
        <v>46733.867799811145</v>
      </c>
      <c r="AB151" s="106">
        <v>505.96186717919358</v>
      </c>
      <c r="AC151" s="106">
        <v>2.13977581372805</v>
      </c>
      <c r="AD151" s="106">
        <v>22.122414873616044</v>
      </c>
      <c r="AE151" s="106">
        <v>92.366383380547688</v>
      </c>
      <c r="AF151" s="106">
        <v>8.5959682503450891E-3</v>
      </c>
      <c r="AG151" s="106">
        <v>9805</v>
      </c>
      <c r="AH151" s="106">
        <v>14380.408459035789</v>
      </c>
      <c r="AI151" s="106">
        <v>15877.728482697426</v>
      </c>
      <c r="AJ151" s="106">
        <v>16015.86394557823</v>
      </c>
      <c r="AK151" s="104">
        <v>14638.026027802425</v>
      </c>
      <c r="AM151" s="118">
        <v>4829</v>
      </c>
      <c r="AN151" s="118">
        <v>97816</v>
      </c>
      <c r="AO151" s="118">
        <v>714</v>
      </c>
      <c r="AP151" s="118">
        <f t="shared" si="2"/>
        <v>1260</v>
      </c>
    </row>
    <row r="152" spans="1:42" ht="12.75">
      <c r="A152" s="106">
        <v>2018</v>
      </c>
      <c r="B152" s="106">
        <v>-132602</v>
      </c>
      <c r="C152" s="106">
        <v>0</v>
      </c>
      <c r="D152" s="106">
        <v>132602</v>
      </c>
      <c r="E152" s="106" t="s">
        <v>368</v>
      </c>
      <c r="F152" s="106" t="s">
        <v>369</v>
      </c>
      <c r="G152" s="106" t="s">
        <v>258</v>
      </c>
      <c r="H152" s="106">
        <v>7</v>
      </c>
      <c r="I152" s="106" t="s">
        <v>3641</v>
      </c>
      <c r="J152" s="106">
        <v>14410</v>
      </c>
      <c r="K152" s="106">
        <v>15309</v>
      </c>
      <c r="L152" s="106">
        <v>14048</v>
      </c>
      <c r="M152" s="106">
        <v>0.82</v>
      </c>
      <c r="N152" s="106">
        <v>0.88</v>
      </c>
      <c r="O152" s="106">
        <v>0.88</v>
      </c>
      <c r="P152" s="106">
        <v>5331</v>
      </c>
      <c r="Q152" s="106">
        <v>3089.7768697374936</v>
      </c>
      <c r="R152" s="106">
        <v>0.21794110678313655</v>
      </c>
      <c r="S152" s="106">
        <v>21269.214214957901</v>
      </c>
      <c r="T152" s="106">
        <v>24044.38509162952</v>
      </c>
      <c r="U152" s="106">
        <v>15272.091324731035</v>
      </c>
      <c r="V152" s="106">
        <v>0.72598711400720062</v>
      </c>
      <c r="W152" s="106">
        <v>62602.675047438337</v>
      </c>
      <c r="X152" s="110">
        <v>0.45306681519227271</v>
      </c>
      <c r="Y152" s="106">
        <v>485.02953020134225</v>
      </c>
      <c r="Z152" s="106">
        <v>16.260402684563758</v>
      </c>
      <c r="AA152" s="106">
        <v>108001.23427191579</v>
      </c>
      <c r="AB152" s="106">
        <v>511.99017650012797</v>
      </c>
      <c r="AC152" s="106">
        <v>0.92591534415457688</v>
      </c>
      <c r="AD152" s="106">
        <v>14.33592769269395</v>
      </c>
      <c r="AE152" s="106">
        <v>210.94395796847635</v>
      </c>
      <c r="AF152" s="106">
        <v>-8.6795671468819405E-2</v>
      </c>
      <c r="AG152" s="106">
        <v>13440</v>
      </c>
      <c r="AH152" s="106">
        <v>21120.065378900446</v>
      </c>
      <c r="AI152" s="106">
        <v>22572.245913818722</v>
      </c>
      <c r="AJ152" s="106">
        <v>21993.26993561169</v>
      </c>
      <c r="AK152" s="104">
        <v>17092.953442298167</v>
      </c>
      <c r="AM152" s="118">
        <v>3992</v>
      </c>
      <c r="AN152" s="118">
        <v>120449</v>
      </c>
      <c r="AO152" s="118">
        <v>508</v>
      </c>
      <c r="AP152" s="118">
        <f t="shared" si="2"/>
        <v>970</v>
      </c>
    </row>
    <row r="153" spans="1:42" ht="12.75">
      <c r="A153" s="106">
        <v>2018</v>
      </c>
      <c r="B153" s="106">
        <v>-102429</v>
      </c>
      <c r="C153" s="106">
        <v>0</v>
      </c>
      <c r="D153" s="106">
        <v>102429</v>
      </c>
      <c r="E153" s="106" t="s">
        <v>370</v>
      </c>
      <c r="F153" s="106" t="s">
        <v>371</v>
      </c>
      <c r="G153" s="106" t="s">
        <v>85</v>
      </c>
      <c r="H153" s="106">
        <v>4</v>
      </c>
      <c r="I153" s="106" t="s">
        <v>24</v>
      </c>
      <c r="J153" s="106">
        <v>4470</v>
      </c>
      <c r="K153" s="106">
        <v>7671</v>
      </c>
      <c r="L153" s="106">
        <v>7483</v>
      </c>
      <c r="M153" s="106">
        <v>0.59</v>
      </c>
      <c r="N153" s="106">
        <v>0.03</v>
      </c>
      <c r="O153" s="106">
        <v>0.37</v>
      </c>
      <c r="P153" s="106">
        <v>3786</v>
      </c>
      <c r="Q153" s="106">
        <v>757.10385438972162</v>
      </c>
      <c r="R153" s="106">
        <v>0.16451709491754737</v>
      </c>
      <c r="S153" s="106">
        <v>14816.477872947895</v>
      </c>
      <c r="T153" s="106">
        <v>15723.364382583868</v>
      </c>
      <c r="U153" s="106">
        <v>10867.374348161185</v>
      </c>
      <c r="V153" s="106">
        <v>0.35379962304739537</v>
      </c>
      <c r="W153" s="106">
        <v>62221.693975903618</v>
      </c>
      <c r="X153" s="110">
        <v>0.58610620224084475</v>
      </c>
      <c r="Y153" s="106">
        <v>420.94657762938226</v>
      </c>
      <c r="Z153" s="106">
        <v>14.033388981636058</v>
      </c>
      <c r="AA153" s="106">
        <v>27910.525136157325</v>
      </c>
      <c r="AB153" s="106">
        <v>362.29322090146985</v>
      </c>
      <c r="AC153" s="106">
        <v>3.5828777678730499</v>
      </c>
      <c r="AD153" s="106">
        <v>46.386054421768705</v>
      </c>
      <c r="AE153" s="106">
        <v>77.038496791934008</v>
      </c>
      <c r="AF153" s="106">
        <v>-9.0056661479863395E-2</v>
      </c>
      <c r="AG153" s="106">
        <v>3570</v>
      </c>
      <c r="AH153" s="106">
        <v>13376.00499643112</v>
      </c>
      <c r="AI153" s="106">
        <v>13376.00499643112</v>
      </c>
      <c r="AJ153" s="106">
        <v>14822.94789436117</v>
      </c>
      <c r="AK153" s="104">
        <v>12677.996431120628</v>
      </c>
      <c r="AL153" s="119">
        <v>15959078</v>
      </c>
      <c r="AM153" s="118">
        <v>3872</v>
      </c>
      <c r="AN153" s="118">
        <v>84049</v>
      </c>
      <c r="AO153" s="118">
        <v>489</v>
      </c>
      <c r="AP153" s="118">
        <f t="shared" si="2"/>
        <v>900</v>
      </c>
    </row>
    <row r="154" spans="1:42" ht="12.75">
      <c r="A154" s="106">
        <v>2018</v>
      </c>
      <c r="B154" s="106">
        <v>-234711</v>
      </c>
      <c r="C154" s="106">
        <v>0</v>
      </c>
      <c r="D154" s="106">
        <v>234711</v>
      </c>
      <c r="E154" s="106" t="s">
        <v>372</v>
      </c>
      <c r="F154" s="106" t="s">
        <v>373</v>
      </c>
      <c r="G154" s="106" t="s">
        <v>182</v>
      </c>
      <c r="H154" s="106">
        <v>4</v>
      </c>
      <c r="I154" s="106" t="s">
        <v>24</v>
      </c>
      <c r="J154" s="106">
        <v>3852</v>
      </c>
      <c r="K154" s="106">
        <v>7421</v>
      </c>
      <c r="L154" s="106">
        <v>5815</v>
      </c>
      <c r="M154" s="106">
        <v>0.52</v>
      </c>
      <c r="N154" s="106">
        <v>0.13</v>
      </c>
      <c r="O154" s="106">
        <v>0.41</v>
      </c>
      <c r="P154" s="106">
        <v>891</v>
      </c>
      <c r="Q154" s="106">
        <v>548.77118644067798</v>
      </c>
      <c r="R154" s="106">
        <v>0.12156079898418687</v>
      </c>
      <c r="S154" s="106">
        <v>17465.869491525424</v>
      </c>
      <c r="T154" s="106">
        <v>18135.501129943503</v>
      </c>
      <c r="U154" s="106">
        <v>13631.523163841808</v>
      </c>
      <c r="V154" s="106">
        <v>0.29091430481259045</v>
      </c>
      <c r="W154" s="106">
        <v>76357.60391566265</v>
      </c>
      <c r="X154" s="110">
        <v>0.52649747099961908</v>
      </c>
      <c r="Y154" s="106">
        <v>1143.0430622009569</v>
      </c>
      <c r="Z154" s="106">
        <v>25.406698564593299</v>
      </c>
      <c r="AA154" s="106">
        <v>23022.706106870228</v>
      </c>
      <c r="AB154" s="106">
        <v>302.99120956399435</v>
      </c>
      <c r="AC154" s="106">
        <v>4.3435380504709178</v>
      </c>
      <c r="AD154" s="106">
        <v>64.532019704433495</v>
      </c>
      <c r="AE154" s="106">
        <v>75.984732824427482</v>
      </c>
      <c r="AF154" s="106">
        <v>4.1811250858008964E-2</v>
      </c>
      <c r="AG154" s="106">
        <v>3852</v>
      </c>
      <c r="AH154" s="106">
        <v>16450.812429378529</v>
      </c>
      <c r="AI154" s="106">
        <v>16450.812429378529</v>
      </c>
      <c r="AJ154" s="106">
        <v>17568.454802259886</v>
      </c>
      <c r="AK154" s="104">
        <v>16117.985875706214</v>
      </c>
      <c r="AL154" s="119">
        <v>10976543</v>
      </c>
      <c r="AM154" s="118">
        <v>1975</v>
      </c>
      <c r="AN154" s="118">
        <v>79632</v>
      </c>
      <c r="AO154" s="118">
        <v>469</v>
      </c>
      <c r="AP154" s="118">
        <f t="shared" si="2"/>
        <v>0</v>
      </c>
    </row>
    <row r="155" spans="1:42" ht="12.75">
      <c r="A155" s="106">
        <v>2018</v>
      </c>
      <c r="B155" s="106">
        <v>-157553</v>
      </c>
      <c r="C155" s="106">
        <v>0</v>
      </c>
      <c r="D155" s="106">
        <v>157553</v>
      </c>
      <c r="E155" s="106" t="s">
        <v>4047</v>
      </c>
      <c r="F155" s="106" t="s">
        <v>4048</v>
      </c>
      <c r="G155" s="106" t="s">
        <v>118</v>
      </c>
      <c r="H155" s="106">
        <v>4</v>
      </c>
      <c r="I155" s="106" t="s">
        <v>24</v>
      </c>
      <c r="J155" s="106">
        <v>4080</v>
      </c>
      <c r="K155" s="106">
        <v>5398</v>
      </c>
      <c r="L155" s="106">
        <v>4206</v>
      </c>
      <c r="M155" s="106">
        <v>0.8</v>
      </c>
      <c r="N155" s="106">
        <v>0.26</v>
      </c>
      <c r="O155" s="106">
        <v>0.17</v>
      </c>
      <c r="P155" s="106">
        <v>1336</v>
      </c>
      <c r="Q155" s="106">
        <v>4173.6685272649202</v>
      </c>
      <c r="R155" s="106">
        <v>0.78936036343887073</v>
      </c>
      <c r="S155" s="106">
        <v>12940.121511378275</v>
      </c>
      <c r="T155" s="106">
        <v>11657.630313439244</v>
      </c>
      <c r="U155" s="106">
        <v>8610.5789451183773</v>
      </c>
      <c r="V155" s="106">
        <v>0.12934521980183306</v>
      </c>
      <c r="W155" s="106">
        <v>57867.266066838049</v>
      </c>
      <c r="X155" s="110">
        <v>0.55272809413825197</v>
      </c>
      <c r="Y155" s="106">
        <v>572.67213114754099</v>
      </c>
      <c r="Z155" s="106">
        <v>19.090163934426229</v>
      </c>
      <c r="AA155" s="106">
        <v>11817.34729710118</v>
      </c>
      <c r="AB155" s="106">
        <v>287.03573072997881</v>
      </c>
      <c r="AC155" s="106">
        <v>8.4621360010744731</v>
      </c>
      <c r="AD155" s="106">
        <v>61.065131342209433</v>
      </c>
      <c r="AE155" s="106">
        <v>41.170300530347674</v>
      </c>
      <c r="AF155" s="106"/>
      <c r="AG155" s="106">
        <v>3888</v>
      </c>
      <c r="AH155" s="106">
        <v>12076.640618291112</v>
      </c>
      <c r="AI155" s="106">
        <v>12130.128810648346</v>
      </c>
      <c r="AJ155" s="106">
        <v>12978.67239158437</v>
      </c>
      <c r="AK155" s="104">
        <v>11154.868613138686</v>
      </c>
      <c r="AL155" s="118">
        <v>11562725</v>
      </c>
      <c r="AM155" s="118">
        <v>4346</v>
      </c>
      <c r="AN155" s="118">
        <v>69866</v>
      </c>
      <c r="AO155" s="118">
        <v>549</v>
      </c>
      <c r="AP155" s="118">
        <f t="shared" si="2"/>
        <v>192</v>
      </c>
    </row>
    <row r="156" spans="1:42" ht="12.75">
      <c r="A156" s="106">
        <v>2018</v>
      </c>
      <c r="B156" s="106">
        <v>-196079</v>
      </c>
      <c r="C156" s="106">
        <v>0</v>
      </c>
      <c r="D156" s="106">
        <v>196079</v>
      </c>
      <c r="E156" s="106" t="s">
        <v>4049</v>
      </c>
      <c r="F156" s="106" t="s">
        <v>2648</v>
      </c>
      <c r="G156" s="106" t="s">
        <v>69</v>
      </c>
      <c r="H156" s="106">
        <v>1</v>
      </c>
      <c r="I156" s="106" t="s">
        <v>23</v>
      </c>
      <c r="J156" s="106">
        <v>9523</v>
      </c>
      <c r="K156" s="106">
        <v>16440</v>
      </c>
      <c r="L156" s="106">
        <v>11867</v>
      </c>
      <c r="M156" s="106">
        <v>0.27</v>
      </c>
      <c r="N156" s="106">
        <v>0.51</v>
      </c>
      <c r="O156" s="106">
        <v>0.46</v>
      </c>
      <c r="P156" s="106">
        <v>3269</v>
      </c>
      <c r="Q156" s="106">
        <v>1470.4650523483651</v>
      </c>
      <c r="R156" s="106">
        <v>0.14062575155057672</v>
      </c>
      <c r="S156" s="106">
        <v>33478.087442241325</v>
      </c>
      <c r="T156" s="106">
        <v>32923.211382113819</v>
      </c>
      <c r="U156" s="106">
        <v>19342.943309124395</v>
      </c>
      <c r="V156" s="106">
        <v>0.46456835924858891</v>
      </c>
      <c r="W156" s="106">
        <v>131166.1318726184</v>
      </c>
      <c r="X156" s="110">
        <v>0.57075207899430891</v>
      </c>
      <c r="Y156" s="106">
        <v>596.17844311377246</v>
      </c>
      <c r="Z156" s="106">
        <v>20.475449101796407</v>
      </c>
      <c r="AA156" s="106">
        <v>70724.187715162479</v>
      </c>
      <c r="AB156" s="106">
        <v>664.32366983340955</v>
      </c>
      <c r="AC156" s="106">
        <v>1.4139434220544764</v>
      </c>
      <c r="AD156" s="106">
        <v>28.955353272648459</v>
      </c>
      <c r="AE156" s="106">
        <v>106.46043627031651</v>
      </c>
      <c r="AF156" s="106">
        <v>0.12004884578159154</v>
      </c>
      <c r="AG156" s="106">
        <v>6670</v>
      </c>
      <c r="AH156" s="106">
        <v>33977.861320699536</v>
      </c>
      <c r="AI156" s="106">
        <v>34129.622857811315</v>
      </c>
      <c r="AJ156" s="106">
        <v>33687.071299058312</v>
      </c>
      <c r="AK156" s="104">
        <v>24186.07153301749</v>
      </c>
      <c r="AL156" s="118">
        <v>196548914</v>
      </c>
      <c r="AM156" s="118">
        <v>13737</v>
      </c>
      <c r="AN156" s="118">
        <v>497809</v>
      </c>
      <c r="AO156" s="118">
        <v>3344</v>
      </c>
      <c r="AP156" s="118">
        <f t="shared" si="2"/>
        <v>2853</v>
      </c>
    </row>
    <row r="157" spans="1:42" ht="12.75">
      <c r="A157" s="106">
        <v>2018</v>
      </c>
      <c r="B157" s="106">
        <v>-110097</v>
      </c>
      <c r="C157" s="106">
        <v>0</v>
      </c>
      <c r="D157" s="106">
        <v>110097</v>
      </c>
      <c r="E157" s="106" t="s">
        <v>374</v>
      </c>
      <c r="F157" s="106" t="s">
        <v>375</v>
      </c>
      <c r="G157" s="106" t="s">
        <v>121</v>
      </c>
      <c r="H157" s="106">
        <v>5</v>
      </c>
      <c r="I157" s="106" t="s">
        <v>3639</v>
      </c>
      <c r="J157" s="106">
        <v>38448</v>
      </c>
      <c r="K157" s="106">
        <v>32729</v>
      </c>
      <c r="L157" s="106">
        <v>24865</v>
      </c>
      <c r="M157" s="106">
        <v>0.3</v>
      </c>
      <c r="N157" s="106">
        <v>0.62</v>
      </c>
      <c r="O157" s="106">
        <v>0.99</v>
      </c>
      <c r="P157" s="106">
        <v>17195</v>
      </c>
      <c r="Q157" s="106">
        <v>10938.378161380972</v>
      </c>
      <c r="R157" s="106">
        <v>0.32573805866213978</v>
      </c>
      <c r="S157" s="106">
        <v>31994.179044560417</v>
      </c>
      <c r="T157" s="106">
        <v>31575.672420714571</v>
      </c>
      <c r="U157" s="106">
        <v>24297.702296438674</v>
      </c>
      <c r="V157" s="106">
        <v>0.93185399190949958</v>
      </c>
      <c r="W157" s="106">
        <v>93182.516810758883</v>
      </c>
      <c r="X157" s="110">
        <v>0.61663594177102532</v>
      </c>
      <c r="Y157" s="106">
        <v>415.99416909620993</v>
      </c>
      <c r="Z157" s="106">
        <v>14.524781341107872</v>
      </c>
      <c r="AA157" s="106">
        <v>86465.109172041048</v>
      </c>
      <c r="AB157" s="106">
        <v>848.37442244409033</v>
      </c>
      <c r="AC157" s="106">
        <v>1.1565358669822339</v>
      </c>
      <c r="AD157" s="106">
        <v>26.350461133069832</v>
      </c>
      <c r="AE157" s="106">
        <v>101.91857142857143</v>
      </c>
      <c r="AF157" s="106">
        <v>5.3041035535034517E-2</v>
      </c>
      <c r="AG157" s="106">
        <v>38448</v>
      </c>
      <c r="AH157" s="106">
        <v>29682.858289843436</v>
      </c>
      <c r="AI157" s="106">
        <v>32075.672420714571</v>
      </c>
      <c r="AJ157" s="106">
        <v>34424.929747089525</v>
      </c>
      <c r="AK157" s="104">
        <v>26200.12043356082</v>
      </c>
      <c r="AM157" s="118">
        <v>4048</v>
      </c>
      <c r="AN157" s="118">
        <v>142686</v>
      </c>
      <c r="AO157" s="118">
        <v>891</v>
      </c>
      <c r="AP157" s="118">
        <f t="shared" si="2"/>
        <v>0</v>
      </c>
    </row>
    <row r="158" spans="1:42" ht="12.75">
      <c r="A158" s="106">
        <v>2018</v>
      </c>
      <c r="B158" s="106">
        <v>-100937</v>
      </c>
      <c r="C158" s="106">
        <v>0</v>
      </c>
      <c r="D158" s="106">
        <v>100937</v>
      </c>
      <c r="E158" s="106" t="s">
        <v>376</v>
      </c>
      <c r="F158" s="106" t="s">
        <v>377</v>
      </c>
      <c r="G158" s="106" t="s">
        <v>85</v>
      </c>
      <c r="H158" s="106">
        <v>7</v>
      </c>
      <c r="I158" s="106" t="s">
        <v>3641</v>
      </c>
      <c r="J158" s="106">
        <v>35804</v>
      </c>
      <c r="K158" s="106">
        <v>26863</v>
      </c>
      <c r="L158" s="106">
        <v>24110</v>
      </c>
      <c r="M158" s="106">
        <v>0.27</v>
      </c>
      <c r="N158" s="106">
        <v>0.54</v>
      </c>
      <c r="O158" s="106">
        <v>1</v>
      </c>
      <c r="P158" s="106">
        <v>23612</v>
      </c>
      <c r="Q158" s="106">
        <v>21735.382005899704</v>
      </c>
      <c r="R158" s="106">
        <v>0.65629223646356172</v>
      </c>
      <c r="S158" s="106">
        <v>28832.829646017701</v>
      </c>
      <c r="T158" s="106">
        <v>34892.140117994102</v>
      </c>
      <c r="U158" s="106">
        <v>26791.089970501474</v>
      </c>
      <c r="V158" s="106">
        <v>0.42488262316330566</v>
      </c>
      <c r="W158" s="106">
        <v>73946.216828478966</v>
      </c>
      <c r="X158" s="110">
        <v>0.48293328817661474</v>
      </c>
      <c r="Y158" s="106">
        <v>405.5282392026578</v>
      </c>
      <c r="Z158" s="106">
        <v>13.514950166112957</v>
      </c>
      <c r="AA158" s="106">
        <v>128825.24113475178</v>
      </c>
      <c r="AB158" s="106">
        <v>892.86074518285488</v>
      </c>
      <c r="AC158" s="106">
        <v>0.77624539352035493</v>
      </c>
      <c r="AD158" s="106">
        <v>22.100313479623821</v>
      </c>
      <c r="AE158" s="106">
        <v>144.28368794326241</v>
      </c>
      <c r="AF158" s="106">
        <v>-3.3224534134217873E-2</v>
      </c>
      <c r="AG158" s="106">
        <v>34544</v>
      </c>
      <c r="AH158" s="106">
        <v>24987.745575221237</v>
      </c>
      <c r="AI158" s="106">
        <v>28832.829646017701</v>
      </c>
      <c r="AJ158" s="106">
        <v>31790.431415929204</v>
      </c>
      <c r="AK158" s="104">
        <v>27023.006637168142</v>
      </c>
      <c r="AM158" s="118">
        <v>1283</v>
      </c>
      <c r="AN158" s="118">
        <v>40688</v>
      </c>
      <c r="AO158" s="118">
        <v>282</v>
      </c>
      <c r="AP158" s="118">
        <f t="shared" si="2"/>
        <v>1260</v>
      </c>
    </row>
    <row r="159" spans="1:42" ht="12.75">
      <c r="A159" s="106">
        <v>2018</v>
      </c>
      <c r="B159" s="106">
        <v>-102030</v>
      </c>
      <c r="C159" s="106">
        <v>0</v>
      </c>
      <c r="D159" s="106">
        <v>102030</v>
      </c>
      <c r="E159" s="106" t="s">
        <v>378</v>
      </c>
      <c r="F159" s="106" t="s">
        <v>379</v>
      </c>
      <c r="G159" s="106" t="s">
        <v>85</v>
      </c>
      <c r="H159" s="106">
        <v>4</v>
      </c>
      <c r="I159" s="106" t="s">
        <v>24</v>
      </c>
      <c r="J159" s="106">
        <v>4440</v>
      </c>
      <c r="K159" s="106">
        <v>4708</v>
      </c>
      <c r="L159" s="106">
        <v>4110</v>
      </c>
      <c r="M159" s="106">
        <v>0.79</v>
      </c>
      <c r="N159" s="106">
        <v>0</v>
      </c>
      <c r="O159" s="106">
        <v>0.26</v>
      </c>
      <c r="P159" s="106">
        <v>4066</v>
      </c>
      <c r="Q159" s="106"/>
      <c r="R159" s="106"/>
      <c r="S159" s="106">
        <v>14800.34025974026</v>
      </c>
      <c r="T159" s="106">
        <v>13887.901298701299</v>
      </c>
      <c r="U159" s="106">
        <v>9470.471428571429</v>
      </c>
      <c r="V159" s="106">
        <v>0.47747029968611937</v>
      </c>
      <c r="W159" s="106">
        <v>61073.74297188755</v>
      </c>
      <c r="X159" s="110">
        <v>0.47402940527012644</v>
      </c>
      <c r="Y159" s="106">
        <v>628.12386706948644</v>
      </c>
      <c r="Z159" s="106">
        <v>20.936555891238672</v>
      </c>
      <c r="AA159" s="106">
        <v>35688.073409461664</v>
      </c>
      <c r="AB159" s="106">
        <v>315.66871564001559</v>
      </c>
      <c r="AC159" s="106">
        <v>2.8020565540948446</v>
      </c>
      <c r="AD159" s="106">
        <v>28.915094339622645</v>
      </c>
      <c r="AE159" s="106">
        <v>113.05546492659055</v>
      </c>
      <c r="AF159" s="106">
        <v>0.10556243720634688</v>
      </c>
      <c r="AG159" s="106">
        <v>3570</v>
      </c>
      <c r="AH159" s="106">
        <v>13844.859307359307</v>
      </c>
      <c r="AI159" s="106">
        <v>13844.859307359307</v>
      </c>
      <c r="AJ159" s="106">
        <v>14810.459740259741</v>
      </c>
      <c r="AK159" s="104">
        <v>10586.656709956709</v>
      </c>
      <c r="AL159" s="118">
        <v>13932760</v>
      </c>
      <c r="AM159" s="118">
        <v>3233</v>
      </c>
      <c r="AN159" s="118">
        <v>69303</v>
      </c>
      <c r="AO159" s="118">
        <v>275</v>
      </c>
      <c r="AP159" s="118">
        <f t="shared" si="2"/>
        <v>870</v>
      </c>
    </row>
    <row r="160" spans="1:42" ht="12.75">
      <c r="A160" s="106">
        <v>2018</v>
      </c>
      <c r="B160" s="106">
        <v>-200022</v>
      </c>
      <c r="C160" s="106">
        <v>0</v>
      </c>
      <c r="D160" s="106">
        <v>200022</v>
      </c>
      <c r="E160" s="106" t="s">
        <v>380</v>
      </c>
      <c r="F160" s="106" t="s">
        <v>381</v>
      </c>
      <c r="G160" s="106" t="s">
        <v>382</v>
      </c>
      <c r="H160" s="106">
        <v>4</v>
      </c>
      <c r="I160" s="106" t="s">
        <v>24</v>
      </c>
      <c r="J160" s="106">
        <v>3832</v>
      </c>
      <c r="K160" s="106">
        <v>9390</v>
      </c>
      <c r="L160" s="106">
        <v>6763</v>
      </c>
      <c r="M160" s="106">
        <v>0.25</v>
      </c>
      <c r="N160" s="106">
        <v>0.5</v>
      </c>
      <c r="O160" s="106">
        <v>0.21</v>
      </c>
      <c r="P160" s="106">
        <v>1629</v>
      </c>
      <c r="Q160" s="106">
        <v>364.77054545454547</v>
      </c>
      <c r="R160" s="106">
        <v>5.7712415465368663E-2</v>
      </c>
      <c r="S160" s="106">
        <v>16201.010181818181</v>
      </c>
      <c r="T160" s="106">
        <v>16662.483272727273</v>
      </c>
      <c r="U160" s="106">
        <v>14553.926181818182</v>
      </c>
      <c r="V160" s="106">
        <v>0.40921713670915216</v>
      </c>
      <c r="W160" s="106">
        <v>71501.300091491314</v>
      </c>
      <c r="X160" s="110">
        <v>0.56851303338415404</v>
      </c>
      <c r="Y160" s="106">
        <v>462.56074766355135</v>
      </c>
      <c r="Z160" s="106">
        <v>15.420560747663551</v>
      </c>
      <c r="AA160" s="106">
        <v>39705.651785714283</v>
      </c>
      <c r="AB160" s="106">
        <v>485.18968359801187</v>
      </c>
      <c r="AC160" s="106">
        <v>2.5185331433339937</v>
      </c>
      <c r="AD160" s="106">
        <v>36.667879228810477</v>
      </c>
      <c r="AE160" s="106">
        <v>81.835317460317455</v>
      </c>
      <c r="AF160" s="106">
        <v>-1.5463451681353182E-2</v>
      </c>
      <c r="AG160" s="106">
        <v>3032</v>
      </c>
      <c r="AH160" s="106">
        <v>15958.075636363636</v>
      </c>
      <c r="AI160" s="106">
        <v>16367.398181818182</v>
      </c>
      <c r="AJ160" s="106">
        <v>16206.068363636363</v>
      </c>
      <c r="AK160" s="104">
        <v>14934.552363636363</v>
      </c>
      <c r="AL160" s="118">
        <v>15131390</v>
      </c>
      <c r="AM160" s="118">
        <v>3756</v>
      </c>
      <c r="AN160" s="118">
        <v>82490</v>
      </c>
      <c r="AO160" s="118">
        <v>822</v>
      </c>
      <c r="AP160" s="118">
        <f t="shared" si="2"/>
        <v>800</v>
      </c>
    </row>
    <row r="161" spans="1:42" ht="12.75">
      <c r="A161" s="106">
        <v>2018</v>
      </c>
      <c r="B161" s="106">
        <v>-143279</v>
      </c>
      <c r="C161" s="106">
        <v>0</v>
      </c>
      <c r="D161" s="106">
        <v>143279</v>
      </c>
      <c r="E161" s="106" t="s">
        <v>383</v>
      </c>
      <c r="F161" s="106" t="s">
        <v>384</v>
      </c>
      <c r="G161" s="106" t="s">
        <v>243</v>
      </c>
      <c r="H161" s="106">
        <v>4</v>
      </c>
      <c r="I161" s="106" t="s">
        <v>24</v>
      </c>
      <c r="J161" s="106">
        <v>4470</v>
      </c>
      <c r="K161" s="106">
        <v>5663</v>
      </c>
      <c r="L161" s="106">
        <v>4083</v>
      </c>
      <c r="M161" s="106">
        <v>0.44</v>
      </c>
      <c r="N161" s="106">
        <v>0.18</v>
      </c>
      <c r="O161" s="106">
        <v>0.1</v>
      </c>
      <c r="P161" s="106">
        <v>2981</v>
      </c>
      <c r="Q161" s="106">
        <v>964.25071225071224</v>
      </c>
      <c r="R161" s="106">
        <v>0.20530495901507584</v>
      </c>
      <c r="S161" s="106">
        <v>17633.459544159545</v>
      </c>
      <c r="T161" s="106">
        <v>15252.161253561253</v>
      </c>
      <c r="U161" s="106">
        <v>12059.761767613869</v>
      </c>
      <c r="V161" s="106">
        <v>0.30949404916503542</v>
      </c>
      <c r="W161" s="106">
        <v>75033.605687203788</v>
      </c>
      <c r="X161" s="110">
        <v>0.49288830879995227</v>
      </c>
      <c r="Y161" s="106">
        <v>764.84745762711873</v>
      </c>
      <c r="Z161" s="106">
        <v>25.496368038740922</v>
      </c>
      <c r="AA161" s="106">
        <v>53992.04566878148</v>
      </c>
      <c r="AB161" s="106">
        <v>402.01496575611793</v>
      </c>
      <c r="AC161" s="106">
        <v>1.852124674316991</v>
      </c>
      <c r="AD161" s="106">
        <v>27.821149751596881</v>
      </c>
      <c r="AE161" s="106">
        <v>134.30357142857142</v>
      </c>
      <c r="AF161" s="106">
        <v>9.5758335032926148E-2</v>
      </c>
      <c r="AG161" s="106">
        <v>4470</v>
      </c>
      <c r="AH161" s="106">
        <v>17090.981481481482</v>
      </c>
      <c r="AI161" s="106">
        <v>17189.114245014243</v>
      </c>
      <c r="AJ161" s="106">
        <v>17892.419943019944</v>
      </c>
      <c r="AK161" s="104">
        <v>13901.221652421653</v>
      </c>
      <c r="AL161" s="118">
        <v>39420994</v>
      </c>
      <c r="AM161" s="118">
        <v>4926</v>
      </c>
      <c r="AN161" s="118">
        <v>105294</v>
      </c>
      <c r="AO161" s="118">
        <v>545</v>
      </c>
      <c r="AP161" s="118">
        <f t="shared" si="2"/>
        <v>0</v>
      </c>
    </row>
    <row r="162" spans="1:42" ht="12.75">
      <c r="A162" s="106">
        <v>2018</v>
      </c>
      <c r="B162" s="106">
        <v>-219046</v>
      </c>
      <c r="C162" s="106">
        <v>0</v>
      </c>
      <c r="D162" s="106">
        <v>219046</v>
      </c>
      <c r="E162" s="106" t="s">
        <v>385</v>
      </c>
      <c r="F162" s="106" t="s">
        <v>386</v>
      </c>
      <c r="G162" s="106" t="s">
        <v>246</v>
      </c>
      <c r="H162" s="106">
        <v>2</v>
      </c>
      <c r="I162" s="106" t="s">
        <v>25</v>
      </c>
      <c r="J162" s="106">
        <v>8602</v>
      </c>
      <c r="K162" s="106">
        <v>15317</v>
      </c>
      <c r="L162" s="106">
        <v>13012</v>
      </c>
      <c r="M162" s="106">
        <v>0.39</v>
      </c>
      <c r="N162" s="106">
        <v>0.71</v>
      </c>
      <c r="O162" s="106">
        <v>0.49</v>
      </c>
      <c r="P162" s="106">
        <v>2522</v>
      </c>
      <c r="Q162" s="106">
        <v>1120.8480710139979</v>
      </c>
      <c r="R162" s="106">
        <v>0.14120052384549456</v>
      </c>
      <c r="S162" s="106">
        <v>16567.319562990782</v>
      </c>
      <c r="T162" s="106">
        <v>18035.462615227039</v>
      </c>
      <c r="U162" s="106">
        <v>13294.132096529824</v>
      </c>
      <c r="V162" s="106">
        <v>0.51279315791473712</v>
      </c>
      <c r="W162" s="106">
        <v>68528.975649350643</v>
      </c>
      <c r="X162" s="110">
        <v>0.53274212047998448</v>
      </c>
      <c r="Y162" s="106">
        <v>583</v>
      </c>
      <c r="Z162" s="106">
        <v>19.65771812080537</v>
      </c>
      <c r="AA162" s="106">
        <v>59087.273005668976</v>
      </c>
      <c r="AB162" s="106">
        <v>448.25437635391864</v>
      </c>
      <c r="AC162" s="106">
        <v>1.6924118327546738</v>
      </c>
      <c r="AD162" s="106">
        <v>21.944721944721945</v>
      </c>
      <c r="AE162" s="106">
        <v>131.81638846737482</v>
      </c>
      <c r="AF162" s="106">
        <v>-2.4659349875223256E-2</v>
      </c>
      <c r="AG162" s="106">
        <v>7514</v>
      </c>
      <c r="AH162" s="106">
        <v>14998.372140662343</v>
      </c>
      <c r="AI162" s="106">
        <v>16020.323659952202</v>
      </c>
      <c r="AJ162" s="106">
        <v>16579.77364288153</v>
      </c>
      <c r="AK162" s="104">
        <v>15400.371457835439</v>
      </c>
      <c r="AL162" s="118">
        <v>9837340</v>
      </c>
      <c r="AM162" s="118">
        <v>3947</v>
      </c>
      <c r="AN162" s="118">
        <v>86867</v>
      </c>
      <c r="AO162" s="118">
        <v>510</v>
      </c>
      <c r="AP162" s="118">
        <f t="shared" si="2"/>
        <v>1088</v>
      </c>
    </row>
    <row r="163" spans="1:42" ht="12.75">
      <c r="A163" s="106">
        <v>2018</v>
      </c>
      <c r="B163" s="106">
        <v>-106625</v>
      </c>
      <c r="C163" s="106">
        <v>0</v>
      </c>
      <c r="D163" s="106">
        <v>106625</v>
      </c>
      <c r="E163" s="106" t="s">
        <v>387</v>
      </c>
      <c r="F163" s="106" t="s">
        <v>388</v>
      </c>
      <c r="G163" s="106" t="s">
        <v>200</v>
      </c>
      <c r="H163" s="106">
        <v>4</v>
      </c>
      <c r="I163" s="106" t="s">
        <v>24</v>
      </c>
      <c r="J163" s="106">
        <v>3120</v>
      </c>
      <c r="K163" s="106">
        <v>6657</v>
      </c>
      <c r="L163" s="106">
        <v>6024</v>
      </c>
      <c r="M163" s="106">
        <v>0.67</v>
      </c>
      <c r="N163" s="106">
        <v>0.17</v>
      </c>
      <c r="O163" s="106">
        <v>0.1</v>
      </c>
      <c r="P163" s="106">
        <v>2332</v>
      </c>
      <c r="Q163" s="106">
        <v>22.023116438356166</v>
      </c>
      <c r="R163" s="106">
        <v>4.8606578658456166E-3</v>
      </c>
      <c r="S163" s="106">
        <v>15081.619006849314</v>
      </c>
      <c r="T163" s="106">
        <v>17853.795376712329</v>
      </c>
      <c r="U163" s="106">
        <v>9964.3083096213722</v>
      </c>
      <c r="V163" s="106">
        <v>0.4525019566582083</v>
      </c>
      <c r="W163" s="106">
        <v>59553.412429378528</v>
      </c>
      <c r="X163" s="110">
        <v>0.50548296276169746</v>
      </c>
      <c r="Y163" s="106">
        <v>438</v>
      </c>
      <c r="Z163" s="106">
        <v>14.6</v>
      </c>
      <c r="AA163" s="106">
        <v>18128.212002551034</v>
      </c>
      <c r="AB163" s="106">
        <v>332.14361032071241</v>
      </c>
      <c r="AC163" s="106">
        <v>5.5162638204985592</v>
      </c>
      <c r="AD163" s="106">
        <v>57.630161579892281</v>
      </c>
      <c r="AE163" s="106">
        <v>54.579439252336449</v>
      </c>
      <c r="AF163" s="106">
        <v>1.1708460829376354E-2</v>
      </c>
      <c r="AG163" s="106">
        <v>2208</v>
      </c>
      <c r="AH163" s="106">
        <v>13975.418664383562</v>
      </c>
      <c r="AI163" s="106">
        <v>13996.611301369863</v>
      </c>
      <c r="AJ163" s="106">
        <v>15122.1875</v>
      </c>
      <c r="AK163" s="104">
        <v>11998.657534246575</v>
      </c>
      <c r="AL163" s="118">
        <v>8330503</v>
      </c>
      <c r="AM163" s="118">
        <v>1530</v>
      </c>
      <c r="AN163" s="118">
        <v>35040</v>
      </c>
      <c r="AO163" s="118">
        <v>244</v>
      </c>
      <c r="AP163" s="118">
        <f t="shared" si="2"/>
        <v>912</v>
      </c>
    </row>
    <row r="164" spans="1:42" ht="12.75">
      <c r="A164" s="106">
        <v>2018</v>
      </c>
      <c r="B164" s="106">
        <v>-143288</v>
      </c>
      <c r="C164" s="106">
        <v>0</v>
      </c>
      <c r="D164" s="106">
        <v>143288</v>
      </c>
      <c r="E164" s="106" t="s">
        <v>389</v>
      </c>
      <c r="F164" s="106" t="s">
        <v>390</v>
      </c>
      <c r="G164" s="106" t="s">
        <v>243</v>
      </c>
      <c r="H164" s="106">
        <v>7</v>
      </c>
      <c r="I164" s="106" t="s">
        <v>3641</v>
      </c>
      <c r="J164" s="106">
        <v>21992</v>
      </c>
      <c r="K164" s="106">
        <v>16174</v>
      </c>
      <c r="L164" s="106">
        <v>15116</v>
      </c>
      <c r="M164" s="106">
        <v>0.59</v>
      </c>
      <c r="N164" s="106">
        <v>0.73</v>
      </c>
      <c r="O164" s="106">
        <v>0.99</v>
      </c>
      <c r="P164" s="106">
        <v>9326</v>
      </c>
      <c r="Q164" s="106">
        <v>7706.5842293906808</v>
      </c>
      <c r="R164" s="106">
        <v>0.37244424258675318</v>
      </c>
      <c r="S164" s="106">
        <v>24817.379928315411</v>
      </c>
      <c r="T164" s="106">
        <v>27857.322580645163</v>
      </c>
      <c r="U164" s="106">
        <v>21720.186379928316</v>
      </c>
      <c r="V164" s="106">
        <v>0.59784614744851927</v>
      </c>
      <c r="W164" s="106">
        <v>80056.534883720931</v>
      </c>
      <c r="X164" s="110">
        <v>0.59055507242293137</v>
      </c>
      <c r="Y164" s="106">
        <v>358.43571428571431</v>
      </c>
      <c r="Z164" s="106">
        <v>11.957142857142857</v>
      </c>
      <c r="AA164" s="106">
        <v>98535.479674796748</v>
      </c>
      <c r="AB164" s="106">
        <v>724.56890057990074</v>
      </c>
      <c r="AC164" s="106">
        <v>1.0148628730487406</v>
      </c>
      <c r="AD164" s="106">
        <v>22.404371584699454</v>
      </c>
      <c r="AE164" s="106">
        <v>135.99186991869919</v>
      </c>
      <c r="AF164" s="106">
        <v>5.4192804990460738E-3</v>
      </c>
      <c r="AG164" s="106">
        <v>21582</v>
      </c>
      <c r="AH164" s="106">
        <v>20422.453405017921</v>
      </c>
      <c r="AI164" s="106">
        <v>24856.571684587812</v>
      </c>
      <c r="AJ164" s="106">
        <v>28374.973118279569</v>
      </c>
      <c r="AK164" s="104">
        <v>21720.186379928316</v>
      </c>
      <c r="AM164" s="118">
        <v>554</v>
      </c>
      <c r="AN164" s="118">
        <v>16727</v>
      </c>
      <c r="AO164" s="118">
        <v>123</v>
      </c>
      <c r="AP164" s="118">
        <f t="shared" si="2"/>
        <v>410</v>
      </c>
    </row>
    <row r="165" spans="1:42" ht="12.75">
      <c r="A165" s="106">
        <v>2018</v>
      </c>
      <c r="B165" s="106">
        <v>-238397</v>
      </c>
      <c r="C165" s="106">
        <v>0</v>
      </c>
      <c r="D165" s="106">
        <v>238397</v>
      </c>
      <c r="E165" s="106" t="s">
        <v>391</v>
      </c>
      <c r="F165" s="106" t="s">
        <v>392</v>
      </c>
      <c r="G165" s="106" t="s">
        <v>139</v>
      </c>
      <c r="H165" s="106">
        <v>4</v>
      </c>
      <c r="I165" s="106" t="s">
        <v>24</v>
      </c>
      <c r="J165" s="106">
        <v>4329</v>
      </c>
      <c r="K165" s="106">
        <v>7288</v>
      </c>
      <c r="L165" s="106">
        <v>7979</v>
      </c>
      <c r="M165" s="106">
        <v>0.51</v>
      </c>
      <c r="N165" s="106">
        <v>0.46</v>
      </c>
      <c r="O165" s="106">
        <v>0.01</v>
      </c>
      <c r="P165" s="106">
        <v>2191</v>
      </c>
      <c r="Q165" s="106"/>
      <c r="R165" s="106"/>
      <c r="S165" s="106">
        <v>25532.728402734618</v>
      </c>
      <c r="T165" s="106">
        <v>24297.247980111872</v>
      </c>
      <c r="U165" s="106">
        <v>22124.473586078311</v>
      </c>
      <c r="V165" s="106">
        <v>0.17396827453282993</v>
      </c>
      <c r="W165" s="106">
        <v>68372.060950413215</v>
      </c>
      <c r="X165" s="110">
        <v>0.56431246500766152</v>
      </c>
      <c r="Y165" s="106">
        <v>305.52531645569621</v>
      </c>
      <c r="Z165" s="106">
        <v>10.183544303797468</v>
      </c>
      <c r="AA165" s="106">
        <v>65679.47970479705</v>
      </c>
      <c r="AB165" s="106">
        <v>737.4366208853811</v>
      </c>
      <c r="AC165" s="106">
        <v>1.5225455568384516</v>
      </c>
      <c r="AD165" s="106">
        <v>43.604183427192275</v>
      </c>
      <c r="AE165" s="106">
        <v>89.064575645756463</v>
      </c>
      <c r="AF165" s="106">
        <v>7.4329668466143292E-2</v>
      </c>
      <c r="AG165" s="106">
        <v>4123</v>
      </c>
      <c r="AH165" s="106">
        <v>24082.967060285893</v>
      </c>
      <c r="AI165" s="106">
        <v>24101.091982597885</v>
      </c>
      <c r="AJ165" s="106">
        <v>25647.330640149161</v>
      </c>
      <c r="AK165" s="104">
        <v>23597.407085146053</v>
      </c>
      <c r="AL165" s="118">
        <v>27483827</v>
      </c>
      <c r="AM165" s="118">
        <v>2098</v>
      </c>
      <c r="AN165" s="118">
        <v>48273</v>
      </c>
      <c r="AO165" s="118">
        <v>230</v>
      </c>
      <c r="AP165" s="118">
        <f t="shared" si="2"/>
        <v>206</v>
      </c>
    </row>
    <row r="166" spans="1:42" ht="12.75">
      <c r="A166" s="106">
        <v>2018</v>
      </c>
      <c r="B166" s="106">
        <v>-198011</v>
      </c>
      <c r="C166" s="106">
        <v>0</v>
      </c>
      <c r="D166" s="106">
        <v>198011</v>
      </c>
      <c r="E166" s="106" t="s">
        <v>393</v>
      </c>
      <c r="F166" s="106" t="s">
        <v>394</v>
      </c>
      <c r="G166" s="106" t="s">
        <v>90</v>
      </c>
      <c r="H166" s="106">
        <v>4</v>
      </c>
      <c r="I166" s="106" t="s">
        <v>24</v>
      </c>
      <c r="J166" s="106">
        <v>2228</v>
      </c>
      <c r="K166" s="106">
        <v>9904</v>
      </c>
      <c r="L166" s="106">
        <v>9745</v>
      </c>
      <c r="M166" s="106">
        <v>0.8</v>
      </c>
      <c r="N166" s="106">
        <v>0</v>
      </c>
      <c r="O166" s="106">
        <v>0.1</v>
      </c>
      <c r="P166" s="106">
        <v>523</v>
      </c>
      <c r="Q166" s="106">
        <v>224.70556161395857</v>
      </c>
      <c r="R166" s="106">
        <v>0.11409771688284075</v>
      </c>
      <c r="S166" s="106">
        <v>14798.067611777535</v>
      </c>
      <c r="T166" s="106">
        <v>15373.089422028354</v>
      </c>
      <c r="U166" s="106">
        <v>11543.363154973802</v>
      </c>
      <c r="V166" s="106">
        <v>0.15114379745449497</v>
      </c>
      <c r="W166" s="106">
        <v>64169.781176470591</v>
      </c>
      <c r="X166" s="110">
        <v>0.64486342355103232</v>
      </c>
      <c r="Y166" s="106">
        <v>373.2488687782805</v>
      </c>
      <c r="Z166" s="106">
        <v>12.447963800904976</v>
      </c>
      <c r="AA166" s="106">
        <v>28531.708930218265</v>
      </c>
      <c r="AB166" s="106">
        <v>384.97468770406522</v>
      </c>
      <c r="AC166" s="106">
        <v>3.5048724296387599</v>
      </c>
      <c r="AD166" s="106">
        <v>52.033660589060304</v>
      </c>
      <c r="AE166" s="106">
        <v>74.113207547169807</v>
      </c>
      <c r="AF166" s="106">
        <v>-1.9913329731755709E-2</v>
      </c>
      <c r="AG166" s="106">
        <v>2128</v>
      </c>
      <c r="AH166" s="106">
        <v>13200.307524536533</v>
      </c>
      <c r="AI166" s="106">
        <v>13200.307524536533</v>
      </c>
      <c r="AJ166" s="106">
        <v>14798.067611777535</v>
      </c>
      <c r="AK166" s="104">
        <v>13276.853871319519</v>
      </c>
      <c r="AL166" s="118">
        <v>9008031</v>
      </c>
      <c r="AM166" s="118">
        <v>1141</v>
      </c>
      <c r="AN166" s="118">
        <v>27496</v>
      </c>
      <c r="AO166" s="118">
        <v>201</v>
      </c>
      <c r="AP166" s="118">
        <f t="shared" si="2"/>
        <v>100</v>
      </c>
    </row>
    <row r="167" spans="1:42" ht="12.75">
      <c r="A167" s="106">
        <v>2018</v>
      </c>
      <c r="B167" s="106">
        <v>-223427</v>
      </c>
      <c r="C167" s="106">
        <v>0</v>
      </c>
      <c r="D167" s="106">
        <v>223427</v>
      </c>
      <c r="E167" s="106" t="s">
        <v>395</v>
      </c>
      <c r="F167" s="106" t="s">
        <v>396</v>
      </c>
      <c r="G167" s="106" t="s">
        <v>60</v>
      </c>
      <c r="H167" s="106">
        <v>4</v>
      </c>
      <c r="I167" s="106" t="s">
        <v>24</v>
      </c>
      <c r="J167" s="106">
        <v>2688</v>
      </c>
      <c r="K167" s="106">
        <v>12872</v>
      </c>
      <c r="L167" s="106">
        <v>12386</v>
      </c>
      <c r="M167" s="106">
        <v>0.39</v>
      </c>
      <c r="N167" s="106">
        <v>0.41</v>
      </c>
      <c r="O167" s="106">
        <v>0.08</v>
      </c>
      <c r="P167" s="106">
        <v>3139</v>
      </c>
      <c r="Q167" s="106">
        <v>348.78290716424789</v>
      </c>
      <c r="R167" s="106">
        <v>0.10759039288193943</v>
      </c>
      <c r="S167" s="106">
        <v>5911.8025800506794</v>
      </c>
      <c r="T167" s="106">
        <v>5267.8363510711815</v>
      </c>
      <c r="U167" s="106">
        <v>3990.9466127103169</v>
      </c>
      <c r="V167" s="106">
        <v>0.72488651155443828</v>
      </c>
      <c r="W167" s="106">
        <v>70265.797342192687</v>
      </c>
      <c r="X167" s="110">
        <v>0.55493186592765331</v>
      </c>
      <c r="Y167" s="106">
        <v>1200.6833266799733</v>
      </c>
      <c r="Z167" s="106">
        <v>43.32335329341317</v>
      </c>
      <c r="AA167" s="106">
        <v>32762.290555551219</v>
      </c>
      <c r="AB167" s="106">
        <v>144.00232453938642</v>
      </c>
      <c r="AC167" s="106">
        <v>3.0522896386149068</v>
      </c>
      <c r="AD167" s="106">
        <v>21.155384861577854</v>
      </c>
      <c r="AE167" s="106">
        <v>227.51223398890571</v>
      </c>
      <c r="AF167" s="106">
        <v>0.12333074899861028</v>
      </c>
      <c r="AG167" s="106">
        <v>1248</v>
      </c>
      <c r="AH167" s="106">
        <v>5292.6203639714349</v>
      </c>
      <c r="AI167" s="106">
        <v>5321.3850264915918</v>
      </c>
      <c r="AJ167" s="106">
        <v>5988.2802580050684</v>
      </c>
      <c r="AK167" s="104">
        <v>4785.9183137525915</v>
      </c>
      <c r="AL167" s="118">
        <v>32798632</v>
      </c>
      <c r="AM167" s="118">
        <v>19476</v>
      </c>
      <c r="AN167" s="118">
        <v>601542.34666666668</v>
      </c>
      <c r="AO167" s="118">
        <v>2233</v>
      </c>
      <c r="AP167" s="118">
        <f t="shared" si="2"/>
        <v>1440</v>
      </c>
    </row>
    <row r="168" spans="1:42" ht="12.75">
      <c r="A168" s="106">
        <v>2018</v>
      </c>
      <c r="B168" s="106">
        <v>-183822</v>
      </c>
      <c r="C168" s="106">
        <v>0</v>
      </c>
      <c r="D168" s="106">
        <v>183822</v>
      </c>
      <c r="E168" s="106" t="s">
        <v>397</v>
      </c>
      <c r="F168" s="106" t="s">
        <v>398</v>
      </c>
      <c r="G168" s="106" t="s">
        <v>234</v>
      </c>
      <c r="H168" s="106">
        <v>7</v>
      </c>
      <c r="I168" s="106" t="s">
        <v>3641</v>
      </c>
      <c r="J168" s="106">
        <v>29300</v>
      </c>
      <c r="K168" s="106">
        <v>21989</v>
      </c>
      <c r="L168" s="106">
        <v>19777</v>
      </c>
      <c r="M168" s="106">
        <v>0.78</v>
      </c>
      <c r="N168" s="106">
        <v>0.73</v>
      </c>
      <c r="O168" s="106">
        <v>0.99</v>
      </c>
      <c r="P168" s="106">
        <v>12063</v>
      </c>
      <c r="Q168" s="106">
        <v>11002.00504484305</v>
      </c>
      <c r="R168" s="106">
        <v>0.38016298628761214</v>
      </c>
      <c r="S168" s="106">
        <v>25562.52466367713</v>
      </c>
      <c r="T168" s="106">
        <v>25160.293161434976</v>
      </c>
      <c r="U168" s="106">
        <v>20942.76625560538</v>
      </c>
      <c r="V168" s="106">
        <v>0.85653570302041693</v>
      </c>
      <c r="W168" s="106">
        <v>84949.229834254133</v>
      </c>
      <c r="X168" s="110">
        <v>0.57092126997475801</v>
      </c>
      <c r="Y168" s="106">
        <v>465.4709302325582</v>
      </c>
      <c r="Z168" s="106">
        <v>15.558139534883722</v>
      </c>
      <c r="AA168" s="106">
        <v>118609.19047619047</v>
      </c>
      <c r="AB168" s="106">
        <v>700.00177989283168</v>
      </c>
      <c r="AC168" s="106">
        <v>0.84310498704629411</v>
      </c>
      <c r="AD168" s="106">
        <v>17.938496583143507</v>
      </c>
      <c r="AE168" s="106">
        <v>169.44126984126984</v>
      </c>
      <c r="AF168" s="106">
        <v>3.0539722967551898E-2</v>
      </c>
      <c r="AG168" s="106">
        <v>29300</v>
      </c>
      <c r="AH168" s="106">
        <v>24054.329596412557</v>
      </c>
      <c r="AI168" s="106">
        <v>25562.52466367713</v>
      </c>
      <c r="AJ168" s="106">
        <v>26251.014573991033</v>
      </c>
      <c r="AK168" s="104">
        <v>20942.76625560538</v>
      </c>
      <c r="AM168" s="118">
        <v>1839</v>
      </c>
      <c r="AN168" s="118">
        <v>53374</v>
      </c>
      <c r="AO168" s="118">
        <v>298</v>
      </c>
      <c r="AP168" s="118">
        <f t="shared" si="2"/>
        <v>0</v>
      </c>
    </row>
    <row r="169" spans="1:42" ht="12.75">
      <c r="A169" s="106">
        <v>2018</v>
      </c>
      <c r="B169" s="106">
        <v>-211158</v>
      </c>
      <c r="C169" s="106">
        <v>0</v>
      </c>
      <c r="D169" s="106">
        <v>211158</v>
      </c>
      <c r="E169" s="106" t="s">
        <v>399</v>
      </c>
      <c r="F169" s="106" t="s">
        <v>400</v>
      </c>
      <c r="G169" s="106" t="s">
        <v>104</v>
      </c>
      <c r="H169" s="106">
        <v>2</v>
      </c>
      <c r="I169" s="106" t="s">
        <v>25</v>
      </c>
      <c r="J169" s="106">
        <v>10500</v>
      </c>
      <c r="K169" s="106">
        <v>17137</v>
      </c>
      <c r="L169" s="106">
        <v>15042</v>
      </c>
      <c r="M169" s="106">
        <v>0.35</v>
      </c>
      <c r="N169" s="106">
        <v>0.79</v>
      </c>
      <c r="O169" s="106">
        <v>0.15</v>
      </c>
      <c r="P169" s="106">
        <v>4117</v>
      </c>
      <c r="Q169" s="106">
        <v>538.75230821839739</v>
      </c>
      <c r="R169" s="106">
        <v>4.73262617739931E-2</v>
      </c>
      <c r="S169" s="106">
        <v>21508.961814658611</v>
      </c>
      <c r="T169" s="106">
        <v>22800.304342870171</v>
      </c>
      <c r="U169" s="106">
        <v>15248.084567344247</v>
      </c>
      <c r="V169" s="106">
        <v>0.71123946035913777</v>
      </c>
      <c r="W169" s="106">
        <v>116490.8037037037</v>
      </c>
      <c r="X169" s="110">
        <v>0.62896520955888624</v>
      </c>
      <c r="Y169" s="106">
        <v>572.4008875739645</v>
      </c>
      <c r="Z169" s="106">
        <v>19.466715976331361</v>
      </c>
      <c r="AA169" s="106">
        <v>64036.115801489272</v>
      </c>
      <c r="AB169" s="106">
        <v>518.57035497209313</v>
      </c>
      <c r="AC169" s="106">
        <v>1.5616187638550421</v>
      </c>
      <c r="AD169" s="106">
        <v>24.254034598862184</v>
      </c>
      <c r="AE169" s="106">
        <v>123.48587841072283</v>
      </c>
      <c r="AF169" s="106">
        <v>-0.9394940317151268</v>
      </c>
      <c r="AG169" s="106">
        <v>7492</v>
      </c>
      <c r="AH169" s="106">
        <v>21694.075002849651</v>
      </c>
      <c r="AI169" s="106">
        <v>21835.775789353698</v>
      </c>
      <c r="AJ169" s="106">
        <v>21756.480223412742</v>
      </c>
      <c r="AK169" s="104">
        <v>16325.868346061781</v>
      </c>
      <c r="AL169" s="118">
        <v>36152927</v>
      </c>
      <c r="AM169" s="118">
        <v>8579</v>
      </c>
      <c r="AN169" s="118">
        <v>257962</v>
      </c>
      <c r="AO169" s="118">
        <v>1821</v>
      </c>
      <c r="AP169" s="118">
        <f t="shared" si="2"/>
        <v>3008</v>
      </c>
    </row>
    <row r="170" spans="1:42" ht="12.75">
      <c r="A170" s="106">
        <v>2018</v>
      </c>
      <c r="B170" s="106">
        <v>-175430</v>
      </c>
      <c r="C170" s="106">
        <v>0</v>
      </c>
      <c r="D170" s="106">
        <v>175430</v>
      </c>
      <c r="E170" s="106" t="s">
        <v>401</v>
      </c>
      <c r="F170" s="106" t="s">
        <v>402</v>
      </c>
      <c r="G170" s="106" t="s">
        <v>107</v>
      </c>
      <c r="H170" s="106">
        <v>7</v>
      </c>
      <c r="I170" s="106" t="s">
        <v>3641</v>
      </c>
      <c r="J170" s="106">
        <v>11760</v>
      </c>
      <c r="K170" s="106">
        <v>12499</v>
      </c>
      <c r="L170" s="106">
        <v>9528</v>
      </c>
      <c r="M170" s="106">
        <v>0.49</v>
      </c>
      <c r="N170" s="106">
        <v>0.53</v>
      </c>
      <c r="O170" s="106">
        <v>0.98</v>
      </c>
      <c r="P170" s="106">
        <v>6280</v>
      </c>
      <c r="Q170" s="106">
        <v>5288.7305194805194</v>
      </c>
      <c r="R170" s="106">
        <v>0.88008210135378628</v>
      </c>
      <c r="S170" s="106">
        <v>18357.259740259738</v>
      </c>
      <c r="T170" s="106">
        <v>17286.227272727272</v>
      </c>
      <c r="U170" s="106">
        <v>14786.10064935065</v>
      </c>
      <c r="V170" s="106">
        <v>4.8736978546234738E-2</v>
      </c>
      <c r="W170" s="106">
        <v>52162.26470588235</v>
      </c>
      <c r="X170" s="110">
        <v>0.49966126099187891</v>
      </c>
      <c r="Y170" s="106">
        <v>445.57258064516128</v>
      </c>
      <c r="Z170" s="106">
        <v>14.903225806451612</v>
      </c>
      <c r="AA170" s="106">
        <v>64597.432624113477</v>
      </c>
      <c r="AB170" s="106">
        <v>494.55600803605364</v>
      </c>
      <c r="AC170" s="106">
        <v>1.5480491396909037</v>
      </c>
      <c r="AD170" s="106">
        <v>25.178571428571427</v>
      </c>
      <c r="AE170" s="106">
        <v>130.61702127659575</v>
      </c>
      <c r="AF170" s="106">
        <v>2.7024305776994446E-2</v>
      </c>
      <c r="AG170" s="106">
        <v>9990</v>
      </c>
      <c r="AH170" s="106">
        <v>6838.443181818182</v>
      </c>
      <c r="AI170" s="106">
        <v>13223.982142857143</v>
      </c>
      <c r="AJ170" s="106">
        <v>19601.433441558442</v>
      </c>
      <c r="AK170" s="104">
        <v>14786.10064935065</v>
      </c>
      <c r="AM170" s="118">
        <v>588</v>
      </c>
      <c r="AN170" s="118">
        <v>18417</v>
      </c>
      <c r="AO170" s="118">
        <v>129</v>
      </c>
      <c r="AP170" s="118">
        <f t="shared" si="2"/>
        <v>1770</v>
      </c>
    </row>
    <row r="171" spans="1:42" ht="12.75">
      <c r="A171" s="106">
        <v>2018</v>
      </c>
      <c r="B171" s="106">
        <v>-208275</v>
      </c>
      <c r="C171" s="106">
        <v>0</v>
      </c>
      <c r="D171" s="106">
        <v>208275</v>
      </c>
      <c r="E171" s="106" t="s">
        <v>403</v>
      </c>
      <c r="F171" s="106" t="s">
        <v>404</v>
      </c>
      <c r="G171" s="106" t="s">
        <v>405</v>
      </c>
      <c r="H171" s="106">
        <v>4</v>
      </c>
      <c r="I171" s="106" t="s">
        <v>24</v>
      </c>
      <c r="J171" s="106">
        <v>5998</v>
      </c>
      <c r="K171" s="106">
        <v>10611</v>
      </c>
      <c r="L171" s="106">
        <v>11259</v>
      </c>
      <c r="M171" s="106">
        <v>0.47</v>
      </c>
      <c r="N171" s="106">
        <v>0.12</v>
      </c>
      <c r="O171" s="106">
        <v>0.47</v>
      </c>
      <c r="P171" s="106">
        <v>2732</v>
      </c>
      <c r="Q171" s="106">
        <v>397.22291797119601</v>
      </c>
      <c r="R171" s="106">
        <v>8.5062364183014327E-2</v>
      </c>
      <c r="S171" s="106">
        <v>18563.134627426425</v>
      </c>
      <c r="T171" s="106">
        <v>18522.956793988727</v>
      </c>
      <c r="U171" s="106">
        <v>15343.874203507503</v>
      </c>
      <c r="V171" s="106">
        <v>0.27845390424081073</v>
      </c>
      <c r="W171" s="106">
        <v>80714.162790697679</v>
      </c>
      <c r="X171" s="110">
        <v>0.58664176207817664</v>
      </c>
      <c r="Y171" s="106">
        <v>677.84328358208961</v>
      </c>
      <c r="Z171" s="106">
        <v>17.876865671641792</v>
      </c>
      <c r="AA171" s="106">
        <v>62992.717488435686</v>
      </c>
      <c r="AB171" s="106">
        <v>404.66636560758138</v>
      </c>
      <c r="AC171" s="106">
        <v>1.5874850933103206</v>
      </c>
      <c r="AD171" s="106">
        <v>37.657308809293319</v>
      </c>
      <c r="AE171" s="106">
        <v>155.66580976863753</v>
      </c>
      <c r="AF171" s="106">
        <v>0.17825500018200405</v>
      </c>
      <c r="AG171" s="106">
        <v>4635</v>
      </c>
      <c r="AH171" s="106">
        <v>16849.664370695053</v>
      </c>
      <c r="AI171" s="106">
        <v>16926.683155917344</v>
      </c>
      <c r="AJ171" s="106">
        <v>18689.703819661867</v>
      </c>
      <c r="AK171" s="104">
        <v>17636.663744520978</v>
      </c>
      <c r="AL171" s="118">
        <v>13678741</v>
      </c>
      <c r="AM171" s="118">
        <v>1417</v>
      </c>
      <c r="AN171" s="118">
        <v>60554</v>
      </c>
      <c r="AO171" s="118">
        <v>279</v>
      </c>
      <c r="AP171" s="118">
        <f t="shared" si="2"/>
        <v>1363</v>
      </c>
    </row>
    <row r="172" spans="1:42" ht="12.75">
      <c r="A172" s="106">
        <v>2018</v>
      </c>
      <c r="B172" s="106">
        <v>-446774</v>
      </c>
      <c r="C172" s="106">
        <v>0</v>
      </c>
      <c r="D172" s="106">
        <v>446774</v>
      </c>
      <c r="E172" s="106" t="s">
        <v>408</v>
      </c>
      <c r="F172" s="106" t="s">
        <v>409</v>
      </c>
      <c r="G172" s="106" t="s">
        <v>110</v>
      </c>
      <c r="H172" s="106">
        <v>4</v>
      </c>
      <c r="I172" s="106" t="s">
        <v>24</v>
      </c>
      <c r="J172" s="106">
        <v>3736</v>
      </c>
      <c r="K172" s="106">
        <v>5954</v>
      </c>
      <c r="L172" s="106">
        <v>6465</v>
      </c>
      <c r="M172" s="106">
        <v>0.59</v>
      </c>
      <c r="N172" s="106">
        <v>0.41</v>
      </c>
      <c r="O172" s="106">
        <v>0.12</v>
      </c>
      <c r="P172" s="106">
        <v>1868</v>
      </c>
      <c r="Q172" s="106">
        <v>47.197518610421838</v>
      </c>
      <c r="R172" s="106">
        <v>1.1169435937789027E-2</v>
      </c>
      <c r="S172" s="106">
        <v>10135.154838709677</v>
      </c>
      <c r="T172" s="106">
        <v>9746.354838709678</v>
      </c>
      <c r="U172" s="106">
        <v>8311.3583126550875</v>
      </c>
      <c r="V172" s="106">
        <v>0.50273347119762624</v>
      </c>
      <c r="W172" s="106">
        <v>56318.868020304566</v>
      </c>
      <c r="X172" s="110">
        <v>0.56494071334425211</v>
      </c>
      <c r="Y172" s="106">
        <v>510.95492957746472</v>
      </c>
      <c r="Z172" s="106">
        <v>17.028169014084504</v>
      </c>
      <c r="AA172" s="106">
        <v>17911.643850267381</v>
      </c>
      <c r="AB172" s="106">
        <v>276.98571026909019</v>
      </c>
      <c r="AC172" s="106">
        <v>5.5829604940758824</v>
      </c>
      <c r="AD172" s="106">
        <v>36.268425135764161</v>
      </c>
      <c r="AE172" s="106">
        <v>64.666310160427813</v>
      </c>
      <c r="AF172" s="106">
        <v>4.0170312141100784E-2</v>
      </c>
      <c r="AG172" s="106">
        <v>296</v>
      </c>
      <c r="AH172" s="106">
        <v>9584.1513647642678</v>
      </c>
      <c r="AI172" s="106">
        <v>9584.1513647642678</v>
      </c>
      <c r="AJ172" s="106">
        <v>10213.007940446651</v>
      </c>
      <c r="AK172" s="104">
        <v>9474.9091811414401</v>
      </c>
      <c r="AL172" s="118">
        <v>4880509</v>
      </c>
      <c r="AM172" s="118">
        <v>5708</v>
      </c>
      <c r="AN172" s="118">
        <v>60463</v>
      </c>
      <c r="AO172" s="118">
        <v>498</v>
      </c>
      <c r="AP172" s="118">
        <f t="shared" si="2"/>
        <v>3440</v>
      </c>
    </row>
    <row r="173" spans="1:42" ht="12.75">
      <c r="A173" s="106">
        <v>2018</v>
      </c>
      <c r="B173" s="106">
        <v>-198039</v>
      </c>
      <c r="C173" s="106">
        <v>0</v>
      </c>
      <c r="D173" s="106">
        <v>198039</v>
      </c>
      <c r="E173" s="106" t="s">
        <v>3923</v>
      </c>
      <c r="F173" s="106" t="s">
        <v>406</v>
      </c>
      <c r="G173" s="106" t="s">
        <v>90</v>
      </c>
      <c r="H173" s="106">
        <v>4</v>
      </c>
      <c r="I173" s="106" t="s">
        <v>24</v>
      </c>
      <c r="J173" s="106">
        <v>2601</v>
      </c>
      <c r="K173" s="106">
        <v>6928</v>
      </c>
      <c r="L173" s="106">
        <v>6294</v>
      </c>
      <c r="M173" s="106">
        <v>0.49</v>
      </c>
      <c r="N173" s="106">
        <v>0.14000000000000001</v>
      </c>
      <c r="O173" s="106">
        <v>0.21</v>
      </c>
      <c r="P173" s="106">
        <v>1732</v>
      </c>
      <c r="Q173" s="106">
        <v>232.93579545454546</v>
      </c>
      <c r="R173" s="106">
        <v>0.11841029755725888</v>
      </c>
      <c r="S173" s="106">
        <v>12460.098863636364</v>
      </c>
      <c r="T173" s="106">
        <v>14595.236931818183</v>
      </c>
      <c r="U173" s="106">
        <v>10225.031541616241</v>
      </c>
      <c r="V173" s="106">
        <v>0.16960889000112278</v>
      </c>
      <c r="W173" s="106">
        <v>60010.804174950288</v>
      </c>
      <c r="X173" s="110">
        <v>0.78339781381823004</v>
      </c>
      <c r="Y173" s="106">
        <v>266.218487394958</v>
      </c>
      <c r="Z173" s="106">
        <v>8.8739495798319332</v>
      </c>
      <c r="AA173" s="106">
        <v>32425.325249089339</v>
      </c>
      <c r="AB173" s="106">
        <v>340.83438472054138</v>
      </c>
      <c r="AC173" s="106">
        <v>3.0840091574041648</v>
      </c>
      <c r="AD173" s="106">
        <v>47.886108714408977</v>
      </c>
      <c r="AE173" s="106">
        <v>95.13513513513513</v>
      </c>
      <c r="AF173" s="106">
        <v>4.2915195776552957E-2</v>
      </c>
      <c r="AG173" s="106">
        <v>2432</v>
      </c>
      <c r="AH173" s="106">
        <v>11209.02840909091</v>
      </c>
      <c r="AI173" s="106">
        <v>11500.514772727272</v>
      </c>
      <c r="AJ173" s="106">
        <v>12469.178977272728</v>
      </c>
      <c r="AK173" s="104">
        <v>11457.314772727274</v>
      </c>
      <c r="AL173" s="118">
        <v>14697259</v>
      </c>
      <c r="AM173" s="118">
        <v>2122</v>
      </c>
      <c r="AN173" s="118">
        <v>52800</v>
      </c>
      <c r="AO173" s="118">
        <v>279</v>
      </c>
      <c r="AP173" s="118">
        <f t="shared" si="2"/>
        <v>169</v>
      </c>
    </row>
    <row r="174" spans="1:42" ht="12.75">
      <c r="A174" s="106">
        <v>2018</v>
      </c>
      <c r="B174" s="106">
        <v>-231536</v>
      </c>
      <c r="C174" s="106">
        <v>0</v>
      </c>
      <c r="D174" s="106">
        <v>231536</v>
      </c>
      <c r="E174" s="106" t="s">
        <v>3924</v>
      </c>
      <c r="F174" s="106" t="s">
        <v>407</v>
      </c>
      <c r="G174" s="106" t="s">
        <v>261</v>
      </c>
      <c r="H174" s="106">
        <v>4</v>
      </c>
      <c r="I174" s="106" t="s">
        <v>24</v>
      </c>
      <c r="J174" s="106">
        <v>5252</v>
      </c>
      <c r="K174" s="106">
        <v>10478</v>
      </c>
      <c r="L174" s="106">
        <v>9804</v>
      </c>
      <c r="M174" s="106">
        <v>0.56000000000000005</v>
      </c>
      <c r="N174" s="106">
        <v>0.15</v>
      </c>
      <c r="O174" s="106">
        <v>0.12</v>
      </c>
      <c r="P174" s="106">
        <v>1644</v>
      </c>
      <c r="Q174" s="106">
        <v>263.30597014925371</v>
      </c>
      <c r="R174" s="106">
        <v>4.8721488051615337E-2</v>
      </c>
      <c r="S174" s="106">
        <v>11778.265339966832</v>
      </c>
      <c r="T174" s="106">
        <v>11772.340381426202</v>
      </c>
      <c r="U174" s="106">
        <v>9833.1994481225902</v>
      </c>
      <c r="V174" s="106">
        <v>0.52282097289681606</v>
      </c>
      <c r="W174" s="106">
        <v>70860.988489208641</v>
      </c>
      <c r="X174" s="110">
        <v>0.57813683696905271</v>
      </c>
      <c r="Y174" s="106">
        <v>644.10979228486644</v>
      </c>
      <c r="Z174" s="106">
        <v>21.471810089020771</v>
      </c>
      <c r="AA174" s="106">
        <v>20970.536754086374</v>
      </c>
      <c r="AB174" s="106">
        <v>327.7959652943361</v>
      </c>
      <c r="AC174" s="106">
        <v>4.7685951567507558</v>
      </c>
      <c r="AD174" s="106">
        <v>50.378619153674833</v>
      </c>
      <c r="AE174" s="106">
        <v>63.974358974358971</v>
      </c>
      <c r="AF174" s="106">
        <v>0.10439254259201909</v>
      </c>
      <c r="AG174" s="106">
        <v>4253</v>
      </c>
      <c r="AH174" s="106">
        <v>11323.462271973465</v>
      </c>
      <c r="AI174" s="106">
        <v>11443.803067993367</v>
      </c>
      <c r="AJ174" s="106">
        <v>11867.671641791045</v>
      </c>
      <c r="AK174" s="104">
        <v>11100.580016583748</v>
      </c>
      <c r="AL174" s="118">
        <v>11216646</v>
      </c>
      <c r="AM174" s="118">
        <v>4200</v>
      </c>
      <c r="AN174" s="118">
        <v>72355</v>
      </c>
      <c r="AO174" s="118">
        <v>523</v>
      </c>
      <c r="AP174" s="118">
        <f t="shared" si="2"/>
        <v>999</v>
      </c>
    </row>
    <row r="175" spans="1:42" ht="12.75">
      <c r="A175" s="106">
        <v>2018</v>
      </c>
      <c r="B175" s="106">
        <v>-231554</v>
      </c>
      <c r="C175" s="106">
        <v>0</v>
      </c>
      <c r="D175" s="106">
        <v>231554</v>
      </c>
      <c r="E175" s="106" t="s">
        <v>410</v>
      </c>
      <c r="F175" s="106" t="s">
        <v>411</v>
      </c>
      <c r="G175" s="106" t="s">
        <v>261</v>
      </c>
      <c r="H175" s="106">
        <v>7</v>
      </c>
      <c r="I175" s="106" t="s">
        <v>3641</v>
      </c>
      <c r="J175" s="106">
        <v>24800</v>
      </c>
      <c r="K175" s="106">
        <v>21574</v>
      </c>
      <c r="L175" s="106">
        <v>22535</v>
      </c>
      <c r="M175" s="106">
        <v>0.61</v>
      </c>
      <c r="N175" s="106">
        <v>0.82</v>
      </c>
      <c r="O175" s="106">
        <v>0.92</v>
      </c>
      <c r="P175" s="106">
        <v>11075</v>
      </c>
      <c r="Q175" s="106">
        <v>7358.7461300309596</v>
      </c>
      <c r="R175" s="106">
        <v>0.42030478916253328</v>
      </c>
      <c r="S175" s="106">
        <v>16940.887512899895</v>
      </c>
      <c r="T175" s="106">
        <v>16943.056759545925</v>
      </c>
      <c r="U175" s="106">
        <v>13885.112487100103</v>
      </c>
      <c r="V175" s="106">
        <v>0.73095357048413068</v>
      </c>
      <c r="W175" s="106">
        <v>53876.669438669436</v>
      </c>
      <c r="X175" s="110">
        <v>0.52614932723719388</v>
      </c>
      <c r="Y175" s="106">
        <v>447.59067357512959</v>
      </c>
      <c r="Z175" s="106">
        <v>15.062176165803109</v>
      </c>
      <c r="AA175" s="106">
        <v>66279.182266009855</v>
      </c>
      <c r="AB175" s="106">
        <v>467.25730161486371</v>
      </c>
      <c r="AC175" s="106">
        <v>1.5087693689196782</v>
      </c>
      <c r="AD175" s="106">
        <v>22.065217391304348</v>
      </c>
      <c r="AE175" s="106">
        <v>141.84729064039408</v>
      </c>
      <c r="AF175" s="106">
        <v>4.1236739487598116E-2</v>
      </c>
      <c r="AG175" s="106">
        <v>24040</v>
      </c>
      <c r="AH175" s="106">
        <v>13647.250773993808</v>
      </c>
      <c r="AI175" s="106">
        <v>16940.887512899895</v>
      </c>
      <c r="AJ175" s="106">
        <v>17522.403508771931</v>
      </c>
      <c r="AK175" s="104">
        <v>13885.112487100103</v>
      </c>
      <c r="AM175" s="118">
        <v>948</v>
      </c>
      <c r="AN175" s="118">
        <v>28795</v>
      </c>
      <c r="AO175" s="118">
        <v>197</v>
      </c>
      <c r="AP175" s="118">
        <f t="shared" si="2"/>
        <v>760</v>
      </c>
    </row>
    <row r="176" spans="1:42" ht="12.75">
      <c r="A176" s="106">
        <v>2018</v>
      </c>
      <c r="B176" s="106">
        <v>-237215</v>
      </c>
      <c r="C176" s="106">
        <v>0</v>
      </c>
      <c r="D176" s="106">
        <v>237215</v>
      </c>
      <c r="E176" s="106" t="s">
        <v>412</v>
      </c>
      <c r="F176" s="106" t="s">
        <v>411</v>
      </c>
      <c r="G176" s="106" t="s">
        <v>110</v>
      </c>
      <c r="H176" s="106">
        <v>3</v>
      </c>
      <c r="I176" s="104" t="s">
        <v>26</v>
      </c>
      <c r="J176" s="106">
        <v>6728</v>
      </c>
      <c r="K176" s="106">
        <v>9619</v>
      </c>
      <c r="L176" s="106">
        <v>7687</v>
      </c>
      <c r="M176" s="106">
        <v>0.67</v>
      </c>
      <c r="N176" s="106">
        <v>0.46</v>
      </c>
      <c r="O176" s="106">
        <v>0.41</v>
      </c>
      <c r="P176" s="106">
        <v>1398</v>
      </c>
      <c r="Q176" s="106">
        <v>1480.161101836394</v>
      </c>
      <c r="R176" s="106">
        <v>0.1881870165473504</v>
      </c>
      <c r="S176" s="106">
        <v>17057.034223706178</v>
      </c>
      <c r="T176" s="106">
        <v>17561.438230383974</v>
      </c>
      <c r="U176" s="106">
        <v>12081.619387084715</v>
      </c>
      <c r="V176" s="106">
        <v>0.52850630494610673</v>
      </c>
      <c r="W176" s="106">
        <v>69373.311188811189</v>
      </c>
      <c r="X176" s="110">
        <v>0.62870990055756082</v>
      </c>
      <c r="Y176" s="106">
        <v>394.79120879120882</v>
      </c>
      <c r="Z176" s="106">
        <v>13.164835164835164</v>
      </c>
      <c r="AA176" s="106">
        <v>42695.516300081086</v>
      </c>
      <c r="AB176" s="106">
        <v>402.87758241183235</v>
      </c>
      <c r="AC176" s="106">
        <v>2.3421663131360257</v>
      </c>
      <c r="AD176" s="106">
        <v>27.970297029702973</v>
      </c>
      <c r="AE176" s="106">
        <v>105.97640117994101</v>
      </c>
      <c r="AF176" s="106">
        <v>-5.826415094339623E-2</v>
      </c>
      <c r="AG176" s="106">
        <v>6728</v>
      </c>
      <c r="AH176" s="106">
        <v>17038.515025041735</v>
      </c>
      <c r="AI176" s="106">
        <v>17038.515025041735</v>
      </c>
      <c r="AJ176" s="106">
        <v>17104.553422370616</v>
      </c>
      <c r="AK176" s="104">
        <v>13868.551752921536</v>
      </c>
      <c r="AL176" s="118">
        <v>5379199</v>
      </c>
      <c r="AM176" s="118">
        <v>1379</v>
      </c>
      <c r="AN176" s="118">
        <v>35926</v>
      </c>
      <c r="AO176" s="118">
        <v>339</v>
      </c>
      <c r="AP176" s="118">
        <f t="shared" si="2"/>
        <v>0</v>
      </c>
    </row>
    <row r="177" spans="1:42" ht="12.75">
      <c r="A177" s="106">
        <v>2018</v>
      </c>
      <c r="B177" s="106">
        <v>-156392</v>
      </c>
      <c r="C177" s="106">
        <v>0</v>
      </c>
      <c r="D177" s="106">
        <v>156392</v>
      </c>
      <c r="E177" s="106" t="s">
        <v>4050</v>
      </c>
      <c r="F177" s="106" t="s">
        <v>413</v>
      </c>
      <c r="G177" s="106" t="s">
        <v>118</v>
      </c>
      <c r="H177" s="106">
        <v>4</v>
      </c>
      <c r="I177" s="106" t="s">
        <v>24</v>
      </c>
      <c r="J177" s="106">
        <v>4160</v>
      </c>
      <c r="K177" s="106">
        <v>7117</v>
      </c>
      <c r="L177" s="106">
        <v>5044</v>
      </c>
      <c r="M177" s="106">
        <v>0.53</v>
      </c>
      <c r="N177" s="106">
        <v>0.28000000000000003</v>
      </c>
      <c r="O177" s="106">
        <v>7.0000000000000007E-2</v>
      </c>
      <c r="P177" s="106">
        <v>1896</v>
      </c>
      <c r="Q177" s="106">
        <v>2504.3183197572271</v>
      </c>
      <c r="R177" s="106">
        <v>0.45971330927214299</v>
      </c>
      <c r="S177" s="106">
        <v>10593.794920939146</v>
      </c>
      <c r="T177" s="106">
        <v>9191.2100303465904</v>
      </c>
      <c r="U177" s="106">
        <v>7282.3052093078841</v>
      </c>
      <c r="V177" s="106">
        <v>0.40416420357777055</v>
      </c>
      <c r="W177" s="106">
        <v>57282.5935483871</v>
      </c>
      <c r="X177" s="110">
        <v>0.61716028136435708</v>
      </c>
      <c r="Y177" s="106">
        <v>564.6523046092185</v>
      </c>
      <c r="Z177" s="106">
        <v>18.820641282565134</v>
      </c>
      <c r="AA177" s="106">
        <v>13135.843536582157</v>
      </c>
      <c r="AB177" s="106">
        <v>242.7292918770485</v>
      </c>
      <c r="AC177" s="106">
        <v>7.6127581545493355</v>
      </c>
      <c r="AD177" s="106">
        <v>57.581287325812866</v>
      </c>
      <c r="AE177" s="106">
        <v>54.117257274560643</v>
      </c>
      <c r="AF177" s="106"/>
      <c r="AG177" s="106">
        <v>3888</v>
      </c>
      <c r="AH177" s="106">
        <v>9801.1680242772727</v>
      </c>
      <c r="AI177" s="106">
        <v>9946.2450087845391</v>
      </c>
      <c r="AJ177" s="106">
        <v>10600.169621466219</v>
      </c>
      <c r="AK177" s="104">
        <v>8646.3678326145982</v>
      </c>
      <c r="AL177" s="119">
        <v>17968220</v>
      </c>
      <c r="AM177" s="118">
        <v>9478</v>
      </c>
      <c r="AN177" s="118">
        <v>187841</v>
      </c>
      <c r="AO177" s="118">
        <v>1238</v>
      </c>
      <c r="AP177" s="118">
        <f t="shared" si="2"/>
        <v>272</v>
      </c>
    </row>
    <row r="178" spans="1:42" ht="12.75">
      <c r="A178" s="106">
        <v>2018</v>
      </c>
      <c r="B178" s="106">
        <v>-201371</v>
      </c>
      <c r="C178" s="106">
        <v>0</v>
      </c>
      <c r="D178" s="106">
        <v>201371</v>
      </c>
      <c r="E178" s="106" t="s">
        <v>414</v>
      </c>
      <c r="F178" s="106" t="s">
        <v>415</v>
      </c>
      <c r="G178" s="106" t="s">
        <v>82</v>
      </c>
      <c r="H178" s="106">
        <v>7</v>
      </c>
      <c r="I178" s="106" t="s">
        <v>3641</v>
      </c>
      <c r="J178" s="106">
        <v>31672</v>
      </c>
      <c r="K178" s="106">
        <v>26294</v>
      </c>
      <c r="L178" s="106">
        <v>23506</v>
      </c>
      <c r="M178" s="106">
        <v>0.43</v>
      </c>
      <c r="N178" s="106">
        <v>0.87</v>
      </c>
      <c r="O178" s="106">
        <v>1</v>
      </c>
      <c r="P178" s="106">
        <v>16502</v>
      </c>
      <c r="Q178" s="106">
        <v>11919.760456273765</v>
      </c>
      <c r="R178" s="106">
        <v>0.45940885595474013</v>
      </c>
      <c r="S178" s="106">
        <v>25299.911280101394</v>
      </c>
      <c r="T178" s="106">
        <v>27493.640050697086</v>
      </c>
      <c r="U178" s="106">
        <v>21177.239543726235</v>
      </c>
      <c r="V178" s="106">
        <v>0.66231980648329791</v>
      </c>
      <c r="W178" s="106">
        <v>61722.659619450322</v>
      </c>
      <c r="X178" s="110">
        <v>0.4486165299111462</v>
      </c>
      <c r="Y178" s="106">
        <v>345.60891089108912</v>
      </c>
      <c r="Z178" s="106">
        <v>11.717821782178218</v>
      </c>
      <c r="AA178" s="106">
        <v>79565.914285714287</v>
      </c>
      <c r="AB178" s="106">
        <v>718.01134459198147</v>
      </c>
      <c r="AC178" s="106">
        <v>1.2568195928838157</v>
      </c>
      <c r="AD178" s="106">
        <v>27.631578947368425</v>
      </c>
      <c r="AE178" s="106">
        <v>110.81428571428572</v>
      </c>
      <c r="AF178" s="106">
        <v>-3.3626959276154278E-3</v>
      </c>
      <c r="AG178" s="106">
        <v>31222</v>
      </c>
      <c r="AH178" s="106">
        <v>23045.660329531052</v>
      </c>
      <c r="AI178" s="106">
        <v>26427.576679340938</v>
      </c>
      <c r="AJ178" s="106">
        <v>27256.010139416983</v>
      </c>
      <c r="AK178" s="104">
        <v>21177.239543726235</v>
      </c>
      <c r="AL178" s="118"/>
      <c r="AM178" s="118">
        <v>739</v>
      </c>
      <c r="AN178" s="118">
        <v>23271</v>
      </c>
      <c r="AO178" s="118">
        <v>180</v>
      </c>
      <c r="AP178" s="118">
        <f t="shared" si="2"/>
        <v>450</v>
      </c>
    </row>
    <row r="179" spans="1:42" ht="12.75">
      <c r="A179" s="106">
        <v>2018</v>
      </c>
      <c r="B179" s="106">
        <v>-142115</v>
      </c>
      <c r="C179" s="106">
        <v>0</v>
      </c>
      <c r="D179" s="106">
        <v>142115</v>
      </c>
      <c r="E179" s="106" t="s">
        <v>416</v>
      </c>
      <c r="F179" s="106" t="s">
        <v>417</v>
      </c>
      <c r="G179" s="106" t="s">
        <v>418</v>
      </c>
      <c r="H179" s="106">
        <v>1</v>
      </c>
      <c r="I179" s="106" t="s">
        <v>23</v>
      </c>
      <c r="J179" s="106">
        <v>7326</v>
      </c>
      <c r="K179" s="106">
        <v>12558</v>
      </c>
      <c r="L179" s="106">
        <v>11722</v>
      </c>
      <c r="M179" s="106">
        <v>0.27</v>
      </c>
      <c r="N179" s="106">
        <v>0.47</v>
      </c>
      <c r="O179" s="106">
        <v>0.52</v>
      </c>
      <c r="P179" s="106">
        <v>10598</v>
      </c>
      <c r="Q179" s="106">
        <v>1259.9057025279249</v>
      </c>
      <c r="R179" s="106">
        <v>0.12708284996309877</v>
      </c>
      <c r="S179" s="106">
        <v>24198.533686067018</v>
      </c>
      <c r="T179" s="106">
        <v>23954.132098765433</v>
      </c>
      <c r="U179" s="106">
        <v>12761.590871801174</v>
      </c>
      <c r="V179" s="106">
        <v>0.67813991050547684</v>
      </c>
      <c r="W179" s="106">
        <v>91738.96240324364</v>
      </c>
      <c r="X179" s="110">
        <v>0.61082789747789268</v>
      </c>
      <c r="Y179" s="106">
        <v>474.75191326530614</v>
      </c>
      <c r="Z179" s="106">
        <v>16.272321428571431</v>
      </c>
      <c r="AA179" s="106">
        <v>45176.828455637449</v>
      </c>
      <c r="AB179" s="106">
        <v>437.40889252577801</v>
      </c>
      <c r="AC179" s="106">
        <v>2.2135241321377301</v>
      </c>
      <c r="AD179" s="106">
        <v>27.122375254007675</v>
      </c>
      <c r="AE179" s="106">
        <v>103.28283038501561</v>
      </c>
      <c r="AF179" s="106">
        <v>8.9465446862607809E-2</v>
      </c>
      <c r="AG179" s="106">
        <v>5043</v>
      </c>
      <c r="AH179" s="106">
        <v>21501.439035861258</v>
      </c>
      <c r="AI179" s="106">
        <v>23175.913462669017</v>
      </c>
      <c r="AJ179" s="106">
        <v>24331.333744855969</v>
      </c>
      <c r="AK179" s="104">
        <v>18050.776014109346</v>
      </c>
      <c r="AL179" s="118">
        <v>100461708</v>
      </c>
      <c r="AM179" s="118">
        <v>20744</v>
      </c>
      <c r="AN179" s="118">
        <v>496274</v>
      </c>
      <c r="AO179" s="118">
        <v>3344</v>
      </c>
      <c r="AP179" s="118">
        <f t="shared" si="2"/>
        <v>2283</v>
      </c>
    </row>
    <row r="180" spans="1:42" ht="12.75">
      <c r="A180" s="106">
        <v>2018</v>
      </c>
      <c r="B180" s="106">
        <v>-189413</v>
      </c>
      <c r="C180" s="106">
        <v>0</v>
      </c>
      <c r="D180" s="106">
        <v>189413</v>
      </c>
      <c r="E180" s="106" t="s">
        <v>419</v>
      </c>
      <c r="F180" s="106" t="s">
        <v>290</v>
      </c>
      <c r="G180" s="106" t="s">
        <v>69</v>
      </c>
      <c r="H180" s="106">
        <v>7</v>
      </c>
      <c r="I180" s="106" t="s">
        <v>3641</v>
      </c>
      <c r="J180" s="106">
        <v>11025</v>
      </c>
      <c r="K180" s="106">
        <v>17082</v>
      </c>
      <c r="L180" s="106">
        <v>17068</v>
      </c>
      <c r="M180" s="106">
        <v>0.92</v>
      </c>
      <c r="N180" s="106">
        <v>0.05</v>
      </c>
      <c r="O180" s="106">
        <v>0.01</v>
      </c>
      <c r="P180" s="106">
        <v>1000</v>
      </c>
      <c r="Q180" s="106">
        <v>83.218600191754561</v>
      </c>
      <c r="R180" s="106">
        <v>6.942733586266606E-3</v>
      </c>
      <c r="S180" s="106">
        <v>37681.24928092042</v>
      </c>
      <c r="T180" s="106">
        <v>14270.528283796741</v>
      </c>
      <c r="U180" s="106">
        <v>14231.421263963737</v>
      </c>
      <c r="V180" s="106">
        <v>0.83640366108028796</v>
      </c>
      <c r="W180" s="106">
        <v>68127.279069767435</v>
      </c>
      <c r="X180" s="110">
        <v>0.65606049276139922</v>
      </c>
      <c r="Y180" s="106">
        <v>496.56521739130437</v>
      </c>
      <c r="Z180" s="106">
        <v>17.005434782608695</v>
      </c>
      <c r="AA180" s="106">
        <v>69361.553169692415</v>
      </c>
      <c r="AB180" s="106">
        <v>487.37103947708755</v>
      </c>
      <c r="AC180" s="106">
        <v>1.4417208875838015</v>
      </c>
      <c r="AD180" s="106">
        <v>24.235560588901471</v>
      </c>
      <c r="AE180" s="106">
        <v>142.3177570093458</v>
      </c>
      <c r="AF180" s="106">
        <v>0.77821179912534311</v>
      </c>
      <c r="AG180" s="106">
        <v>11000</v>
      </c>
      <c r="AH180" s="106">
        <v>40024.596356663467</v>
      </c>
      <c r="AI180" s="106">
        <v>40039.3518696069</v>
      </c>
      <c r="AJ180" s="106">
        <v>37739.368168744011</v>
      </c>
      <c r="AK180" s="104">
        <v>14270.528283796741</v>
      </c>
      <c r="AL180" s="118">
        <v>47843</v>
      </c>
      <c r="AM180" s="118">
        <v>769</v>
      </c>
      <c r="AN180" s="118">
        <v>30456</v>
      </c>
      <c r="AO180" s="118">
        <v>182</v>
      </c>
      <c r="AP180" s="118">
        <f t="shared" si="2"/>
        <v>25</v>
      </c>
    </row>
    <row r="181" spans="1:42" ht="12.75">
      <c r="A181" s="106">
        <v>2018</v>
      </c>
      <c r="B181" s="106">
        <v>-158431</v>
      </c>
      <c r="C181" s="106">
        <v>0</v>
      </c>
      <c r="D181" s="106">
        <v>158431</v>
      </c>
      <c r="E181" s="106" t="s">
        <v>420</v>
      </c>
      <c r="F181" s="106" t="s">
        <v>421</v>
      </c>
      <c r="G181" s="106" t="s">
        <v>306</v>
      </c>
      <c r="H181" s="106">
        <v>4</v>
      </c>
      <c r="I181" s="106" t="s">
        <v>24</v>
      </c>
      <c r="J181" s="106">
        <v>4079</v>
      </c>
      <c r="K181" s="106">
        <v>10065</v>
      </c>
      <c r="L181" s="106">
        <v>9800</v>
      </c>
      <c r="M181" s="106">
        <v>0.54</v>
      </c>
      <c r="N181" s="106">
        <v>0.41</v>
      </c>
      <c r="O181" s="106">
        <v>0.09</v>
      </c>
      <c r="P181" s="106">
        <v>3771</v>
      </c>
      <c r="Q181" s="106">
        <v>596.92090545938743</v>
      </c>
      <c r="R181" s="106">
        <v>8.5134898772508058E-2</v>
      </c>
      <c r="S181" s="106">
        <v>14098.388814913449</v>
      </c>
      <c r="T181" s="106">
        <v>13066.816245006657</v>
      </c>
      <c r="U181" s="106">
        <v>7773.4420713678546</v>
      </c>
      <c r="V181" s="106">
        <v>0.82518791638933975</v>
      </c>
      <c r="W181" s="106">
        <v>62732.199349064278</v>
      </c>
      <c r="X181" s="110">
        <v>0.52377096147945534</v>
      </c>
      <c r="Y181" s="106">
        <v>675.93000000000006</v>
      </c>
      <c r="Z181" s="106">
        <v>22.53</v>
      </c>
      <c r="AA181" s="106">
        <v>26155.264317192021</v>
      </c>
      <c r="AB181" s="106">
        <v>259.10323534673381</v>
      </c>
      <c r="AC181" s="106">
        <v>3.82332209635784</v>
      </c>
      <c r="AD181" s="106">
        <v>24.192499458053327</v>
      </c>
      <c r="AE181" s="106">
        <v>100.94534050179212</v>
      </c>
      <c r="AF181" s="106">
        <v>-0.10869280164032452</v>
      </c>
      <c r="AG181" s="106">
        <v>3335</v>
      </c>
      <c r="AH181" s="106">
        <v>11237.079893475366</v>
      </c>
      <c r="AI181" s="106">
        <v>11237.079893475366</v>
      </c>
      <c r="AJ181" s="106">
        <v>14102.698002663115</v>
      </c>
      <c r="AK181" s="104">
        <v>11516.845272969374</v>
      </c>
      <c r="AL181" s="119">
        <v>11226207</v>
      </c>
      <c r="AM181" s="118">
        <v>6734</v>
      </c>
      <c r="AN181" s="118">
        <v>112655</v>
      </c>
      <c r="AO181" s="118">
        <v>589</v>
      </c>
      <c r="AP181" s="118">
        <f t="shared" si="2"/>
        <v>744</v>
      </c>
    </row>
    <row r="182" spans="1:42" ht="12.75">
      <c r="A182" s="106">
        <v>2018</v>
      </c>
      <c r="B182" s="106">
        <v>-164924</v>
      </c>
      <c r="C182" s="106">
        <v>0</v>
      </c>
      <c r="D182" s="106">
        <v>164924</v>
      </c>
      <c r="E182" s="106" t="s">
        <v>422</v>
      </c>
      <c r="F182" s="106" t="s">
        <v>423</v>
      </c>
      <c r="G182" s="106" t="s">
        <v>150</v>
      </c>
      <c r="H182" s="106">
        <v>5</v>
      </c>
      <c r="I182" s="106" t="s">
        <v>3639</v>
      </c>
      <c r="J182" s="106">
        <v>53346</v>
      </c>
      <c r="K182" s="106">
        <v>26567</v>
      </c>
      <c r="L182" s="106">
        <v>7251</v>
      </c>
      <c r="M182" s="106">
        <v>0.15</v>
      </c>
      <c r="N182" s="106">
        <v>0.41</v>
      </c>
      <c r="O182" s="106">
        <v>0.45</v>
      </c>
      <c r="P182" s="106">
        <v>41082</v>
      </c>
      <c r="Q182" s="106">
        <v>15046.344532027244</v>
      </c>
      <c r="R182" s="106">
        <v>0.30660935619764956</v>
      </c>
      <c r="S182" s="106">
        <v>59661.030917578631</v>
      </c>
      <c r="T182" s="106">
        <v>63938.885207010026</v>
      </c>
      <c r="U182" s="106">
        <v>44039.107827719999</v>
      </c>
      <c r="V182" s="106">
        <v>0.77265401186416882</v>
      </c>
      <c r="W182" s="106">
        <v>129476.75370337319</v>
      </c>
      <c r="X182" s="110">
        <v>0.57886889585278323</v>
      </c>
      <c r="Y182" s="106">
        <v>275.13728549141968</v>
      </c>
      <c r="Z182" s="106">
        <v>10.192667706708269</v>
      </c>
      <c r="AA182" s="106">
        <v>136397.01872121764</v>
      </c>
      <c r="AB182" s="106">
        <v>1631.4618768812543</v>
      </c>
      <c r="AC182" s="106">
        <v>0.73315385436972302</v>
      </c>
      <c r="AD182" s="106">
        <v>30.674712810818672</v>
      </c>
      <c r="AE182" s="106">
        <v>83.604171604645657</v>
      </c>
      <c r="AF182" s="106">
        <v>5.1381369607486654E-2</v>
      </c>
      <c r="AG182" s="106">
        <v>52500</v>
      </c>
      <c r="AH182" s="106">
        <v>52260.808831407361</v>
      </c>
      <c r="AI182" s="106">
        <v>59846.746613606796</v>
      </c>
      <c r="AJ182" s="106">
        <v>79269.137215887356</v>
      </c>
      <c r="AK182" s="104">
        <v>49554.040330603813</v>
      </c>
      <c r="AM182" s="118">
        <v>9921</v>
      </c>
      <c r="AN182" s="118">
        <v>352726</v>
      </c>
      <c r="AO182" s="118">
        <v>2385</v>
      </c>
      <c r="AP182" s="118">
        <f t="shared" si="2"/>
        <v>846</v>
      </c>
    </row>
    <row r="183" spans="1:42" ht="12.75">
      <c r="A183" s="106">
        <v>2018</v>
      </c>
      <c r="B183" s="106">
        <v>-164988</v>
      </c>
      <c r="C183" s="106">
        <v>0</v>
      </c>
      <c r="D183" s="106">
        <v>164988</v>
      </c>
      <c r="E183" s="106" t="s">
        <v>424</v>
      </c>
      <c r="F183" s="106" t="s">
        <v>425</v>
      </c>
      <c r="G183" s="106" t="s">
        <v>150</v>
      </c>
      <c r="H183" s="106">
        <v>5</v>
      </c>
      <c r="I183" s="106" t="s">
        <v>3639</v>
      </c>
      <c r="J183" s="106">
        <v>52082</v>
      </c>
      <c r="K183" s="106">
        <v>29154</v>
      </c>
      <c r="L183" s="106">
        <v>15661</v>
      </c>
      <c r="M183" s="106">
        <v>0.18</v>
      </c>
      <c r="N183" s="106">
        <v>0.32</v>
      </c>
      <c r="O183" s="106">
        <v>0.51</v>
      </c>
      <c r="P183" s="106">
        <v>38887</v>
      </c>
      <c r="Q183" s="106">
        <v>12134.667054679125</v>
      </c>
      <c r="R183" s="106">
        <v>0.26672839216061223</v>
      </c>
      <c r="S183" s="106">
        <v>67038.658293766275</v>
      </c>
      <c r="T183" s="106">
        <v>58277.102159595648</v>
      </c>
      <c r="U183" s="106">
        <v>42479.623851905206</v>
      </c>
      <c r="V183" s="106">
        <v>0.78531306878106921</v>
      </c>
      <c r="W183" s="106">
        <v>119068.94848156182</v>
      </c>
      <c r="X183" s="110">
        <v>0.57705182406321087</v>
      </c>
      <c r="Y183" s="106">
        <v>224.43637156563454</v>
      </c>
      <c r="Z183" s="106">
        <v>8.5420846053205413</v>
      </c>
      <c r="AA183" s="106">
        <v>125486.13886937339</v>
      </c>
      <c r="AB183" s="106">
        <v>1616.7813550623634</v>
      </c>
      <c r="AC183" s="106">
        <v>0.79690076450671921</v>
      </c>
      <c r="AD183" s="106">
        <v>37.546291577481064</v>
      </c>
      <c r="AE183" s="106">
        <v>77.614785992217904</v>
      </c>
      <c r="AF183" s="106">
        <v>0.15193872705707748</v>
      </c>
      <c r="AG183" s="106">
        <v>50980</v>
      </c>
      <c r="AH183" s="106">
        <v>60200.358554143051</v>
      </c>
      <c r="AI183" s="106">
        <v>67121.788757849601</v>
      </c>
      <c r="AJ183" s="106">
        <v>74126.543115331602</v>
      </c>
      <c r="AK183" s="104">
        <v>52032.206922959107</v>
      </c>
      <c r="AM183" s="118">
        <v>18080</v>
      </c>
      <c r="AN183" s="118">
        <v>857721</v>
      </c>
      <c r="AO183" s="118">
        <v>4446</v>
      </c>
      <c r="AP183" s="118">
        <f t="shared" si="2"/>
        <v>1102</v>
      </c>
    </row>
    <row r="184" spans="1:42" ht="12.75">
      <c r="A184" s="106">
        <v>2018</v>
      </c>
      <c r="B184" s="106">
        <v>-161004</v>
      </c>
      <c r="C184" s="106">
        <v>0</v>
      </c>
      <c r="D184" s="106">
        <v>161004</v>
      </c>
      <c r="E184" s="106" t="s">
        <v>426</v>
      </c>
      <c r="F184" s="106" t="s">
        <v>427</v>
      </c>
      <c r="G184" s="106" t="s">
        <v>301</v>
      </c>
      <c r="H184" s="106">
        <v>7</v>
      </c>
      <c r="I184" s="106" t="s">
        <v>3641</v>
      </c>
      <c r="J184" s="106">
        <v>51848</v>
      </c>
      <c r="K184" s="106">
        <v>24831</v>
      </c>
      <c r="L184" s="106">
        <v>6123</v>
      </c>
      <c r="M184" s="106">
        <v>0.16</v>
      </c>
      <c r="N184" s="106">
        <v>0.18</v>
      </c>
      <c r="O184" s="106">
        <v>0.52</v>
      </c>
      <c r="P184" s="106">
        <v>42972</v>
      </c>
      <c r="Q184" s="106">
        <v>20928.571428571428</v>
      </c>
      <c r="R184" s="106">
        <v>0.40493025647618436</v>
      </c>
      <c r="S184" s="106">
        <v>63062.569213732007</v>
      </c>
      <c r="T184" s="106">
        <v>92722.037652270214</v>
      </c>
      <c r="U184" s="106">
        <v>72873.170633514528</v>
      </c>
      <c r="V184" s="106">
        <v>0.42204577742557708</v>
      </c>
      <c r="W184" s="106">
        <v>98142.549371633751</v>
      </c>
      <c r="X184" s="110">
        <v>0.5440772501433212</v>
      </c>
      <c r="Y184" s="106">
        <v>250.11059907834101</v>
      </c>
      <c r="Z184" s="106">
        <v>8.32258064516129</v>
      </c>
      <c r="AA184" s="106">
        <v>269138.94921089412</v>
      </c>
      <c r="AB184" s="106">
        <v>2424.8985916668612</v>
      </c>
      <c r="AC184" s="106">
        <v>0.37155528879486399</v>
      </c>
      <c r="AD184" s="106">
        <v>26.957001102535834</v>
      </c>
      <c r="AE184" s="106">
        <v>110.98977505112474</v>
      </c>
      <c r="AF184" s="106">
        <v>0.10697426849101119</v>
      </c>
      <c r="AG184" s="106">
        <v>51344</v>
      </c>
      <c r="AH184" s="106">
        <v>49799.003322259137</v>
      </c>
      <c r="AI184" s="106">
        <v>63225.35991140642</v>
      </c>
      <c r="AJ184" s="106">
        <v>190408.08416389811</v>
      </c>
      <c r="AK184" s="104">
        <v>74756.367663344412</v>
      </c>
      <c r="AL184" s="118"/>
      <c r="AM184" s="118">
        <v>1816</v>
      </c>
      <c r="AN184" s="118">
        <v>54274</v>
      </c>
      <c r="AO184" s="118">
        <v>489</v>
      </c>
      <c r="AP184" s="118">
        <f t="shared" si="2"/>
        <v>504</v>
      </c>
    </row>
    <row r="185" spans="1:42" ht="12.75">
      <c r="A185" s="106">
        <v>2018</v>
      </c>
      <c r="B185" s="106">
        <v>-162007</v>
      </c>
      <c r="C185" s="106">
        <v>0</v>
      </c>
      <c r="D185" s="106">
        <v>162007</v>
      </c>
      <c r="E185" s="106" t="s">
        <v>428</v>
      </c>
      <c r="F185" s="106" t="s">
        <v>429</v>
      </c>
      <c r="G185" s="106" t="s">
        <v>124</v>
      </c>
      <c r="H185" s="106">
        <v>2</v>
      </c>
      <c r="I185" s="106" t="s">
        <v>25</v>
      </c>
      <c r="J185" s="106">
        <v>8064</v>
      </c>
      <c r="K185" s="106">
        <v>13455</v>
      </c>
      <c r="L185" s="106">
        <v>12238</v>
      </c>
      <c r="M185" s="106">
        <v>0.62</v>
      </c>
      <c r="N185" s="106">
        <v>0.7</v>
      </c>
      <c r="O185" s="106">
        <v>0.46</v>
      </c>
      <c r="P185" s="106">
        <v>3200</v>
      </c>
      <c r="Q185" s="106">
        <v>1039.0514167761305</v>
      </c>
      <c r="R185" s="106">
        <v>0.12592375501018993</v>
      </c>
      <c r="S185" s="106">
        <v>22274.891161568776</v>
      </c>
      <c r="T185" s="106">
        <v>22743.697879527117</v>
      </c>
      <c r="U185" s="106">
        <v>17835.243771766032</v>
      </c>
      <c r="V185" s="106">
        <v>0.40438928616631559</v>
      </c>
      <c r="W185" s="106">
        <v>100659.72005914243</v>
      </c>
      <c r="X185" s="110">
        <v>0.56170684034508378</v>
      </c>
      <c r="Y185" s="106">
        <v>539.08620689655174</v>
      </c>
      <c r="Z185" s="106">
        <v>18.375862068965517</v>
      </c>
      <c r="AA185" s="106">
        <v>89327.0808832154</v>
      </c>
      <c r="AB185" s="106">
        <v>607.9509646575699</v>
      </c>
      <c r="AC185" s="106">
        <v>1.1194813377002455</v>
      </c>
      <c r="AD185" s="106">
        <v>20</v>
      </c>
      <c r="AE185" s="106">
        <v>146.93139097744361</v>
      </c>
      <c r="AF185" s="106">
        <v>2.7369137567549152E-2</v>
      </c>
      <c r="AG185" s="106">
        <v>5427</v>
      </c>
      <c r="AH185" s="106">
        <v>22051.901482454494</v>
      </c>
      <c r="AI185" s="106">
        <v>22051.901482454494</v>
      </c>
      <c r="AJ185" s="106">
        <v>22569.826233814976</v>
      </c>
      <c r="AK185" s="104">
        <v>18313.256896228184</v>
      </c>
      <c r="AL185" s="118">
        <v>44518089</v>
      </c>
      <c r="AM185" s="118">
        <v>5187</v>
      </c>
      <c r="AN185" s="118">
        <v>156335</v>
      </c>
      <c r="AO185" s="118">
        <v>781</v>
      </c>
      <c r="AP185" s="118">
        <f t="shared" si="2"/>
        <v>2637</v>
      </c>
    </row>
    <row r="186" spans="1:42" ht="12.75">
      <c r="A186" s="106">
        <v>2018</v>
      </c>
      <c r="B186" s="106">
        <v>2188</v>
      </c>
      <c r="C186" s="106">
        <v>1</v>
      </c>
      <c r="D186" s="106">
        <v>201441</v>
      </c>
      <c r="E186" s="106" t="s">
        <v>3835</v>
      </c>
      <c r="F186" s="106" t="s">
        <v>430</v>
      </c>
      <c r="G186" s="106" t="s">
        <v>82</v>
      </c>
      <c r="H186" s="106">
        <v>1</v>
      </c>
      <c r="I186" s="106" t="s">
        <v>23</v>
      </c>
      <c r="J186" s="106">
        <v>11057</v>
      </c>
      <c r="K186" s="106">
        <v>17508</v>
      </c>
      <c r="L186" s="106">
        <v>14592</v>
      </c>
      <c r="M186" s="106">
        <v>0.33</v>
      </c>
      <c r="N186" s="106">
        <v>0.66</v>
      </c>
      <c r="O186" s="106">
        <v>0.63</v>
      </c>
      <c r="P186" s="106">
        <v>5576</v>
      </c>
      <c r="Q186" s="106">
        <v>3152.7236007251304</v>
      </c>
      <c r="R186" s="106">
        <v>0.25435929126401191</v>
      </c>
      <c r="S186" s="106">
        <v>21003.359959211422</v>
      </c>
      <c r="T186" s="106">
        <v>20078.829311126217</v>
      </c>
      <c r="U186" s="106">
        <v>11785.279764751755</v>
      </c>
      <c r="V186" s="106">
        <v>0.7842021085852694</v>
      </c>
      <c r="W186" s="106">
        <v>72440.229917726247</v>
      </c>
      <c r="X186" s="110">
        <v>0.45543632909936516</v>
      </c>
      <c r="Y186" s="106">
        <v>547.67043048694427</v>
      </c>
      <c r="Z186" s="106">
        <v>18.685956245589274</v>
      </c>
      <c r="AA186" s="106">
        <v>47572.320696866671</v>
      </c>
      <c r="AB186" s="106">
        <v>402.10171987992629</v>
      </c>
      <c r="AC186" s="106">
        <v>2.102062681305906</v>
      </c>
      <c r="AD186" s="106">
        <v>25.971017935621809</v>
      </c>
      <c r="AE186" s="106">
        <v>118.30916990624286</v>
      </c>
      <c r="AF186" s="106">
        <v>0.10438481915328489</v>
      </c>
      <c r="AG186" s="106">
        <v>9096</v>
      </c>
      <c r="AH186" s="106">
        <v>20384.9387604804</v>
      </c>
      <c r="AI186" s="106">
        <v>20384.9387604804</v>
      </c>
      <c r="AJ186" s="106">
        <v>21667.368060276454</v>
      </c>
      <c r="AK186" s="104">
        <v>13908.674257874462</v>
      </c>
      <c r="AL186" s="119">
        <v>77245740</v>
      </c>
      <c r="AM186" s="118">
        <v>16650</v>
      </c>
      <c r="AN186" s="118">
        <v>517366</v>
      </c>
      <c r="AO186" s="118">
        <v>3196</v>
      </c>
      <c r="AP186" s="118">
        <f t="shared" si="2"/>
        <v>1961</v>
      </c>
    </row>
    <row r="187" spans="1:42" ht="12.75">
      <c r="A187" s="106">
        <v>2018</v>
      </c>
      <c r="B187" s="106">
        <v>-143358</v>
      </c>
      <c r="C187" s="106">
        <v>0</v>
      </c>
      <c r="D187" s="106">
        <v>143358</v>
      </c>
      <c r="E187" s="106" t="s">
        <v>431</v>
      </c>
      <c r="F187" s="106" t="s">
        <v>432</v>
      </c>
      <c r="G187" s="106" t="s">
        <v>243</v>
      </c>
      <c r="H187" s="106">
        <v>6</v>
      </c>
      <c r="I187" s="106" t="s">
        <v>3640</v>
      </c>
      <c r="J187" s="106">
        <v>32930</v>
      </c>
      <c r="K187" s="106">
        <v>26084</v>
      </c>
      <c r="L187" s="106">
        <v>16275</v>
      </c>
      <c r="M187" s="106">
        <v>0.33</v>
      </c>
      <c r="N187" s="106">
        <v>0.72</v>
      </c>
      <c r="O187" s="106">
        <v>0.99</v>
      </c>
      <c r="P187" s="106">
        <v>17007</v>
      </c>
      <c r="Q187" s="106">
        <v>11017.572348946544</v>
      </c>
      <c r="R187" s="106">
        <v>0.38450926044177897</v>
      </c>
      <c r="S187" s="106">
        <v>25050.89239073655</v>
      </c>
      <c r="T187" s="106">
        <v>27920.325265540658</v>
      </c>
      <c r="U187" s="106">
        <v>22125.050999113817</v>
      </c>
      <c r="V187" s="106">
        <v>0.7971064988939065</v>
      </c>
      <c r="W187" s="106">
        <v>89184.983560794033</v>
      </c>
      <c r="X187" s="110">
        <v>0.59773161270546049</v>
      </c>
      <c r="Y187" s="106">
        <v>341.0257731958763</v>
      </c>
      <c r="Z187" s="106">
        <v>12.687039764359351</v>
      </c>
      <c r="AA187" s="106">
        <v>92747.567801394631</v>
      </c>
      <c r="AB187" s="106">
        <v>823.10905473120374</v>
      </c>
      <c r="AC187" s="106">
        <v>1.0781953895991687</v>
      </c>
      <c r="AD187" s="106">
        <v>25.776105362182498</v>
      </c>
      <c r="AE187" s="106">
        <v>112.67956204379563</v>
      </c>
      <c r="AF187" s="106">
        <v>1.8106385296389565E-2</v>
      </c>
      <c r="AG187" s="106">
        <v>32540</v>
      </c>
      <c r="AH187" s="106">
        <v>24177.825700853213</v>
      </c>
      <c r="AI187" s="106">
        <v>25050.89239073655</v>
      </c>
      <c r="AJ187" s="106">
        <v>29479.522026815252</v>
      </c>
      <c r="AK187" s="104">
        <v>22825.579139822392</v>
      </c>
      <c r="AM187" s="118">
        <v>4649</v>
      </c>
      <c r="AN187" s="118">
        <v>154371</v>
      </c>
      <c r="AO187" s="118">
        <v>1006</v>
      </c>
      <c r="AP187" s="118">
        <f t="shared" si="2"/>
        <v>390</v>
      </c>
    </row>
    <row r="188" spans="1:42" ht="12.75">
      <c r="A188" s="106">
        <v>2018</v>
      </c>
      <c r="B188" s="106">
        <v>-165015</v>
      </c>
      <c r="C188" s="106">
        <v>0</v>
      </c>
      <c r="D188" s="106">
        <v>165015</v>
      </c>
      <c r="E188" s="106" t="s">
        <v>433</v>
      </c>
      <c r="F188" s="106" t="s">
        <v>347</v>
      </c>
      <c r="G188" s="106" t="s">
        <v>150</v>
      </c>
      <c r="H188" s="106">
        <v>5</v>
      </c>
      <c r="I188" s="106" t="s">
        <v>3639</v>
      </c>
      <c r="J188" s="106">
        <v>53182</v>
      </c>
      <c r="K188" s="106">
        <v>39735</v>
      </c>
      <c r="L188" s="106">
        <v>17062</v>
      </c>
      <c r="M188" s="106">
        <v>0.16</v>
      </c>
      <c r="N188" s="106">
        <v>0.43</v>
      </c>
      <c r="O188" s="106">
        <v>0.62</v>
      </c>
      <c r="P188" s="106">
        <v>29331</v>
      </c>
      <c r="Q188" s="106">
        <v>14785.002516654331</v>
      </c>
      <c r="R188" s="106">
        <v>0.3791363521878981</v>
      </c>
      <c r="S188" s="106">
        <v>47295.093264248702</v>
      </c>
      <c r="T188" s="106">
        <v>51294.484529977795</v>
      </c>
      <c r="U188" s="106">
        <v>34748.502569701341</v>
      </c>
      <c r="V188" s="106">
        <v>0.69676465766672657</v>
      </c>
      <c r="W188" s="106">
        <v>125544.54895176063</v>
      </c>
      <c r="X188" s="110">
        <v>0.59337240705612526</v>
      </c>
      <c r="Y188" s="106">
        <v>310.60821309655938</v>
      </c>
      <c r="Z188" s="106">
        <v>11.245837957824641</v>
      </c>
      <c r="AA188" s="106">
        <v>126810.4456284887</v>
      </c>
      <c r="AB188" s="106">
        <v>1258.099472902325</v>
      </c>
      <c r="AC188" s="106">
        <v>0.78857857098748674</v>
      </c>
      <c r="AD188" s="106">
        <v>34.450027917364601</v>
      </c>
      <c r="AE188" s="106">
        <v>100.79524581307402</v>
      </c>
      <c r="AF188" s="106">
        <v>6.2317976134768679E-2</v>
      </c>
      <c r="AG188" s="106">
        <v>51460</v>
      </c>
      <c r="AH188" s="106">
        <v>37729.717542561069</v>
      </c>
      <c r="AI188" s="106">
        <v>46838.206661732052</v>
      </c>
      <c r="AJ188" s="106">
        <v>61672.310288675057</v>
      </c>
      <c r="AK188" s="104">
        <v>45420.862028127311</v>
      </c>
      <c r="AL188" s="118"/>
      <c r="AM188" s="118">
        <v>3635</v>
      </c>
      <c r="AN188" s="118">
        <v>186572</v>
      </c>
      <c r="AO188" s="118">
        <v>910</v>
      </c>
      <c r="AP188" s="118">
        <f t="shared" si="2"/>
        <v>1722</v>
      </c>
    </row>
    <row r="189" spans="1:42" ht="12.75">
      <c r="A189" s="106">
        <v>2018</v>
      </c>
      <c r="B189" s="106">
        <v>-262086</v>
      </c>
      <c r="C189" s="106">
        <v>0</v>
      </c>
      <c r="D189" s="106">
        <v>262086</v>
      </c>
      <c r="E189" s="106" t="s">
        <v>4051</v>
      </c>
      <c r="F189" s="106" t="s">
        <v>434</v>
      </c>
      <c r="G189" s="106" t="s">
        <v>121</v>
      </c>
      <c r="H189" s="106">
        <v>6</v>
      </c>
      <c r="I189" s="106" t="s">
        <v>3640</v>
      </c>
      <c r="J189" s="106">
        <v>12360</v>
      </c>
      <c r="K189" s="106">
        <v>27446</v>
      </c>
      <c r="L189" s="106">
        <v>27344</v>
      </c>
      <c r="M189" s="106">
        <v>0.6</v>
      </c>
      <c r="N189" s="106">
        <v>0.2</v>
      </c>
      <c r="O189" s="106">
        <v>0.2</v>
      </c>
      <c r="P189" s="106">
        <v>600</v>
      </c>
      <c r="Q189" s="106">
        <v>988.9051670792079</v>
      </c>
      <c r="R189" s="106">
        <v>6.3758071492295329E-2</v>
      </c>
      <c r="S189" s="106">
        <v>14838.032178217822</v>
      </c>
      <c r="T189" s="106">
        <v>14481.481899752474</v>
      </c>
      <c r="U189" s="106">
        <v>14377.284653465347</v>
      </c>
      <c r="V189" s="106">
        <v>1.0100216637975574</v>
      </c>
      <c r="W189" s="106">
        <v>90205.2158203125</v>
      </c>
      <c r="X189" s="110">
        <v>0.65784865933735215</v>
      </c>
      <c r="Y189" s="106">
        <v>549.27150837988825</v>
      </c>
      <c r="Z189" s="106">
        <v>21.66703910614525</v>
      </c>
      <c r="AA189" s="106">
        <v>35607.190804597703</v>
      </c>
      <c r="AB189" s="106">
        <v>567.13880853868409</v>
      </c>
      <c r="AC189" s="106">
        <v>2.8084214940957297</v>
      </c>
      <c r="AD189" s="106">
        <v>55.42578042047144</v>
      </c>
      <c r="AE189" s="107">
        <v>62.783908045977014</v>
      </c>
      <c r="AF189" s="106">
        <v>5.9858786816279104E-2</v>
      </c>
      <c r="AG189" s="106">
        <v>12000</v>
      </c>
      <c r="AH189" s="106">
        <v>14701.650525990099</v>
      </c>
      <c r="AI189" s="106">
        <v>14836.462871287129</v>
      </c>
      <c r="AJ189" s="106">
        <v>14863.387376237624</v>
      </c>
      <c r="AK189" s="104">
        <v>14377.284653465347</v>
      </c>
      <c r="AM189" s="118">
        <v>3677</v>
      </c>
      <c r="AN189" s="118">
        <v>163866</v>
      </c>
      <c r="AO189" s="118">
        <v>1126</v>
      </c>
      <c r="AP189" s="118">
        <f t="shared" si="2"/>
        <v>360</v>
      </c>
    </row>
    <row r="190" spans="1:42" ht="12.75">
      <c r="A190" s="106">
        <v>2018</v>
      </c>
      <c r="B190" s="106">
        <v>-223506</v>
      </c>
      <c r="C190" s="106">
        <v>0</v>
      </c>
      <c r="D190" s="106">
        <v>223506</v>
      </c>
      <c r="E190" s="106" t="s">
        <v>435</v>
      </c>
      <c r="F190" s="106" t="s">
        <v>436</v>
      </c>
      <c r="G190" s="106" t="s">
        <v>60</v>
      </c>
      <c r="H190" s="106">
        <v>4</v>
      </c>
      <c r="I190" s="106" t="s">
        <v>24</v>
      </c>
      <c r="J190" s="106">
        <v>2715</v>
      </c>
      <c r="K190" s="106">
        <v>5487</v>
      </c>
      <c r="L190" s="106">
        <v>3526</v>
      </c>
      <c r="M190" s="106">
        <v>0.28999999999999998</v>
      </c>
      <c r="N190" s="106">
        <v>0</v>
      </c>
      <c r="O190" s="106">
        <v>0.39</v>
      </c>
      <c r="P190" s="106">
        <v>1905</v>
      </c>
      <c r="Q190" s="106">
        <v>72.357563850687626</v>
      </c>
      <c r="R190" s="106">
        <v>1.5653606721895891E-2</v>
      </c>
      <c r="S190" s="106">
        <v>19717.599214145383</v>
      </c>
      <c r="T190" s="106">
        <v>17319.175638506877</v>
      </c>
      <c r="U190" s="106">
        <v>15889.106186651177</v>
      </c>
      <c r="V190" s="106">
        <v>0.2863637262394651</v>
      </c>
      <c r="W190" s="106">
        <v>60388.247524752478</v>
      </c>
      <c r="X190" s="110">
        <v>0.55350148246369524</v>
      </c>
      <c r="Y190" s="106">
        <v>432.21509433962257</v>
      </c>
      <c r="Z190" s="106">
        <v>14.405660377358489</v>
      </c>
      <c r="AA190" s="106">
        <v>33810.848867079636</v>
      </c>
      <c r="AB190" s="106">
        <v>529.5813830250562</v>
      </c>
      <c r="AC190" s="106">
        <v>2.9576305638799352</v>
      </c>
      <c r="AD190" s="106">
        <v>54.068716094032553</v>
      </c>
      <c r="AE190" s="106">
        <v>63.84448160535117</v>
      </c>
      <c r="AF190" s="106">
        <v>0.15808027816241718</v>
      </c>
      <c r="AG190" s="106">
        <v>1950</v>
      </c>
      <c r="AH190" s="106">
        <v>19575.084479371315</v>
      </c>
      <c r="AI190" s="106">
        <v>19575.084479371315</v>
      </c>
      <c r="AJ190" s="106">
        <v>19911.774066797643</v>
      </c>
      <c r="AK190" s="104">
        <v>16674.429469548133</v>
      </c>
      <c r="AL190" s="119">
        <v>33758378</v>
      </c>
      <c r="AM190" s="118">
        <v>4245</v>
      </c>
      <c r="AN190" s="118">
        <v>76358</v>
      </c>
      <c r="AO190" s="118">
        <v>654</v>
      </c>
      <c r="AP190" s="118">
        <f t="shared" si="2"/>
        <v>765</v>
      </c>
    </row>
    <row r="191" spans="1:42" ht="12.75">
      <c r="A191" s="106">
        <v>2018</v>
      </c>
      <c r="B191" s="106">
        <v>-139199</v>
      </c>
      <c r="C191" s="106">
        <v>0</v>
      </c>
      <c r="D191" s="106">
        <v>139199</v>
      </c>
      <c r="E191" s="106" t="s">
        <v>437</v>
      </c>
      <c r="F191" s="106" t="s">
        <v>438</v>
      </c>
      <c r="G191" s="106" t="s">
        <v>63</v>
      </c>
      <c r="H191" s="106">
        <v>6</v>
      </c>
      <c r="I191" s="106" t="s">
        <v>3640</v>
      </c>
      <c r="J191" s="106">
        <v>28510</v>
      </c>
      <c r="K191" s="106">
        <v>22011</v>
      </c>
      <c r="L191" s="106">
        <v>23353</v>
      </c>
      <c r="M191" s="106">
        <v>0.59</v>
      </c>
      <c r="N191" s="106">
        <v>0.73</v>
      </c>
      <c r="O191" s="106">
        <v>0.94</v>
      </c>
      <c r="P191" s="106">
        <v>15695</v>
      </c>
      <c r="Q191" s="106">
        <v>4473.1566217287864</v>
      </c>
      <c r="R191" s="106">
        <v>0.20668623583712159</v>
      </c>
      <c r="S191" s="106">
        <v>20671.071371927042</v>
      </c>
      <c r="T191" s="106">
        <v>20822.471451229183</v>
      </c>
      <c r="U191" s="106">
        <v>18619.74861221253</v>
      </c>
      <c r="V191" s="106">
        <v>0.92209087645509358</v>
      </c>
      <c r="W191" s="106">
        <v>72514.762237762247</v>
      </c>
      <c r="X191" s="110">
        <v>0.52656724391861998</v>
      </c>
      <c r="Y191" s="106">
        <v>362.73234200743491</v>
      </c>
      <c r="Z191" s="106">
        <v>14.063197026022305</v>
      </c>
      <c r="AA191" s="106">
        <v>58552.376558603493</v>
      </c>
      <c r="AB191" s="106">
        <v>721.89094542659495</v>
      </c>
      <c r="AC191" s="106">
        <v>1.7078726070138706</v>
      </c>
      <c r="AD191" s="106">
        <v>38.48368522072937</v>
      </c>
      <c r="AE191" s="106">
        <v>81.109725685785534</v>
      </c>
      <c r="AF191" s="106">
        <v>4.5585889364780106E-2</v>
      </c>
      <c r="AG191" s="106">
        <v>28110</v>
      </c>
      <c r="AH191" s="106">
        <v>19832.423473433784</v>
      </c>
      <c r="AI191" s="106">
        <v>20671.071371927042</v>
      </c>
      <c r="AJ191" s="106">
        <v>22453.464314036479</v>
      </c>
      <c r="AK191" s="104">
        <v>18619.74861221253</v>
      </c>
      <c r="AM191" s="118">
        <v>1736</v>
      </c>
      <c r="AN191" s="118">
        <v>65050</v>
      </c>
      <c r="AO191" s="118">
        <v>376</v>
      </c>
      <c r="AP191" s="118">
        <f t="shared" si="2"/>
        <v>400</v>
      </c>
    </row>
    <row r="192" spans="1:42" ht="12.75">
      <c r="A192" s="106">
        <v>2018</v>
      </c>
      <c r="B192" s="106">
        <v>-156356</v>
      </c>
      <c r="C192" s="106">
        <v>0</v>
      </c>
      <c r="D192" s="106">
        <v>156356</v>
      </c>
      <c r="E192" s="106" t="s">
        <v>439</v>
      </c>
      <c r="F192" s="106" t="s">
        <v>440</v>
      </c>
      <c r="G192" s="106" t="s">
        <v>118</v>
      </c>
      <c r="H192" s="106">
        <v>7</v>
      </c>
      <c r="I192" s="106" t="s">
        <v>3641</v>
      </c>
      <c r="J192" s="106">
        <v>21550</v>
      </c>
      <c r="K192" s="106">
        <v>13413</v>
      </c>
      <c r="L192" s="106">
        <v>10514</v>
      </c>
      <c r="M192" s="106">
        <v>0.5</v>
      </c>
      <c r="N192" s="106">
        <v>0.72</v>
      </c>
      <c r="O192" s="106">
        <v>0.94</v>
      </c>
      <c r="P192" s="106">
        <v>13803</v>
      </c>
      <c r="Q192" s="106">
        <v>6013.7106842737094</v>
      </c>
      <c r="R192" s="106">
        <v>0.35590422412650224</v>
      </c>
      <c r="S192" s="106">
        <v>19125.276110444178</v>
      </c>
      <c r="T192" s="106">
        <v>17466.577430972389</v>
      </c>
      <c r="U192" s="106">
        <v>14909.957983193277</v>
      </c>
      <c r="V192" s="106">
        <v>0.72993370770278088</v>
      </c>
      <c r="W192" s="106">
        <v>47682.48823529412</v>
      </c>
      <c r="X192" s="110">
        <v>0.55712803990801429</v>
      </c>
      <c r="Y192" s="106">
        <v>385.65625</v>
      </c>
      <c r="Z192" s="106">
        <v>13.015625</v>
      </c>
      <c r="AA192" s="106">
        <v>54473.662280701756</v>
      </c>
      <c r="AB192" s="106">
        <v>503.20051049347705</v>
      </c>
      <c r="AC192" s="106">
        <v>1.8357495313001335</v>
      </c>
      <c r="AD192" s="106">
        <v>24.332977588046958</v>
      </c>
      <c r="AE192" s="106">
        <v>108.25438596491227</v>
      </c>
      <c r="AF192" s="106">
        <v>5.9803658723852321E-2</v>
      </c>
      <c r="AG192" s="106">
        <v>20950</v>
      </c>
      <c r="AH192" s="106">
        <v>15727.768307322929</v>
      </c>
      <c r="AI192" s="106">
        <v>18817.617046818727</v>
      </c>
      <c r="AJ192" s="106">
        <v>19672.842737094838</v>
      </c>
      <c r="AK192" s="104">
        <v>15400.273709483794</v>
      </c>
      <c r="AM192" s="118">
        <v>1175</v>
      </c>
      <c r="AN192" s="118">
        <v>24682</v>
      </c>
      <c r="AO192" s="118">
        <v>191</v>
      </c>
      <c r="AP192" s="118">
        <f t="shared" si="2"/>
        <v>600</v>
      </c>
    </row>
    <row r="193" spans="1:42" ht="12.75">
      <c r="A193" s="106">
        <v>2018</v>
      </c>
      <c r="B193" s="106">
        <v>-198066</v>
      </c>
      <c r="C193" s="106">
        <v>0</v>
      </c>
      <c r="D193" s="106">
        <v>198066</v>
      </c>
      <c r="E193" s="106" t="s">
        <v>441</v>
      </c>
      <c r="F193" s="106" t="s">
        <v>442</v>
      </c>
      <c r="G193" s="106" t="s">
        <v>90</v>
      </c>
      <c r="H193" s="106">
        <v>7</v>
      </c>
      <c r="I193" s="106" t="s">
        <v>3641</v>
      </c>
      <c r="J193" s="106">
        <v>28640</v>
      </c>
      <c r="K193" s="106">
        <v>23102</v>
      </c>
      <c r="L193" s="106">
        <v>21420</v>
      </c>
      <c r="M193" s="106">
        <v>0.41</v>
      </c>
      <c r="N193" s="106">
        <v>0.71</v>
      </c>
      <c r="O193" s="106">
        <v>1</v>
      </c>
      <c r="P193" s="106">
        <v>14888</v>
      </c>
      <c r="Q193" s="106">
        <v>13690.408874801902</v>
      </c>
      <c r="R193" s="106">
        <v>0.51081461487212887</v>
      </c>
      <c r="S193" s="106">
        <v>27243.278922345482</v>
      </c>
      <c r="T193" s="106">
        <v>28559.025356576862</v>
      </c>
      <c r="U193" s="106">
        <v>22425.522979397781</v>
      </c>
      <c r="V193" s="106">
        <v>0.58463390529171932</v>
      </c>
      <c r="W193" s="106">
        <v>40342.034161490687</v>
      </c>
      <c r="X193" s="110">
        <v>0.48056226310288502</v>
      </c>
      <c r="Y193" s="106">
        <v>274.536231884058</v>
      </c>
      <c r="Z193" s="106">
        <v>9.1449275362318847</v>
      </c>
      <c r="AA193" s="106">
        <v>111421.29921259843</v>
      </c>
      <c r="AB193" s="106">
        <v>747.00443435569866</v>
      </c>
      <c r="AC193" s="106">
        <v>0.89749447104537972</v>
      </c>
      <c r="AD193" s="106">
        <v>19.126506024096386</v>
      </c>
      <c r="AE193" s="106">
        <v>149.15748031496062</v>
      </c>
      <c r="AF193" s="106">
        <v>5.84876724295747E-2</v>
      </c>
      <c r="AG193" s="106">
        <v>28400</v>
      </c>
      <c r="AH193" s="106">
        <v>23243.24881141046</v>
      </c>
      <c r="AI193" s="106">
        <v>27243.278922345482</v>
      </c>
      <c r="AJ193" s="106">
        <v>29136.399366085578</v>
      </c>
      <c r="AK193" s="104">
        <v>22425.522979397781</v>
      </c>
      <c r="AM193" s="118">
        <v>698</v>
      </c>
      <c r="AN193" s="118">
        <v>18943</v>
      </c>
      <c r="AO193" s="118">
        <v>127</v>
      </c>
      <c r="AP193" s="118">
        <f t="shared" si="2"/>
        <v>240</v>
      </c>
    </row>
    <row r="194" spans="1:42" ht="12.75">
      <c r="A194" s="106">
        <v>2018</v>
      </c>
      <c r="B194" s="106">
        <v>-139205</v>
      </c>
      <c r="C194" s="106">
        <v>0</v>
      </c>
      <c r="D194" s="106">
        <v>139205</v>
      </c>
      <c r="E194" s="106" t="s">
        <v>443</v>
      </c>
      <c r="F194" s="106" t="s">
        <v>444</v>
      </c>
      <c r="G194" s="106" t="s">
        <v>63</v>
      </c>
      <c r="H194" s="106">
        <v>7</v>
      </c>
      <c r="I194" s="106" t="s">
        <v>3641</v>
      </c>
      <c r="J194" s="106">
        <v>17740</v>
      </c>
      <c r="K194" s="106">
        <v>19681</v>
      </c>
      <c r="L194" s="106">
        <v>18143</v>
      </c>
      <c r="M194" s="106">
        <v>0.69</v>
      </c>
      <c r="N194" s="106">
        <v>0.83</v>
      </c>
      <c r="O194" s="106">
        <v>0.98</v>
      </c>
      <c r="P194" s="106">
        <v>7556</v>
      </c>
      <c r="Q194" s="106">
        <v>7190.7018633540374</v>
      </c>
      <c r="R194" s="106">
        <v>0.41453352119837367</v>
      </c>
      <c r="S194" s="106">
        <v>22319.293995859214</v>
      </c>
      <c r="T194" s="106">
        <v>20826.730848861283</v>
      </c>
      <c r="U194" s="106">
        <v>16929.552795031057</v>
      </c>
      <c r="V194" s="106">
        <v>0.59988523872033839</v>
      </c>
      <c r="W194" s="106">
        <v>52140.916666666664</v>
      </c>
      <c r="X194" s="110">
        <v>0.43540129140057404</v>
      </c>
      <c r="Y194" s="106">
        <v>477.18181818181819</v>
      </c>
      <c r="Z194" s="106">
        <v>14.636363636363637</v>
      </c>
      <c r="AA194" s="106">
        <v>146017.39285714287</v>
      </c>
      <c r="AB194" s="106">
        <v>519.27186130691564</v>
      </c>
      <c r="AC194" s="106">
        <v>0.68484992125448851</v>
      </c>
      <c r="AD194" s="106">
        <v>9.7560975609756095</v>
      </c>
      <c r="AE194" s="106">
        <v>281.19642857142856</v>
      </c>
      <c r="AF194" s="106">
        <v>7.9929209868200637E-2</v>
      </c>
      <c r="AG194" s="106">
        <v>16440</v>
      </c>
      <c r="AH194" s="106">
        <v>19079.838509316771</v>
      </c>
      <c r="AI194" s="106">
        <v>22713.180124223603</v>
      </c>
      <c r="AJ194" s="106">
        <v>23389.662525879918</v>
      </c>
      <c r="AK194" s="104">
        <v>16929.552795031057</v>
      </c>
      <c r="AM194" s="118">
        <v>783</v>
      </c>
      <c r="AN194" s="118">
        <v>15747</v>
      </c>
      <c r="AO194" s="118">
        <v>56</v>
      </c>
      <c r="AP194" s="118">
        <f t="shared" si="2"/>
        <v>1300</v>
      </c>
    </row>
    <row r="195" spans="1:42" ht="12.75">
      <c r="A195" s="106">
        <v>2018</v>
      </c>
      <c r="B195" s="106">
        <v>-152992</v>
      </c>
      <c r="C195" s="106">
        <v>0</v>
      </c>
      <c r="D195" s="106">
        <v>152992</v>
      </c>
      <c r="E195" s="106" t="s">
        <v>445</v>
      </c>
      <c r="F195" s="106" t="s">
        <v>446</v>
      </c>
      <c r="G195" s="106" t="s">
        <v>447</v>
      </c>
      <c r="H195" s="106">
        <v>7</v>
      </c>
      <c r="I195" s="106" t="s">
        <v>3641</v>
      </c>
      <c r="J195" s="106">
        <v>29786</v>
      </c>
      <c r="K195" s="106">
        <v>18442</v>
      </c>
      <c r="L195" s="106">
        <v>15794</v>
      </c>
      <c r="M195" s="106">
        <v>0.5</v>
      </c>
      <c r="N195" s="106">
        <v>0.94</v>
      </c>
      <c r="O195" s="106">
        <v>1</v>
      </c>
      <c r="P195" s="106">
        <v>18737</v>
      </c>
      <c r="Q195" s="106">
        <v>11500.255140186915</v>
      </c>
      <c r="R195" s="106">
        <v>0.45898604045723912</v>
      </c>
      <c r="S195" s="106">
        <v>23131.542990654205</v>
      </c>
      <c r="T195" s="106">
        <v>23687.997196261684</v>
      </c>
      <c r="U195" s="106">
        <v>20445.145794392523</v>
      </c>
      <c r="V195" s="106">
        <v>0.66301943298836652</v>
      </c>
      <c r="W195" s="106">
        <v>70756.646209386279</v>
      </c>
      <c r="X195" s="110">
        <v>0.51551775679445211</v>
      </c>
      <c r="Y195" s="106">
        <v>360.26359832635978</v>
      </c>
      <c r="Z195" s="106">
        <v>13.430962343096233</v>
      </c>
      <c r="AA195" s="106">
        <v>71961.53289473684</v>
      </c>
      <c r="AB195" s="106">
        <v>762.21406919619528</v>
      </c>
      <c r="AC195" s="106">
        <v>1.3896313207540614</v>
      </c>
      <c r="AD195" s="106">
        <v>31.633714880332985</v>
      </c>
      <c r="AE195" s="106">
        <v>94.411184210526315</v>
      </c>
      <c r="AF195" s="106">
        <v>6.3478749096739914E-3</v>
      </c>
      <c r="AG195" s="106">
        <v>28650</v>
      </c>
      <c r="AH195" s="106">
        <v>19340.90093457944</v>
      </c>
      <c r="AI195" s="106">
        <v>22659.030841121494</v>
      </c>
      <c r="AJ195" s="106">
        <v>23848.362616822429</v>
      </c>
      <c r="AK195" s="104">
        <v>20445.145794392523</v>
      </c>
      <c r="AL195" s="118"/>
      <c r="AM195" s="118">
        <v>945</v>
      </c>
      <c r="AN195" s="118">
        <v>28701</v>
      </c>
      <c r="AO195" s="118">
        <v>223</v>
      </c>
      <c r="AP195" s="118">
        <f t="shared" si="2"/>
        <v>1136</v>
      </c>
    </row>
    <row r="196" spans="1:42" ht="12.75">
      <c r="A196" s="106">
        <v>2018</v>
      </c>
      <c r="B196" s="106">
        <v>-231581</v>
      </c>
      <c r="C196" s="106">
        <v>0</v>
      </c>
      <c r="D196" s="106">
        <v>231581</v>
      </c>
      <c r="E196" s="106" t="s">
        <v>448</v>
      </c>
      <c r="F196" s="106" t="s">
        <v>449</v>
      </c>
      <c r="G196" s="106" t="s">
        <v>261</v>
      </c>
      <c r="H196" s="106">
        <v>7</v>
      </c>
      <c r="I196" s="106" t="s">
        <v>3641</v>
      </c>
      <c r="J196" s="106">
        <v>33820</v>
      </c>
      <c r="K196" s="106">
        <v>20395</v>
      </c>
      <c r="L196" s="106">
        <v>17240</v>
      </c>
      <c r="M196" s="106">
        <v>0.36</v>
      </c>
      <c r="N196" s="106">
        <v>0.76</v>
      </c>
      <c r="O196" s="106">
        <v>0.99</v>
      </c>
      <c r="P196" s="106">
        <v>24371</v>
      </c>
      <c r="Q196" s="106">
        <v>21860.160533333332</v>
      </c>
      <c r="R196" s="106">
        <v>0.65920592834032665</v>
      </c>
      <c r="S196" s="106">
        <v>26202.994133333334</v>
      </c>
      <c r="T196" s="106">
        <v>26495.880533333333</v>
      </c>
      <c r="U196" s="106">
        <v>20431.686933333334</v>
      </c>
      <c r="V196" s="106">
        <v>0.55312087397423704</v>
      </c>
      <c r="W196" s="106">
        <v>70356.459911894271</v>
      </c>
      <c r="X196" s="110">
        <v>0.53579537073597117</v>
      </c>
      <c r="Y196" s="106">
        <v>425.58333333333331</v>
      </c>
      <c r="Z196" s="106">
        <v>14.204545454545455</v>
      </c>
      <c r="AA196" s="106">
        <v>100024.5770234987</v>
      </c>
      <c r="AB196" s="106">
        <v>681.94123929722127</v>
      </c>
      <c r="AC196" s="106">
        <v>0.99975429015317974</v>
      </c>
      <c r="AD196" s="106">
        <v>20.318302387267906</v>
      </c>
      <c r="AE196" s="106">
        <v>146.67624020887729</v>
      </c>
      <c r="AF196" s="106">
        <v>4.9839192320800176E-2</v>
      </c>
      <c r="AG196" s="106">
        <v>33000</v>
      </c>
      <c r="AH196" s="106">
        <v>22496.791466666666</v>
      </c>
      <c r="AI196" s="106">
        <v>26266.594133333332</v>
      </c>
      <c r="AJ196" s="106">
        <v>30628.858133333335</v>
      </c>
      <c r="AK196" s="104">
        <v>20431.686933333334</v>
      </c>
      <c r="AM196" s="118">
        <v>1882</v>
      </c>
      <c r="AN196" s="118">
        <v>56177</v>
      </c>
      <c r="AO196" s="118">
        <v>383</v>
      </c>
      <c r="AP196" s="118">
        <f t="shared" si="2"/>
        <v>820</v>
      </c>
    </row>
    <row r="197" spans="1:42" ht="12.75">
      <c r="A197" s="106">
        <v>2018</v>
      </c>
      <c r="B197" s="106">
        <v>-165024</v>
      </c>
      <c r="C197" s="106">
        <v>0</v>
      </c>
      <c r="D197" s="106">
        <v>165024</v>
      </c>
      <c r="E197" s="106" t="s">
        <v>450</v>
      </c>
      <c r="F197" s="106" t="s">
        <v>449</v>
      </c>
      <c r="G197" s="106" t="s">
        <v>150</v>
      </c>
      <c r="H197" s="106">
        <v>2</v>
      </c>
      <c r="I197" s="106" t="s">
        <v>25</v>
      </c>
      <c r="J197" s="106">
        <v>10012</v>
      </c>
      <c r="K197" s="106">
        <v>16750</v>
      </c>
      <c r="L197" s="106">
        <v>12246</v>
      </c>
      <c r="M197" s="106">
        <v>0.41</v>
      </c>
      <c r="N197" s="106">
        <v>0.89</v>
      </c>
      <c r="O197" s="106">
        <v>0.46</v>
      </c>
      <c r="P197" s="106">
        <v>2710</v>
      </c>
      <c r="Q197" s="106">
        <v>766.47549573615538</v>
      </c>
      <c r="R197" s="106">
        <v>7.0280713384701959E-2</v>
      </c>
      <c r="S197" s="106">
        <v>21368.381588410561</v>
      </c>
      <c r="T197" s="106">
        <v>22566.744991266823</v>
      </c>
      <c r="U197" s="106">
        <v>14835.394475340941</v>
      </c>
      <c r="V197" s="106">
        <v>0.68346275895779696</v>
      </c>
      <c r="W197" s="106">
        <v>108229.46857597455</v>
      </c>
      <c r="X197" s="110">
        <v>0.61939138278886374</v>
      </c>
      <c r="Y197" s="106">
        <v>578.20606060606065</v>
      </c>
      <c r="Z197" s="106">
        <v>19.662626262626262</v>
      </c>
      <c r="AA197" s="106">
        <v>56780.532610496804</v>
      </c>
      <c r="AB197" s="106">
        <v>504.4962979487002</v>
      </c>
      <c r="AC197" s="106">
        <v>1.7611669951386362</v>
      </c>
      <c r="AD197" s="106">
        <v>27.1629993591113</v>
      </c>
      <c r="AE197" s="106">
        <v>112.54895792371215</v>
      </c>
      <c r="AF197" s="106">
        <v>-8.5665055247012831E-2</v>
      </c>
      <c r="AG197" s="106">
        <v>910</v>
      </c>
      <c r="AH197" s="106">
        <v>20029.261789787321</v>
      </c>
      <c r="AI197" s="106">
        <v>20161.01017158122</v>
      </c>
      <c r="AJ197" s="106">
        <v>21376.646974211446</v>
      </c>
      <c r="AK197" s="104">
        <v>17064.438919141066</v>
      </c>
      <c r="AL197" s="119">
        <v>58883631</v>
      </c>
      <c r="AM197" s="118">
        <v>9558</v>
      </c>
      <c r="AN197" s="118">
        <v>286212</v>
      </c>
      <c r="AO197" s="118">
        <v>2021</v>
      </c>
      <c r="AP197" s="118">
        <f t="shared" si="2"/>
        <v>9102</v>
      </c>
    </row>
    <row r="198" spans="1:42" ht="12.75">
      <c r="A198" s="106">
        <v>2018</v>
      </c>
      <c r="B198" s="106">
        <v>-230047</v>
      </c>
      <c r="C198" s="106">
        <v>0</v>
      </c>
      <c r="D198" s="106">
        <v>230047</v>
      </c>
      <c r="E198" s="106" t="s">
        <v>451</v>
      </c>
      <c r="F198" s="106" t="s">
        <v>452</v>
      </c>
      <c r="G198" s="106" t="s">
        <v>453</v>
      </c>
      <c r="H198" s="106">
        <v>7</v>
      </c>
      <c r="I198" s="106" t="s">
        <v>3641</v>
      </c>
      <c r="J198" s="106">
        <v>5400</v>
      </c>
      <c r="K198" s="106">
        <v>12871</v>
      </c>
      <c r="L198" s="106">
        <v>10398</v>
      </c>
      <c r="M198" s="106">
        <v>0.16</v>
      </c>
      <c r="N198" s="106">
        <v>0.15</v>
      </c>
      <c r="O198" s="106">
        <v>0.71</v>
      </c>
      <c r="P198" s="106">
        <v>3809</v>
      </c>
      <c r="Q198" s="106">
        <v>3336.4070065508404</v>
      </c>
      <c r="R198" s="106">
        <v>0.66707134318512518</v>
      </c>
      <c r="S198" s="106">
        <v>41552.549131301625</v>
      </c>
      <c r="T198" s="106">
        <v>30958.131586442611</v>
      </c>
      <c r="U198" s="106">
        <v>23402.371133654618</v>
      </c>
      <c r="V198" s="106">
        <v>7.1153793098323093E-2</v>
      </c>
      <c r="W198" s="106">
        <v>156568.44380403458</v>
      </c>
      <c r="X198" s="110">
        <v>0.6664489300237364</v>
      </c>
      <c r="Y198" s="106">
        <v>676.56745182012855</v>
      </c>
      <c r="Z198" s="106">
        <v>22.554603854389722</v>
      </c>
      <c r="AA198" s="106">
        <v>106157.26750679762</v>
      </c>
      <c r="AB198" s="106">
        <v>780.16051282542901</v>
      </c>
      <c r="AC198" s="106">
        <v>0.94199862476298801</v>
      </c>
      <c r="AD198" s="106">
        <v>26.921739130434787</v>
      </c>
      <c r="AE198" s="106">
        <v>136.07105943152456</v>
      </c>
      <c r="AF198" s="106">
        <v>0.22684094586557599</v>
      </c>
      <c r="AG198" s="106">
        <v>5400</v>
      </c>
      <c r="AH198" s="106">
        <v>8299.4300769011679</v>
      </c>
      <c r="AI198" s="106">
        <v>41550.070919965823</v>
      </c>
      <c r="AJ198" s="106">
        <v>51058.672742808318</v>
      </c>
      <c r="AK198" s="104">
        <v>23499.003133010538</v>
      </c>
      <c r="AM198" s="118">
        <v>3143</v>
      </c>
      <c r="AN198" s="118">
        <v>105319</v>
      </c>
      <c r="AO198" s="118">
        <v>750</v>
      </c>
      <c r="AP198" s="118">
        <f t="shared" ref="AP198:AP261" si="3">J198-AG198</f>
        <v>0</v>
      </c>
    </row>
    <row r="199" spans="1:42" ht="12.75">
      <c r="A199" s="106">
        <v>2018</v>
      </c>
      <c r="B199" s="106">
        <v>-142522</v>
      </c>
      <c r="C199" s="106">
        <v>0</v>
      </c>
      <c r="D199" s="106">
        <v>142522</v>
      </c>
      <c r="E199" s="106" t="s">
        <v>454</v>
      </c>
      <c r="F199" s="106" t="s">
        <v>455</v>
      </c>
      <c r="G199" s="106" t="s">
        <v>418</v>
      </c>
      <c r="H199" s="106">
        <v>7</v>
      </c>
      <c r="I199" s="106" t="s">
        <v>3641</v>
      </c>
      <c r="J199" s="106">
        <v>4018</v>
      </c>
      <c r="K199" s="106">
        <v>7555</v>
      </c>
      <c r="L199" s="106">
        <v>4256</v>
      </c>
      <c r="M199" s="106">
        <v>0.27</v>
      </c>
      <c r="N199" s="106">
        <v>0.26</v>
      </c>
      <c r="O199" s="106">
        <v>0.41</v>
      </c>
      <c r="P199" s="106">
        <v>2328</v>
      </c>
      <c r="Q199" s="106">
        <v>391.79980209041992</v>
      </c>
      <c r="R199" s="106">
        <v>0.1429809885645501</v>
      </c>
      <c r="S199" s="106">
        <v>5893.5823695549097</v>
      </c>
      <c r="T199" s="106">
        <v>5966.9119920836165</v>
      </c>
      <c r="U199" s="106">
        <v>5468.3241593996745</v>
      </c>
      <c r="V199" s="106">
        <v>0.42945940841162367</v>
      </c>
      <c r="W199" s="106">
        <v>108761.09032602886</v>
      </c>
      <c r="X199" s="110">
        <v>0.70306146069783748</v>
      </c>
      <c r="Y199" s="106">
        <v>1376.724692526017</v>
      </c>
      <c r="Z199" s="106">
        <v>45.891201513718073</v>
      </c>
      <c r="AA199" s="106">
        <v>39815.670969678773</v>
      </c>
      <c r="AB199" s="106">
        <v>182.27897509479808</v>
      </c>
      <c r="AC199" s="106">
        <v>2.5115738995370442</v>
      </c>
      <c r="AD199" s="106">
        <v>21.599714684045001</v>
      </c>
      <c r="AE199" s="106">
        <v>218.43260282197539</v>
      </c>
      <c r="AF199" s="106">
        <v>3.2580383201207506E-2</v>
      </c>
      <c r="AG199" s="106">
        <v>4018</v>
      </c>
      <c r="AH199" s="106">
        <v>3151.8536912198238</v>
      </c>
      <c r="AI199" s="106">
        <v>5840.0430247180821</v>
      </c>
      <c r="AJ199" s="106">
        <v>6632.4654173624422</v>
      </c>
      <c r="AK199" s="104">
        <v>5477.8691735213479</v>
      </c>
      <c r="AL199" s="118"/>
      <c r="AM199" s="118">
        <v>51881</v>
      </c>
      <c r="AN199" s="118">
        <v>1455198</v>
      </c>
      <c r="AO199" s="118">
        <v>6662</v>
      </c>
      <c r="AP199" s="118">
        <f t="shared" si="3"/>
        <v>0</v>
      </c>
    </row>
    <row r="200" spans="1:42" ht="12.75">
      <c r="A200" s="106">
        <v>2018</v>
      </c>
      <c r="B200" s="106">
        <v>-230038</v>
      </c>
      <c r="C200" s="106">
        <v>0</v>
      </c>
      <c r="D200" s="106">
        <v>230038</v>
      </c>
      <c r="E200" s="106" t="s">
        <v>456</v>
      </c>
      <c r="F200" s="106" t="s">
        <v>457</v>
      </c>
      <c r="G200" s="106" t="s">
        <v>458</v>
      </c>
      <c r="H200" s="106">
        <v>5</v>
      </c>
      <c r="I200" s="106" t="s">
        <v>3639</v>
      </c>
      <c r="J200" s="106">
        <v>5460</v>
      </c>
      <c r="K200" s="106">
        <v>13120</v>
      </c>
      <c r="L200" s="106">
        <v>8694</v>
      </c>
      <c r="M200" s="106">
        <v>0.13</v>
      </c>
      <c r="N200" s="106">
        <v>0.12</v>
      </c>
      <c r="O200" s="106">
        <v>0.45</v>
      </c>
      <c r="P200" s="106">
        <v>4061</v>
      </c>
      <c r="Q200" s="106">
        <v>3024.1541755888652</v>
      </c>
      <c r="R200" s="106">
        <v>0.40073927015232674</v>
      </c>
      <c r="S200" s="106">
        <v>34772.394708280779</v>
      </c>
      <c r="T200" s="106">
        <v>32718.6017130621</v>
      </c>
      <c r="U200" s="106">
        <v>21261.981571361099</v>
      </c>
      <c r="V200" s="106">
        <v>0.2126934456570273</v>
      </c>
      <c r="W200" s="106">
        <v>147797.26318849006</v>
      </c>
      <c r="X200" s="110">
        <v>0.60784411343700784</v>
      </c>
      <c r="Y200" s="106">
        <v>662.97062096594698</v>
      </c>
      <c r="Z200" s="106">
        <v>22.762742043178275</v>
      </c>
      <c r="AA200" s="106">
        <v>91578.2961148795</v>
      </c>
      <c r="AB200" s="106">
        <v>730.01877689624257</v>
      </c>
      <c r="AC200" s="106">
        <v>1.0919617883538255</v>
      </c>
      <c r="AD200" s="106">
        <v>24.959006054490413</v>
      </c>
      <c r="AE200" s="106">
        <v>125.44649399873657</v>
      </c>
      <c r="AF200" s="106">
        <v>0.13326236821485682</v>
      </c>
      <c r="AG200" s="106">
        <v>5460</v>
      </c>
      <c r="AH200" s="106">
        <v>12472.715379425656</v>
      </c>
      <c r="AI200" s="106">
        <v>33475.471180076856</v>
      </c>
      <c r="AJ200" s="106">
        <v>47929.808189844829</v>
      </c>
      <c r="AK200" s="104">
        <v>25641.38209498108</v>
      </c>
      <c r="AL200" s="118"/>
      <c r="AM200" s="118">
        <v>31233</v>
      </c>
      <c r="AN200" s="118">
        <v>992909</v>
      </c>
      <c r="AO200" s="118">
        <v>6615</v>
      </c>
      <c r="AP200" s="118">
        <f t="shared" si="3"/>
        <v>0</v>
      </c>
    </row>
    <row r="201" spans="1:42" ht="12.75">
      <c r="A201" s="106">
        <v>2018</v>
      </c>
      <c r="B201" s="106">
        <v>-165033</v>
      </c>
      <c r="C201" s="106">
        <v>0</v>
      </c>
      <c r="D201" s="106">
        <v>165033</v>
      </c>
      <c r="E201" s="106" t="s">
        <v>459</v>
      </c>
      <c r="F201" s="106" t="s">
        <v>460</v>
      </c>
      <c r="G201" s="106" t="s">
        <v>150</v>
      </c>
      <c r="H201" s="106">
        <v>4</v>
      </c>
      <c r="I201" s="106" t="s">
        <v>24</v>
      </c>
      <c r="J201" s="106">
        <v>4656</v>
      </c>
      <c r="K201" s="106">
        <v>6510</v>
      </c>
      <c r="L201" s="106">
        <v>5294</v>
      </c>
      <c r="M201" s="106">
        <v>0.56999999999999995</v>
      </c>
      <c r="N201" s="106">
        <v>0.3</v>
      </c>
      <c r="O201" s="106">
        <v>0.01</v>
      </c>
      <c r="P201" s="106">
        <v>1978</v>
      </c>
      <c r="Q201" s="106"/>
      <c r="R201" s="106"/>
      <c r="S201" s="106">
        <v>15204.278200000001</v>
      </c>
      <c r="T201" s="106">
        <v>14289.5682</v>
      </c>
      <c r="U201" s="106">
        <v>13289.818799999999</v>
      </c>
      <c r="V201" s="106">
        <v>0.44986494473498767</v>
      </c>
      <c r="W201" s="106">
        <v>71345.562828475871</v>
      </c>
      <c r="X201" s="110">
        <v>0.69666795110015989</v>
      </c>
      <c r="Y201" s="106">
        <v>471.17591623036645</v>
      </c>
      <c r="Z201" s="106">
        <v>15.706806282722511</v>
      </c>
      <c r="AA201" s="106">
        <v>40891.750153846151</v>
      </c>
      <c r="AB201" s="106">
        <v>443.02054123247393</v>
      </c>
      <c r="AC201" s="106">
        <v>2.4454810474917839</v>
      </c>
      <c r="AD201" s="106">
        <v>34.010046044370029</v>
      </c>
      <c r="AE201" s="106">
        <v>92.302153846153843</v>
      </c>
      <c r="AF201" s="106">
        <v>0.11477135676607027</v>
      </c>
      <c r="AG201" s="106">
        <v>576</v>
      </c>
      <c r="AH201" s="106">
        <v>13795.0602</v>
      </c>
      <c r="AI201" s="106">
        <v>14472.7932</v>
      </c>
      <c r="AJ201" s="106">
        <v>15361.813399999999</v>
      </c>
      <c r="AK201" s="104">
        <v>14289.5682</v>
      </c>
      <c r="AL201" s="118">
        <v>28139954</v>
      </c>
      <c r="AM201" s="118">
        <v>7637</v>
      </c>
      <c r="AN201" s="118">
        <v>149991</v>
      </c>
      <c r="AO201" s="118">
        <v>1146</v>
      </c>
      <c r="AP201" s="118">
        <f t="shared" si="3"/>
        <v>4080</v>
      </c>
    </row>
    <row r="202" spans="1:42" ht="12.75">
      <c r="A202" s="106">
        <v>2018</v>
      </c>
      <c r="B202" s="106">
        <v>-183859</v>
      </c>
      <c r="C202" s="106">
        <v>0</v>
      </c>
      <c r="D202" s="106">
        <v>183859</v>
      </c>
      <c r="E202" s="106" t="s">
        <v>461</v>
      </c>
      <c r="F202" s="106" t="s">
        <v>462</v>
      </c>
      <c r="G202" s="106" t="s">
        <v>234</v>
      </c>
      <c r="H202" s="106">
        <v>4</v>
      </c>
      <c r="I202" s="106" t="s">
        <v>24</v>
      </c>
      <c r="J202" s="106">
        <v>4388</v>
      </c>
      <c r="K202" s="106">
        <v>7518</v>
      </c>
      <c r="L202" s="106">
        <v>6290</v>
      </c>
      <c r="M202" s="106">
        <v>0.38</v>
      </c>
      <c r="N202" s="106">
        <v>0.12</v>
      </c>
      <c r="O202" s="106">
        <v>7.0000000000000007E-2</v>
      </c>
      <c r="P202" s="106">
        <v>1004</v>
      </c>
      <c r="Q202" s="106">
        <v>152.26945910290237</v>
      </c>
      <c r="R202" s="106">
        <v>3.6239565553167104E-2</v>
      </c>
      <c r="S202" s="106">
        <v>11393.20679419525</v>
      </c>
      <c r="T202" s="106">
        <v>11534.654463500439</v>
      </c>
      <c r="U202" s="106">
        <v>7537.4642725711474</v>
      </c>
      <c r="V202" s="106">
        <v>0.53724656682306038</v>
      </c>
      <c r="W202" s="106">
        <v>88252.616451016627</v>
      </c>
      <c r="X202" s="110">
        <v>0.60674827567575151</v>
      </c>
      <c r="Y202" s="106">
        <v>674.30065897858321</v>
      </c>
      <c r="Z202" s="106">
        <v>22.477759472817137</v>
      </c>
      <c r="AA202" s="106">
        <v>33460.602744415402</v>
      </c>
      <c r="AB202" s="106">
        <v>251.26077914627697</v>
      </c>
      <c r="AC202" s="106">
        <v>2.988589319918634</v>
      </c>
      <c r="AD202" s="106">
        <v>24.860470759524386</v>
      </c>
      <c r="AE202" s="106">
        <v>133.17081503172278</v>
      </c>
      <c r="AF202" s="106">
        <v>2.6422190972518047E-2</v>
      </c>
      <c r="AG202" s="106">
        <v>3510</v>
      </c>
      <c r="AH202" s="106">
        <v>10703.018469656992</v>
      </c>
      <c r="AI202" s="106">
        <v>10765.840259454706</v>
      </c>
      <c r="AJ202" s="106">
        <v>11435.117744063324</v>
      </c>
      <c r="AK202" s="104">
        <v>8917.8533421284083</v>
      </c>
      <c r="AL202" s="118">
        <v>30352940</v>
      </c>
      <c r="AM202" s="118">
        <v>12790</v>
      </c>
      <c r="AN202" s="118">
        <v>272867</v>
      </c>
      <c r="AO202" s="118">
        <v>1939</v>
      </c>
      <c r="AP202" s="118">
        <f t="shared" si="3"/>
        <v>878</v>
      </c>
    </row>
    <row r="203" spans="1:42" ht="12.75">
      <c r="A203" s="106">
        <v>2018</v>
      </c>
      <c r="B203" s="106">
        <v>-223524</v>
      </c>
      <c r="C203" s="106">
        <v>0</v>
      </c>
      <c r="D203" s="106">
        <v>223524</v>
      </c>
      <c r="E203" s="106" t="s">
        <v>463</v>
      </c>
      <c r="F203" s="106" t="s">
        <v>464</v>
      </c>
      <c r="G203" s="106" t="s">
        <v>60</v>
      </c>
      <c r="H203" s="106">
        <v>4</v>
      </c>
      <c r="I203" s="106" t="s">
        <v>24</v>
      </c>
      <c r="J203" s="106">
        <v>1770</v>
      </c>
      <c r="K203" s="106">
        <v>6097</v>
      </c>
      <c r="L203" s="106">
        <v>5632</v>
      </c>
      <c r="M203" s="106">
        <v>0.35</v>
      </c>
      <c r="N203" s="106">
        <v>0.08</v>
      </c>
      <c r="O203" s="106">
        <v>0.03</v>
      </c>
      <c r="P203" s="106">
        <v>1301</v>
      </c>
      <c r="Q203" s="106">
        <v>100.55613247263543</v>
      </c>
      <c r="R203" s="106">
        <v>3.9926512701504602E-2</v>
      </c>
      <c r="S203" s="106">
        <v>9436.0485545888296</v>
      </c>
      <c r="T203" s="106">
        <v>8852.3098512489469</v>
      </c>
      <c r="U203" s="106">
        <v>7657.9840454956429</v>
      </c>
      <c r="V203" s="106">
        <v>0.31574552319481758</v>
      </c>
      <c r="W203" s="106">
        <v>69180.801426220525</v>
      </c>
      <c r="X203" s="110">
        <v>0.66642085262317541</v>
      </c>
      <c r="Y203" s="106">
        <v>762.55291319857304</v>
      </c>
      <c r="Z203" s="106">
        <v>25.419738406658738</v>
      </c>
      <c r="AA203" s="106">
        <v>29967.487264251486</v>
      </c>
      <c r="AB203" s="106">
        <v>255.27927018511548</v>
      </c>
      <c r="AC203" s="106">
        <v>3.3369497788788922</v>
      </c>
      <c r="AD203" s="106">
        <v>31.548856548856545</v>
      </c>
      <c r="AE203" s="106">
        <v>117.39099395936299</v>
      </c>
      <c r="AF203" s="106">
        <v>7.0872096718898298E-2</v>
      </c>
      <c r="AG203" s="106">
        <v>1770</v>
      </c>
      <c r="AH203" s="106">
        <v>8871.0499579006464</v>
      </c>
      <c r="AI203" s="106">
        <v>8871.4854055571141</v>
      </c>
      <c r="AJ203" s="106">
        <v>9438.5759191692396</v>
      </c>
      <c r="AK203" s="104">
        <v>8589.2791187201801</v>
      </c>
      <c r="AL203" s="119">
        <v>43409124</v>
      </c>
      <c r="AM203" s="118">
        <v>13286</v>
      </c>
      <c r="AN203" s="118">
        <v>213769</v>
      </c>
      <c r="AO203" s="118">
        <v>1166</v>
      </c>
      <c r="AP203" s="118">
        <f t="shared" si="3"/>
        <v>0</v>
      </c>
    </row>
    <row r="204" spans="1:42" ht="12.75">
      <c r="A204" s="106">
        <v>2018</v>
      </c>
      <c r="B204" s="106">
        <v>-132709</v>
      </c>
      <c r="C204" s="106">
        <v>0</v>
      </c>
      <c r="D204" s="106">
        <v>132709</v>
      </c>
      <c r="E204" s="106" t="s">
        <v>465</v>
      </c>
      <c r="F204" s="106" t="s">
        <v>466</v>
      </c>
      <c r="G204" s="106" t="s">
        <v>258</v>
      </c>
      <c r="H204" s="106">
        <v>4</v>
      </c>
      <c r="I204" s="106" t="s">
        <v>24</v>
      </c>
      <c r="J204" s="106">
        <v>2830</v>
      </c>
      <c r="K204" s="106">
        <v>7457</v>
      </c>
      <c r="L204" s="106">
        <v>8075</v>
      </c>
      <c r="M204" s="106">
        <v>0.63</v>
      </c>
      <c r="N204" s="106">
        <v>0.11</v>
      </c>
      <c r="O204" s="106">
        <v>0.06</v>
      </c>
      <c r="P204" s="106">
        <v>1405</v>
      </c>
      <c r="Q204" s="106">
        <v>416.41401494189262</v>
      </c>
      <c r="R204" s="106">
        <v>0.11994163673379782</v>
      </c>
      <c r="S204" s="106">
        <v>9108.1849405091307</v>
      </c>
      <c r="T204" s="106">
        <v>9696.7594770337582</v>
      </c>
      <c r="U204" s="106">
        <v>7696.8389046863549</v>
      </c>
      <c r="V204" s="106">
        <v>0.39696703584907944</v>
      </c>
      <c r="W204" s="106">
        <v>83453.610703043028</v>
      </c>
      <c r="X204" s="110">
        <v>0.56736595126902822</v>
      </c>
      <c r="Y204" s="106">
        <v>1066.2594576828267</v>
      </c>
      <c r="Z204" s="106">
        <v>35.635168447000822</v>
      </c>
      <c r="AA204" s="106">
        <v>18638.998778146568</v>
      </c>
      <c r="AB204" s="106">
        <v>257.2339676817341</v>
      </c>
      <c r="AC204" s="106">
        <v>5.3650950456226081</v>
      </c>
      <c r="AD204" s="106">
        <v>50.533310759332942</v>
      </c>
      <c r="AE204" s="106">
        <v>72.459321551218693</v>
      </c>
      <c r="AF204" s="106">
        <v>2.1627090847468674E-4</v>
      </c>
      <c r="AG204" s="106">
        <v>1968</v>
      </c>
      <c r="AH204" s="106">
        <v>7987.9553472606531</v>
      </c>
      <c r="AI204" s="106">
        <v>8090.4791436081905</v>
      </c>
      <c r="AJ204" s="106">
        <v>9152.2670863309359</v>
      </c>
      <c r="AK204" s="104">
        <v>9501.0075401217491</v>
      </c>
      <c r="AL204" s="118">
        <v>90252332</v>
      </c>
      <c r="AM204" s="118">
        <v>40754</v>
      </c>
      <c r="AN204" s="118">
        <v>865091.84</v>
      </c>
      <c r="AO204" s="118">
        <v>7139</v>
      </c>
      <c r="AP204" s="118">
        <f t="shared" si="3"/>
        <v>862</v>
      </c>
    </row>
    <row r="205" spans="1:42" ht="12.75">
      <c r="A205" s="106">
        <v>2018</v>
      </c>
      <c r="B205" s="106">
        <v>-217156</v>
      </c>
      <c r="C205" s="106">
        <v>0</v>
      </c>
      <c r="D205" s="106">
        <v>217156</v>
      </c>
      <c r="E205" s="106" t="s">
        <v>467</v>
      </c>
      <c r="F205" s="106" t="s">
        <v>468</v>
      </c>
      <c r="G205" s="106" t="s">
        <v>469</v>
      </c>
      <c r="H205" s="106">
        <v>5</v>
      </c>
      <c r="I205" s="106" t="s">
        <v>3639</v>
      </c>
      <c r="J205" s="106">
        <v>53419</v>
      </c>
      <c r="K205" s="106">
        <v>27238</v>
      </c>
      <c r="L205" s="106">
        <v>6250</v>
      </c>
      <c r="M205" s="106">
        <v>0.14000000000000001</v>
      </c>
      <c r="N205" s="106">
        <v>0.25</v>
      </c>
      <c r="O205" s="106">
        <v>0.44</v>
      </c>
      <c r="P205" s="106">
        <v>42278</v>
      </c>
      <c r="Q205" s="106">
        <v>19984.716599190284</v>
      </c>
      <c r="R205" s="106">
        <v>0.35850084337546279</v>
      </c>
      <c r="S205" s="106">
        <v>98970.647773279357</v>
      </c>
      <c r="T205" s="106">
        <v>98010.121457489877</v>
      </c>
      <c r="U205" s="106">
        <v>62862.607443658788</v>
      </c>
      <c r="V205" s="106">
        <v>0.5688680086622272</v>
      </c>
      <c r="W205" s="106">
        <v>116661.19343211854</v>
      </c>
      <c r="X205" s="110">
        <v>0.50137864799553877</v>
      </c>
      <c r="Y205" s="106">
        <v>206.34524714828896</v>
      </c>
      <c r="Z205" s="106">
        <v>7.5133079847908748</v>
      </c>
      <c r="AA205" s="106">
        <v>226589.77071993754</v>
      </c>
      <c r="AB205" s="106">
        <v>2288.9120877681053</v>
      </c>
      <c r="AC205" s="106">
        <v>0.44132618909614807</v>
      </c>
      <c r="AD205" s="106">
        <v>28.176398026315791</v>
      </c>
      <c r="AE205" s="106">
        <v>98.994527544691721</v>
      </c>
      <c r="AF205" s="106">
        <v>0.10742959753162026</v>
      </c>
      <c r="AG205" s="106">
        <v>52231</v>
      </c>
      <c r="AH205" s="106">
        <v>65814.574898785431</v>
      </c>
      <c r="AI205" s="106">
        <v>96833.299595141696</v>
      </c>
      <c r="AJ205" s="106">
        <v>144346.76113360323</v>
      </c>
      <c r="AK205" s="104">
        <v>86379.149797570848</v>
      </c>
      <c r="AM205" s="118">
        <v>6988</v>
      </c>
      <c r="AN205" s="118">
        <v>271344</v>
      </c>
      <c r="AO205" s="118">
        <v>1696</v>
      </c>
      <c r="AP205" s="118">
        <f t="shared" si="3"/>
        <v>1188</v>
      </c>
    </row>
    <row r="206" spans="1:42" ht="12.75">
      <c r="A206" s="106">
        <v>2018</v>
      </c>
      <c r="B206" s="106">
        <v>-198084</v>
      </c>
      <c r="C206" s="106">
        <v>0</v>
      </c>
      <c r="D206" s="106">
        <v>198084</v>
      </c>
      <c r="E206" s="106" t="s">
        <v>470</v>
      </c>
      <c r="F206" s="106" t="s">
        <v>471</v>
      </c>
      <c r="G206" s="106" t="s">
        <v>90</v>
      </c>
      <c r="H206" s="106">
        <v>4</v>
      </c>
      <c r="I206" s="106" t="s">
        <v>24</v>
      </c>
      <c r="J206" s="106">
        <v>2532</v>
      </c>
      <c r="K206" s="106">
        <v>7224</v>
      </c>
      <c r="L206" s="106">
        <v>6526</v>
      </c>
      <c r="M206" s="106">
        <v>0.56000000000000005</v>
      </c>
      <c r="N206" s="106">
        <v>0.03</v>
      </c>
      <c r="O206" s="106">
        <v>0.08</v>
      </c>
      <c r="P206" s="106">
        <v>646</v>
      </c>
      <c r="Q206" s="106">
        <v>138.92447129909365</v>
      </c>
      <c r="R206" s="106">
        <v>7.3780355402761635E-2</v>
      </c>
      <c r="S206" s="106">
        <v>18129.894259818731</v>
      </c>
      <c r="T206" s="106">
        <v>20448.759315206444</v>
      </c>
      <c r="U206" s="106">
        <v>15283.052366565962</v>
      </c>
      <c r="V206" s="106">
        <v>0.11411477977402715</v>
      </c>
      <c r="W206" s="106">
        <v>39024.173960612694</v>
      </c>
      <c r="X206" s="110">
        <v>0.58552096272076037</v>
      </c>
      <c r="Y206" s="106">
        <v>276.68730650154799</v>
      </c>
      <c r="Z206" s="106">
        <v>9.2229102167182671</v>
      </c>
      <c r="AA206" s="106">
        <v>28851.846007604563</v>
      </c>
      <c r="AB206" s="106">
        <v>509.43507888553205</v>
      </c>
      <c r="AC206" s="106">
        <v>3.4659827303127408</v>
      </c>
      <c r="AD206" s="106">
        <v>61.162790697674417</v>
      </c>
      <c r="AE206" s="106">
        <v>56.634980988593156</v>
      </c>
      <c r="AF206" s="106">
        <v>-3.2550696874975638E-2</v>
      </c>
      <c r="AG206" s="106">
        <v>2432</v>
      </c>
      <c r="AH206" s="106">
        <v>17067.521651560928</v>
      </c>
      <c r="AI206" s="106">
        <v>17212.429003021149</v>
      </c>
      <c r="AJ206" s="106">
        <v>18146.283987915409</v>
      </c>
      <c r="AK206" s="104">
        <v>16540.252769385701</v>
      </c>
      <c r="AL206" s="119">
        <v>12842483</v>
      </c>
      <c r="AM206" s="118">
        <v>1425</v>
      </c>
      <c r="AN206" s="118">
        <v>29790</v>
      </c>
      <c r="AO206" s="118">
        <v>291</v>
      </c>
      <c r="AP206" s="118">
        <f t="shared" si="3"/>
        <v>100</v>
      </c>
    </row>
    <row r="207" spans="1:42" ht="12.75">
      <c r="A207" s="106">
        <v>2018</v>
      </c>
      <c r="B207" s="106">
        <v>-219790</v>
      </c>
      <c r="C207" s="106">
        <v>0</v>
      </c>
      <c r="D207" s="106">
        <v>219790</v>
      </c>
      <c r="E207" s="106" t="s">
        <v>472</v>
      </c>
      <c r="F207" s="106" t="s">
        <v>473</v>
      </c>
      <c r="G207" s="106" t="s">
        <v>255</v>
      </c>
      <c r="H207" s="106">
        <v>6</v>
      </c>
      <c r="I207" s="106" t="s">
        <v>3640</v>
      </c>
      <c r="J207" s="106">
        <v>25600</v>
      </c>
      <c r="K207" s="106">
        <v>15619</v>
      </c>
      <c r="L207" s="106">
        <v>12734</v>
      </c>
      <c r="M207" s="106">
        <v>0.4</v>
      </c>
      <c r="N207" s="106">
        <v>0.57999999999999996</v>
      </c>
      <c r="O207" s="106">
        <v>0.92</v>
      </c>
      <c r="P207" s="106">
        <v>14407</v>
      </c>
      <c r="Q207" s="106">
        <v>9908.5958702064891</v>
      </c>
      <c r="R207" s="106">
        <v>0.48752861805734227</v>
      </c>
      <c r="S207" s="106">
        <v>17314.281219272369</v>
      </c>
      <c r="T207" s="106">
        <v>16359.006882989184</v>
      </c>
      <c r="U207" s="106">
        <v>14296.246804326451</v>
      </c>
      <c r="V207" s="106">
        <v>0.7285503693682831</v>
      </c>
      <c r="W207" s="106">
        <v>38558.919028340082</v>
      </c>
      <c r="X207" s="110">
        <v>0.57245837768699015</v>
      </c>
      <c r="Y207" s="106">
        <v>342.78707224334602</v>
      </c>
      <c r="Z207" s="106">
        <v>11.600760456273765</v>
      </c>
      <c r="AA207" s="106">
        <v>55706.065134099619</v>
      </c>
      <c r="AB207" s="106">
        <v>483.82027220392001</v>
      </c>
      <c r="AC207" s="106">
        <v>1.7951366652674687</v>
      </c>
      <c r="AD207" s="106">
        <v>24.011039558417664</v>
      </c>
      <c r="AE207" s="106">
        <v>115.13793103448276</v>
      </c>
      <c r="AF207" s="106">
        <v>5.1871785717475354E-2</v>
      </c>
      <c r="AG207" s="106">
        <v>25600</v>
      </c>
      <c r="AH207" s="106">
        <v>15064.451327433628</v>
      </c>
      <c r="AI207" s="106">
        <v>17105.235988200591</v>
      </c>
      <c r="AJ207" s="106">
        <v>17741.062930186825</v>
      </c>
      <c r="AK207" s="104">
        <v>14296.246804326451</v>
      </c>
      <c r="AM207" s="118">
        <v>1246</v>
      </c>
      <c r="AN207" s="118">
        <v>30051</v>
      </c>
      <c r="AO207" s="118">
        <v>208</v>
      </c>
      <c r="AP207" s="118">
        <f t="shared" si="3"/>
        <v>0</v>
      </c>
    </row>
    <row r="208" spans="1:42" ht="12.75">
      <c r="A208" s="106">
        <v>2018</v>
      </c>
      <c r="B208" s="106">
        <v>-217165</v>
      </c>
      <c r="C208" s="106">
        <v>0</v>
      </c>
      <c r="D208" s="106">
        <v>217165</v>
      </c>
      <c r="E208" s="106" t="s">
        <v>474</v>
      </c>
      <c r="F208" s="106" t="s">
        <v>475</v>
      </c>
      <c r="G208" s="106" t="s">
        <v>469</v>
      </c>
      <c r="H208" s="106">
        <v>6</v>
      </c>
      <c r="I208" s="106" t="s">
        <v>3640</v>
      </c>
      <c r="J208" s="106">
        <v>42109</v>
      </c>
      <c r="K208" s="106">
        <v>38102</v>
      </c>
      <c r="L208" s="106">
        <v>31572</v>
      </c>
      <c r="M208" s="106">
        <v>0.14000000000000001</v>
      </c>
      <c r="N208" s="106">
        <v>0.63</v>
      </c>
      <c r="O208" s="106">
        <v>0.94</v>
      </c>
      <c r="P208" s="106">
        <v>20417</v>
      </c>
      <c r="Q208" s="106">
        <v>15841.343669250646</v>
      </c>
      <c r="R208" s="106">
        <v>0.38873846739164897</v>
      </c>
      <c r="S208" s="106">
        <v>40194.056847545216</v>
      </c>
      <c r="T208" s="106">
        <v>39134.625322997417</v>
      </c>
      <c r="U208" s="106">
        <v>27681.746287628015</v>
      </c>
      <c r="V208" s="106">
        <v>0.8998457708108637</v>
      </c>
      <c r="W208" s="106">
        <v>118388.37209302327</v>
      </c>
      <c r="X208" s="110">
        <v>0.56021419469003175</v>
      </c>
      <c r="Y208" s="106">
        <v>528.99689440993791</v>
      </c>
      <c r="Z208" s="106">
        <v>18.027950310559007</v>
      </c>
      <c r="AA208" s="106">
        <v>111475.91897307015</v>
      </c>
      <c r="AB208" s="106">
        <v>943.3801064928972</v>
      </c>
      <c r="AC208" s="106">
        <v>0.89705472644865614</v>
      </c>
      <c r="AD208" s="106">
        <v>26.481124276660239</v>
      </c>
      <c r="AE208" s="106">
        <v>118.16649323621228</v>
      </c>
      <c r="AF208" s="106">
        <v>7.2155153849077155E-2</v>
      </c>
      <c r="AG208" s="106">
        <v>41700</v>
      </c>
      <c r="AH208" s="106">
        <v>37710.077519379847</v>
      </c>
      <c r="AI208" s="106">
        <v>40311.627906976741</v>
      </c>
      <c r="AJ208" s="106">
        <v>45021.963824289407</v>
      </c>
      <c r="AK208" s="104">
        <v>31295.865633074936</v>
      </c>
      <c r="AM208" s="118">
        <v>3477</v>
      </c>
      <c r="AN208" s="118">
        <v>113558</v>
      </c>
      <c r="AO208" s="118">
        <v>792</v>
      </c>
      <c r="AP208" s="118">
        <f t="shared" si="3"/>
        <v>409</v>
      </c>
    </row>
    <row r="209" spans="1:42" ht="12.75">
      <c r="A209" s="106">
        <v>2018</v>
      </c>
      <c r="B209" s="106">
        <v>-210492</v>
      </c>
      <c r="C209" s="106">
        <v>0</v>
      </c>
      <c r="D209" s="106">
        <v>210492</v>
      </c>
      <c r="E209" s="106" t="s">
        <v>476</v>
      </c>
      <c r="F209" s="106" t="s">
        <v>477</v>
      </c>
      <c r="G209" s="106" t="s">
        <v>104</v>
      </c>
      <c r="H209" s="106">
        <v>7</v>
      </c>
      <c r="I209" s="106" t="s">
        <v>3641</v>
      </c>
      <c r="J209" s="106">
        <v>21126</v>
      </c>
      <c r="K209" s="106">
        <v>18007</v>
      </c>
      <c r="L209" s="106">
        <v>18387</v>
      </c>
      <c r="M209" s="106">
        <v>0.37</v>
      </c>
      <c r="N209" s="106">
        <v>0.76</v>
      </c>
      <c r="O209" s="106">
        <v>0.76</v>
      </c>
      <c r="P209" s="106">
        <v>12026</v>
      </c>
      <c r="Q209" s="106">
        <v>6995.6912181303114</v>
      </c>
      <c r="R209" s="106">
        <v>0.37529790807060737</v>
      </c>
      <c r="S209" s="106">
        <v>28655.790368271955</v>
      </c>
      <c r="T209" s="106">
        <v>47532.243626062322</v>
      </c>
      <c r="U209" s="106">
        <v>36212.75143810275</v>
      </c>
      <c r="V209" s="106">
        <v>0.32156289128508286</v>
      </c>
      <c r="W209" s="106">
        <v>69500.338235294112</v>
      </c>
      <c r="X209" s="110">
        <v>0.46944158734771485</v>
      </c>
      <c r="Y209" s="106">
        <v>224.08510638297872</v>
      </c>
      <c r="Z209" s="106">
        <v>7.5106382978723403</v>
      </c>
      <c r="AA209" s="106">
        <v>232420.02286636856</v>
      </c>
      <c r="AB209" s="106">
        <v>1213.739200308609</v>
      </c>
      <c r="AC209" s="106">
        <v>0.43025552947947032</v>
      </c>
      <c r="AD209" s="106">
        <v>16.97530864197531</v>
      </c>
      <c r="AE209" s="106">
        <v>191.4909090909091</v>
      </c>
      <c r="AF209" s="106"/>
      <c r="AG209" s="106">
        <v>19671</v>
      </c>
      <c r="AH209" s="106">
        <v>18463.283286118982</v>
      </c>
      <c r="AI209" s="106">
        <v>28854.470254957509</v>
      </c>
      <c r="AJ209" s="106">
        <v>41220.053824362607</v>
      </c>
      <c r="AK209" s="104">
        <v>38022.688385269124</v>
      </c>
      <c r="AM209" s="118">
        <v>331</v>
      </c>
      <c r="AN209" s="118">
        <v>10532</v>
      </c>
      <c r="AO209" s="118">
        <v>51</v>
      </c>
      <c r="AP209" s="118">
        <f t="shared" si="3"/>
        <v>1455</v>
      </c>
    </row>
    <row r="210" spans="1:42" ht="12.75">
      <c r="A210" s="106">
        <v>2018</v>
      </c>
      <c r="B210" s="106">
        <v>-211273</v>
      </c>
      <c r="C210" s="106">
        <v>0</v>
      </c>
      <c r="D210" s="106">
        <v>211273</v>
      </c>
      <c r="E210" s="106" t="s">
        <v>478</v>
      </c>
      <c r="F210" s="106" t="s">
        <v>479</v>
      </c>
      <c r="G210" s="106" t="s">
        <v>104</v>
      </c>
      <c r="H210" s="106">
        <v>7</v>
      </c>
      <c r="I210" s="106" t="s">
        <v>3641</v>
      </c>
      <c r="J210" s="106">
        <v>50500</v>
      </c>
      <c r="K210" s="106">
        <v>32521</v>
      </c>
      <c r="L210" s="106">
        <v>8289</v>
      </c>
      <c r="M210" s="106">
        <v>0.15</v>
      </c>
      <c r="N210" s="106">
        <v>0.39</v>
      </c>
      <c r="O210" s="106">
        <v>0.62</v>
      </c>
      <c r="P210" s="106">
        <v>35569</v>
      </c>
      <c r="Q210" s="106">
        <v>22819.075144508672</v>
      </c>
      <c r="R210" s="106">
        <v>0.50456288343558287</v>
      </c>
      <c r="S210" s="106">
        <v>76827.167630057796</v>
      </c>
      <c r="T210" s="106">
        <v>70563.005780346823</v>
      </c>
      <c r="U210" s="106">
        <v>53577.379514964465</v>
      </c>
      <c r="V210" s="106">
        <v>0.41820556705735612</v>
      </c>
      <c r="W210" s="106">
        <v>97834.32835820895</v>
      </c>
      <c r="X210" s="110">
        <v>0.53696118747644872</v>
      </c>
      <c r="Y210" s="106">
        <v>265.34391534391534</v>
      </c>
      <c r="Z210" s="106">
        <v>9.1534391534391535</v>
      </c>
      <c r="AA210" s="106">
        <v>189936.20196903386</v>
      </c>
      <c r="AB210" s="106">
        <v>1848.2326333178171</v>
      </c>
      <c r="AC210" s="106">
        <v>0.52649257468201571</v>
      </c>
      <c r="AD210" s="106">
        <v>30.367143746110763</v>
      </c>
      <c r="AE210" s="106">
        <v>102.76639344262296</v>
      </c>
      <c r="AF210" s="106">
        <v>7.498030947690347E-2</v>
      </c>
      <c r="AG210" s="106">
        <v>49310</v>
      </c>
      <c r="AH210" s="106">
        <v>44469.364161849713</v>
      </c>
      <c r="AI210" s="106">
        <v>75399.421965317917</v>
      </c>
      <c r="AJ210" s="106">
        <v>113327.1676300578</v>
      </c>
      <c r="AK210" s="104">
        <v>60567.052023121389</v>
      </c>
      <c r="AL210" s="118"/>
      <c r="AM210" s="118">
        <v>1334</v>
      </c>
      <c r="AN210" s="118">
        <v>50150</v>
      </c>
      <c r="AO210" s="118">
        <v>326</v>
      </c>
      <c r="AP210" s="118">
        <f t="shared" si="3"/>
        <v>1190</v>
      </c>
    </row>
    <row r="211" spans="1:42" ht="12.75">
      <c r="A211" s="106">
        <v>2018</v>
      </c>
      <c r="B211" s="106">
        <v>-211291</v>
      </c>
      <c r="C211" s="106">
        <v>0</v>
      </c>
      <c r="D211" s="106">
        <v>211291</v>
      </c>
      <c r="E211" s="106" t="s">
        <v>480</v>
      </c>
      <c r="F211" s="106" t="s">
        <v>481</v>
      </c>
      <c r="G211" s="106" t="s">
        <v>104</v>
      </c>
      <c r="H211" s="106">
        <v>7</v>
      </c>
      <c r="I211" s="106" t="s">
        <v>3641</v>
      </c>
      <c r="J211" s="106">
        <v>53986</v>
      </c>
      <c r="K211" s="106">
        <v>36305</v>
      </c>
      <c r="L211" s="106">
        <v>22480</v>
      </c>
      <c r="M211" s="106">
        <v>0.12</v>
      </c>
      <c r="N211" s="106">
        <v>0.3</v>
      </c>
      <c r="O211" s="106">
        <v>0.51</v>
      </c>
      <c r="P211" s="106">
        <v>32744</v>
      </c>
      <c r="Q211" s="106">
        <v>15639.513356254958</v>
      </c>
      <c r="R211" s="106">
        <v>0.30811757165858156</v>
      </c>
      <c r="S211" s="106">
        <v>64047.077492726792</v>
      </c>
      <c r="T211" s="106">
        <v>63806.664903464691</v>
      </c>
      <c r="U211" s="106">
        <v>53256.154173947543</v>
      </c>
      <c r="V211" s="106">
        <v>0.65943086198630629</v>
      </c>
      <c r="W211" s="106">
        <v>110461.15784265216</v>
      </c>
      <c r="X211" s="110">
        <v>0.61689595569796019</v>
      </c>
      <c r="Y211" s="106">
        <v>271.91192954363493</v>
      </c>
      <c r="Z211" s="106">
        <v>9.0816653322658123</v>
      </c>
      <c r="AA211" s="106">
        <v>231983.31674158489</v>
      </c>
      <c r="AB211" s="106">
        <v>1778.7177263722388</v>
      </c>
      <c r="AC211" s="106">
        <v>0.43106548093453567</v>
      </c>
      <c r="AD211" s="106">
        <v>23.800383877159309</v>
      </c>
      <c r="AE211" s="106">
        <v>130.42165898617512</v>
      </c>
      <c r="AF211" s="106">
        <v>7.0817300737740493E-2</v>
      </c>
      <c r="AG211" s="106">
        <v>53692</v>
      </c>
      <c r="AH211" s="106">
        <v>52572.335361015605</v>
      </c>
      <c r="AI211" s="106">
        <v>64131.446707220312</v>
      </c>
      <c r="AJ211" s="106">
        <v>83228.510975932295</v>
      </c>
      <c r="AK211" s="104">
        <v>54539.27532398836</v>
      </c>
      <c r="AM211" s="118">
        <v>3611</v>
      </c>
      <c r="AN211" s="118">
        <v>113206</v>
      </c>
      <c r="AO211" s="118">
        <v>852</v>
      </c>
      <c r="AP211" s="118">
        <f t="shared" si="3"/>
        <v>294</v>
      </c>
    </row>
    <row r="212" spans="1:42" ht="12.75">
      <c r="A212" s="106">
        <v>2018</v>
      </c>
      <c r="B212" s="106">
        <v>-211307</v>
      </c>
      <c r="C212" s="106">
        <v>0</v>
      </c>
      <c r="D212" s="106">
        <v>211307</v>
      </c>
      <c r="E212" s="106" t="s">
        <v>482</v>
      </c>
      <c r="F212" s="106" t="s">
        <v>483</v>
      </c>
      <c r="G212" s="106" t="s">
        <v>104</v>
      </c>
      <c r="H212" s="106">
        <v>4</v>
      </c>
      <c r="I212" s="106" t="s">
        <v>24</v>
      </c>
      <c r="J212" s="106">
        <v>4418</v>
      </c>
      <c r="K212" s="106">
        <v>6908</v>
      </c>
      <c r="L212" s="106">
        <v>5764</v>
      </c>
      <c r="M212" s="106">
        <v>0.31</v>
      </c>
      <c r="N212" s="106">
        <v>0.12</v>
      </c>
      <c r="O212" s="106">
        <v>0.05</v>
      </c>
      <c r="P212" s="106">
        <v>3237</v>
      </c>
      <c r="Q212" s="106">
        <v>332.17816813048933</v>
      </c>
      <c r="R212" s="106">
        <v>4.5931396974016402E-2</v>
      </c>
      <c r="S212" s="106">
        <v>15090.751030650654</v>
      </c>
      <c r="T212" s="106">
        <v>15503.882236960029</v>
      </c>
      <c r="U212" s="106">
        <v>14696.084811153292</v>
      </c>
      <c r="V212" s="106">
        <v>0.46950409641340429</v>
      </c>
      <c r="W212" s="106">
        <v>84552.105417276718</v>
      </c>
      <c r="X212" s="110">
        <v>0.66764916116101758</v>
      </c>
      <c r="Y212" s="106">
        <v>539.93548387096769</v>
      </c>
      <c r="Z212" s="106">
        <v>17.996774193548386</v>
      </c>
      <c r="AA212" s="106">
        <v>88829.314367740211</v>
      </c>
      <c r="AB212" s="106">
        <v>489.84022679785051</v>
      </c>
      <c r="AC212" s="106">
        <v>1.1257544957063925</v>
      </c>
      <c r="AD212" s="106">
        <v>21.13095238095238</v>
      </c>
      <c r="AE212" s="106">
        <v>181.34344528710727</v>
      </c>
      <c r="AF212" s="106">
        <v>2.8374915353259065E-2</v>
      </c>
      <c r="AG212" s="106">
        <v>3480</v>
      </c>
      <c r="AH212" s="106">
        <v>13990.525183724681</v>
      </c>
      <c r="AI212" s="106">
        <v>14692.117046065603</v>
      </c>
      <c r="AJ212" s="106">
        <v>15135.33016669654</v>
      </c>
      <c r="AK212" s="104">
        <v>15450.656927764832</v>
      </c>
      <c r="AL212" s="118">
        <v>33854332</v>
      </c>
      <c r="AM212" s="118">
        <v>7912</v>
      </c>
      <c r="AN212" s="118">
        <v>167380</v>
      </c>
      <c r="AO212" s="118">
        <v>821</v>
      </c>
      <c r="AP212" s="118">
        <f t="shared" si="3"/>
        <v>938</v>
      </c>
    </row>
    <row r="213" spans="1:42" ht="12.75">
      <c r="A213" s="106">
        <v>2018</v>
      </c>
      <c r="B213" s="106">
        <v>-153001</v>
      </c>
      <c r="C213" s="106">
        <v>0</v>
      </c>
      <c r="D213" s="106">
        <v>153001</v>
      </c>
      <c r="E213" s="106" t="s">
        <v>484</v>
      </c>
      <c r="F213" s="106" t="s">
        <v>485</v>
      </c>
      <c r="G213" s="106" t="s">
        <v>447</v>
      </c>
      <c r="H213" s="106">
        <v>7</v>
      </c>
      <c r="I213" s="106" t="s">
        <v>3641</v>
      </c>
      <c r="J213" s="106">
        <v>32854</v>
      </c>
      <c r="K213" s="106">
        <v>20580</v>
      </c>
      <c r="L213" s="106">
        <v>15313</v>
      </c>
      <c r="M213" s="106">
        <v>0.45</v>
      </c>
      <c r="N213" s="106">
        <v>0.85</v>
      </c>
      <c r="O213" s="106">
        <v>0.99</v>
      </c>
      <c r="P213" s="106">
        <v>19886</v>
      </c>
      <c r="Q213" s="106">
        <v>7220.9586603872322</v>
      </c>
      <c r="R213" s="106">
        <v>0.35947920414701018</v>
      </c>
      <c r="S213" s="106">
        <v>21184.268445839876</v>
      </c>
      <c r="T213" s="106">
        <v>22794.737833594976</v>
      </c>
      <c r="U213" s="106">
        <v>19204.957090528518</v>
      </c>
      <c r="V213" s="106">
        <v>0.66994782357260863</v>
      </c>
      <c r="W213" s="106">
        <v>54288.428244274808</v>
      </c>
      <c r="X213" s="110">
        <v>0.54420436436990149</v>
      </c>
      <c r="Y213" s="106">
        <v>294.80347826086955</v>
      </c>
      <c r="Z213" s="106">
        <v>9.9704347826086952</v>
      </c>
      <c r="AA213" s="106">
        <v>54452.037091988132</v>
      </c>
      <c r="AB213" s="106">
        <v>649.52344966728015</v>
      </c>
      <c r="AC213" s="106">
        <v>1.8364785844662848</v>
      </c>
      <c r="AD213" s="106">
        <v>39.163277164439279</v>
      </c>
      <c r="AE213" s="106">
        <v>83.833827893175069</v>
      </c>
      <c r="AF213" s="106">
        <v>4.747437807075635E-2</v>
      </c>
      <c r="AG213" s="106">
        <v>32854</v>
      </c>
      <c r="AH213" s="106">
        <v>16786.740450026165</v>
      </c>
      <c r="AI213" s="106">
        <v>21268.903192046047</v>
      </c>
      <c r="AJ213" s="106">
        <v>26926.310308738881</v>
      </c>
      <c r="AK213" s="105">
        <v>19204.957090528518</v>
      </c>
      <c r="AM213" s="118">
        <v>1804</v>
      </c>
      <c r="AN213" s="119">
        <v>56504</v>
      </c>
      <c r="AO213" s="119">
        <v>595</v>
      </c>
      <c r="AP213" s="118">
        <f t="shared" si="3"/>
        <v>0</v>
      </c>
    </row>
    <row r="214" spans="1:42" ht="12.75">
      <c r="A214" s="106">
        <v>2018</v>
      </c>
      <c r="B214" s="106">
        <v>-165112</v>
      </c>
      <c r="C214" s="106">
        <v>0</v>
      </c>
      <c r="D214" s="106">
        <v>165112</v>
      </c>
      <c r="E214" s="106" t="s">
        <v>486</v>
      </c>
      <c r="F214" s="106" t="s">
        <v>425</v>
      </c>
      <c r="G214" s="106" t="s">
        <v>150</v>
      </c>
      <c r="H214" s="106">
        <v>4</v>
      </c>
      <c r="I214" s="106" t="s">
        <v>24</v>
      </c>
      <c r="J214" s="106">
        <v>4224</v>
      </c>
      <c r="K214" s="106">
        <v>7232</v>
      </c>
      <c r="L214" s="106">
        <v>6813</v>
      </c>
      <c r="M214" s="106">
        <v>0.57999999999999996</v>
      </c>
      <c r="N214" s="106">
        <v>7.0000000000000007E-2</v>
      </c>
      <c r="O214" s="106">
        <v>0.01</v>
      </c>
      <c r="P214" s="106">
        <v>297</v>
      </c>
      <c r="Q214" s="106">
        <v>321.96631009467603</v>
      </c>
      <c r="R214" s="106">
        <v>5.4229239601664377E-2</v>
      </c>
      <c r="S214" s="106">
        <v>12431.254149760236</v>
      </c>
      <c r="T214" s="106">
        <v>12744.525390384852</v>
      </c>
      <c r="U214" s="106">
        <v>9867.3762449280712</v>
      </c>
      <c r="V214" s="106">
        <v>0.56906399767301175</v>
      </c>
      <c r="W214" s="106">
        <v>102867.81117318437</v>
      </c>
      <c r="X214" s="110">
        <v>0.59215695714160643</v>
      </c>
      <c r="Y214" s="106">
        <v>893.72161172161168</v>
      </c>
      <c r="Z214" s="106">
        <v>29.791208791208792</v>
      </c>
      <c r="AA214" s="106">
        <v>53643.964572192512</v>
      </c>
      <c r="AB214" s="106">
        <v>328.91793381587468</v>
      </c>
      <c r="AC214" s="106">
        <v>1.8641426076072896</v>
      </c>
      <c r="AD214" s="106">
        <v>22.225523696330413</v>
      </c>
      <c r="AE214" s="106">
        <v>163.09224598930481</v>
      </c>
      <c r="AF214" s="106">
        <v>-1.0167220352776354E-2</v>
      </c>
      <c r="AG214" s="106">
        <v>576</v>
      </c>
      <c r="AH214" s="106">
        <v>11458.672322636174</v>
      </c>
      <c r="AI214" s="106">
        <v>11475.883068978237</v>
      </c>
      <c r="AJ214" s="106">
        <v>12630.849747940489</v>
      </c>
      <c r="AK214" s="104">
        <v>11141.573220213942</v>
      </c>
      <c r="AL214" s="118">
        <v>36012273</v>
      </c>
      <c r="AM214" s="118">
        <v>11881</v>
      </c>
      <c r="AN214" s="118">
        <v>243986</v>
      </c>
      <c r="AO214" s="118">
        <v>1182</v>
      </c>
      <c r="AP214" s="118">
        <f t="shared" si="3"/>
        <v>3648</v>
      </c>
    </row>
    <row r="215" spans="1:42" ht="12.75">
      <c r="A215" s="106">
        <v>2018</v>
      </c>
      <c r="B215" s="106">
        <v>-154800</v>
      </c>
      <c r="C215" s="106">
        <v>0</v>
      </c>
      <c r="D215" s="106">
        <v>154800</v>
      </c>
      <c r="E215" s="106" t="s">
        <v>488</v>
      </c>
      <c r="F215" s="106" t="s">
        <v>489</v>
      </c>
      <c r="G215" s="106" t="s">
        <v>129</v>
      </c>
      <c r="H215" s="106">
        <v>4</v>
      </c>
      <c r="I215" s="106" t="s">
        <v>24</v>
      </c>
      <c r="J215" s="106">
        <v>2940</v>
      </c>
      <c r="K215" s="106">
        <v>8223</v>
      </c>
      <c r="L215" s="106">
        <v>7149</v>
      </c>
      <c r="M215" s="106">
        <v>0.46</v>
      </c>
      <c r="N215" s="106">
        <v>0.34</v>
      </c>
      <c r="O215" s="106">
        <v>0.53</v>
      </c>
      <c r="P215" s="106">
        <v>2614</v>
      </c>
      <c r="Q215" s="106">
        <v>605.38625875918649</v>
      </c>
      <c r="R215" s="106">
        <v>0.17136054500753248</v>
      </c>
      <c r="S215" s="106">
        <v>12299.432233806187</v>
      </c>
      <c r="T215" s="106">
        <v>11948.633396000683</v>
      </c>
      <c r="U215" s="106">
        <v>8821.6208431818523</v>
      </c>
      <c r="V215" s="106">
        <v>0.33184780134559133</v>
      </c>
      <c r="W215" s="106">
        <v>63854.167548500882</v>
      </c>
      <c r="X215" s="110">
        <v>0.51787383795507957</v>
      </c>
      <c r="Y215" s="106">
        <v>632.18967587034808</v>
      </c>
      <c r="Z215" s="106">
        <v>21.072028811524607</v>
      </c>
      <c r="AA215" s="106">
        <v>34502.208257658436</v>
      </c>
      <c r="AB215" s="106">
        <v>294.04062683554002</v>
      </c>
      <c r="AC215" s="106">
        <v>2.8983652076183573</v>
      </c>
      <c r="AD215" s="106">
        <v>27.354178094715671</v>
      </c>
      <c r="AE215" s="106">
        <v>117.33823529411765</v>
      </c>
      <c r="AF215" s="106">
        <v>4.0638440337687855E-2</v>
      </c>
      <c r="AG215" s="106">
        <v>2010</v>
      </c>
      <c r="AH215" s="106">
        <v>10348.435139292429</v>
      </c>
      <c r="AI215" s="106">
        <v>10391.162878140489</v>
      </c>
      <c r="AJ215" s="106">
        <v>12323.281490343532</v>
      </c>
      <c r="AK215" s="104">
        <v>10791.56417706375</v>
      </c>
      <c r="AL215" s="118">
        <v>33246305</v>
      </c>
      <c r="AM215" s="118">
        <v>8828</v>
      </c>
      <c r="AN215" s="118">
        <v>175538</v>
      </c>
      <c r="AO215" s="118">
        <v>1230</v>
      </c>
      <c r="AP215" s="118">
        <f t="shared" si="3"/>
        <v>930</v>
      </c>
    </row>
    <row r="216" spans="1:42" ht="12.75">
      <c r="A216" s="106">
        <v>2018</v>
      </c>
      <c r="B216" s="106">
        <v>-211343</v>
      </c>
      <c r="C216" s="106">
        <v>0</v>
      </c>
      <c r="D216" s="106">
        <v>211343</v>
      </c>
      <c r="E216" s="106" t="s">
        <v>490</v>
      </c>
      <c r="F216" s="106" t="s">
        <v>491</v>
      </c>
      <c r="G216" s="106" t="s">
        <v>104</v>
      </c>
      <c r="H216" s="106">
        <v>4</v>
      </c>
      <c r="I216" s="106" t="s">
        <v>24</v>
      </c>
      <c r="J216" s="106">
        <v>4800</v>
      </c>
      <c r="K216" s="106">
        <v>3938</v>
      </c>
      <c r="L216" s="106">
        <v>2611</v>
      </c>
      <c r="M216" s="106">
        <v>0.45</v>
      </c>
      <c r="N216" s="106">
        <v>0.26</v>
      </c>
      <c r="O216" s="106">
        <v>0.27</v>
      </c>
      <c r="P216" s="106">
        <v>917</v>
      </c>
      <c r="Q216" s="106"/>
      <c r="R216" s="106"/>
      <c r="S216" s="106">
        <v>15608.010820559062</v>
      </c>
      <c r="T216" s="106">
        <v>16173.524346257889</v>
      </c>
      <c r="U216" s="106">
        <v>11197.761496844003</v>
      </c>
      <c r="V216" s="106">
        <v>0.64873526546571225</v>
      </c>
      <c r="W216" s="106">
        <v>61019.50294117647</v>
      </c>
      <c r="X216" s="110">
        <v>0.57833752782081016</v>
      </c>
      <c r="Y216" s="106">
        <v>438.62637362637355</v>
      </c>
      <c r="Z216" s="106">
        <v>14.624175824175822</v>
      </c>
      <c r="AA216" s="106">
        <v>43726.470070422532</v>
      </c>
      <c r="AB216" s="106">
        <v>373.34287861706127</v>
      </c>
      <c r="AC216" s="106">
        <v>2.2869442660006079</v>
      </c>
      <c r="AD216" s="106">
        <v>26.394052044609666</v>
      </c>
      <c r="AE216" s="106">
        <v>117.12147887323944</v>
      </c>
      <c r="AF216" s="106">
        <v>9.6397406980354969E-2</v>
      </c>
      <c r="AG216" s="106">
        <v>3240</v>
      </c>
      <c r="AH216" s="106">
        <v>15214.921550946799</v>
      </c>
      <c r="AI216" s="106">
        <v>15407.788999098288</v>
      </c>
      <c r="AJ216" s="106">
        <v>15639.690261496844</v>
      </c>
      <c r="AK216" s="104">
        <v>11441.336789900812</v>
      </c>
      <c r="AL216" s="119">
        <v>13553792</v>
      </c>
      <c r="AM216" s="118">
        <v>3338</v>
      </c>
      <c r="AN216" s="118">
        <v>66525</v>
      </c>
      <c r="AO216" s="118">
        <v>496</v>
      </c>
      <c r="AP216" s="118">
        <f t="shared" si="3"/>
        <v>1560</v>
      </c>
    </row>
    <row r="217" spans="1:42" ht="12.75">
      <c r="A217" s="106">
        <v>2018</v>
      </c>
      <c r="B217" s="106">
        <v>-150163</v>
      </c>
      <c r="C217" s="106">
        <v>0</v>
      </c>
      <c r="D217" s="106">
        <v>150163</v>
      </c>
      <c r="E217" s="106" t="s">
        <v>492</v>
      </c>
      <c r="F217" s="106" t="s">
        <v>493</v>
      </c>
      <c r="G217" s="106" t="s">
        <v>161</v>
      </c>
      <c r="H217" s="106">
        <v>6</v>
      </c>
      <c r="I217" s="106" t="s">
        <v>3640</v>
      </c>
      <c r="J217" s="106">
        <v>39960</v>
      </c>
      <c r="K217" s="106">
        <v>37954</v>
      </c>
      <c r="L217" s="106">
        <v>25854</v>
      </c>
      <c r="M217" s="106">
        <v>0.15</v>
      </c>
      <c r="N217" s="106">
        <v>0.51</v>
      </c>
      <c r="O217" s="106">
        <v>0.94</v>
      </c>
      <c r="P217" s="106">
        <v>17214</v>
      </c>
      <c r="Q217" s="106">
        <v>13215.209419031075</v>
      </c>
      <c r="R217" s="106">
        <v>0.37153927133415093</v>
      </c>
      <c r="S217" s="106">
        <v>36774.946921443734</v>
      </c>
      <c r="T217" s="106">
        <v>34263.269639065817</v>
      </c>
      <c r="U217" s="106">
        <v>28691.127720725737</v>
      </c>
      <c r="V217" s="106">
        <v>0.7791119229876643</v>
      </c>
      <c r="W217" s="106">
        <v>82112.141652613835</v>
      </c>
      <c r="X217" s="110">
        <v>0.54859225543325185</v>
      </c>
      <c r="Y217" s="106">
        <v>326.53846153846155</v>
      </c>
      <c r="Z217" s="106">
        <v>11.721719457013574</v>
      </c>
      <c r="AA217" s="106">
        <v>127924.89907149745</v>
      </c>
      <c r="AB217" s="106">
        <v>1029.9226267656068</v>
      </c>
      <c r="AC217" s="106">
        <v>0.78170864879174018</v>
      </c>
      <c r="AD217" s="106">
        <v>24.052991099151313</v>
      </c>
      <c r="AE217" s="106">
        <v>124.20826161790018</v>
      </c>
      <c r="AF217" s="106">
        <v>9.4887230369412739E-2</v>
      </c>
      <c r="AG217" s="106">
        <v>38900</v>
      </c>
      <c r="AH217" s="106">
        <v>33450.106157112525</v>
      </c>
      <c r="AI217" s="106">
        <v>36846.361706234318</v>
      </c>
      <c r="AJ217" s="106">
        <v>41239.72206137811</v>
      </c>
      <c r="AK217" s="104">
        <v>29024.319629415171</v>
      </c>
      <c r="AL217" s="118"/>
      <c r="AM217" s="118">
        <v>4293</v>
      </c>
      <c r="AN217" s="118">
        <v>144330</v>
      </c>
      <c r="AO217" s="118">
        <v>770</v>
      </c>
      <c r="AP217" s="118">
        <f t="shared" si="3"/>
        <v>1060</v>
      </c>
    </row>
    <row r="218" spans="1:42" ht="12.75">
      <c r="A218" s="106">
        <v>2018</v>
      </c>
      <c r="B218" s="106">
        <v>-110246</v>
      </c>
      <c r="C218" s="106">
        <v>0</v>
      </c>
      <c r="D218" s="106">
        <v>110246</v>
      </c>
      <c r="E218" s="106" t="s">
        <v>494</v>
      </c>
      <c r="F218" s="106" t="s">
        <v>495</v>
      </c>
      <c r="G218" s="106" t="s">
        <v>121</v>
      </c>
      <c r="H218" s="106">
        <v>4</v>
      </c>
      <c r="I218" s="106" t="s">
        <v>24</v>
      </c>
      <c r="J218" s="106">
        <v>1368</v>
      </c>
      <c r="K218" s="106">
        <v>5317</v>
      </c>
      <c r="L218" s="106">
        <v>3238</v>
      </c>
      <c r="M218" s="106">
        <v>0.53</v>
      </c>
      <c r="N218" s="106">
        <v>0.04</v>
      </c>
      <c r="O218" s="106">
        <v>0.16</v>
      </c>
      <c r="P218" s="106">
        <v>451</v>
      </c>
      <c r="Q218" s="106">
        <v>856.90937178166837</v>
      </c>
      <c r="R218" s="106">
        <v>0.46307280586986643</v>
      </c>
      <c r="S218" s="106">
        <v>25739.739958805356</v>
      </c>
      <c r="T218" s="106">
        <v>25881.745880535531</v>
      </c>
      <c r="U218" s="106">
        <v>12317.581616889804</v>
      </c>
      <c r="V218" s="106">
        <v>8.0663222278187133E-2</v>
      </c>
      <c r="W218" s="106">
        <v>125752.54979879277</v>
      </c>
      <c r="X218" s="110">
        <v>0.41448530645219228</v>
      </c>
      <c r="Y218" s="106">
        <v>717.01230769230767</v>
      </c>
      <c r="Z218" s="106">
        <v>23.901538461538461</v>
      </c>
      <c r="AA218" s="106">
        <v>34467.930115273775</v>
      </c>
      <c r="AB218" s="106">
        <v>410.60543537499626</v>
      </c>
      <c r="AC218" s="106">
        <v>2.9012476138126728</v>
      </c>
      <c r="AD218" s="106">
        <v>39.342403628117914</v>
      </c>
      <c r="AE218" s="106">
        <v>83.944164265129686</v>
      </c>
      <c r="AF218" s="106">
        <v>5.6075546551493757E-2</v>
      </c>
      <c r="AG218" s="106">
        <v>1104</v>
      </c>
      <c r="AH218" s="106">
        <v>23418.591786817713</v>
      </c>
      <c r="AI218" s="106">
        <v>23418.591786817713</v>
      </c>
      <c r="AJ218" s="106">
        <v>25948.31604016478</v>
      </c>
      <c r="AK218" s="104">
        <v>15275.779608650875</v>
      </c>
      <c r="AL218" s="118">
        <v>63115030</v>
      </c>
      <c r="AM218" s="118">
        <v>11386</v>
      </c>
      <c r="AN218" s="118">
        <v>233029</v>
      </c>
      <c r="AO218" s="118">
        <v>1489</v>
      </c>
      <c r="AP218" s="118">
        <f t="shared" si="3"/>
        <v>264</v>
      </c>
    </row>
    <row r="219" spans="1:42" ht="12.75">
      <c r="A219" s="106">
        <v>2018</v>
      </c>
      <c r="B219" s="106">
        <v>-110334</v>
      </c>
      <c r="C219" s="106">
        <v>0</v>
      </c>
      <c r="D219" s="106">
        <v>110334</v>
      </c>
      <c r="E219" s="106" t="s">
        <v>519</v>
      </c>
      <c r="F219" s="106" t="s">
        <v>520</v>
      </c>
      <c r="G219" s="106" t="s">
        <v>121</v>
      </c>
      <c r="H219" s="106">
        <v>4</v>
      </c>
      <c r="I219" s="106" t="s">
        <v>24</v>
      </c>
      <c r="J219" s="106">
        <v>1268</v>
      </c>
      <c r="K219" s="106">
        <v>9508</v>
      </c>
      <c r="L219" s="106">
        <v>6449</v>
      </c>
      <c r="M219" s="106">
        <v>0.39</v>
      </c>
      <c r="N219" s="106">
        <v>0.01</v>
      </c>
      <c r="O219" s="106">
        <v>0.12</v>
      </c>
      <c r="P219" s="106">
        <v>580</v>
      </c>
      <c r="Q219" s="106">
        <v>741.73572525478153</v>
      </c>
      <c r="R219" s="106">
        <v>0.36551417452305623</v>
      </c>
      <c r="S219" s="106">
        <v>13572.083484573503</v>
      </c>
      <c r="T219" s="106">
        <v>16411.256037972915</v>
      </c>
      <c r="U219" s="106">
        <v>12740.725173968773</v>
      </c>
      <c r="V219" s="106">
        <v>0.10105847728865441</v>
      </c>
      <c r="W219" s="106">
        <v>125902.09988839286</v>
      </c>
      <c r="X219" s="110">
        <v>0.63975391460458364</v>
      </c>
      <c r="Y219" s="106">
        <v>646.60982948846538</v>
      </c>
      <c r="Z219" s="106">
        <v>21.553660982948848</v>
      </c>
      <c r="AA219" s="106">
        <v>50281.991416605131</v>
      </c>
      <c r="AB219" s="106">
        <v>424.69083913229241</v>
      </c>
      <c r="AC219" s="106">
        <v>1.988783601895608</v>
      </c>
      <c r="AD219" s="106">
        <v>26.940774825590026</v>
      </c>
      <c r="AE219" s="106">
        <v>118.39669421487604</v>
      </c>
      <c r="AF219" s="106">
        <v>-6.1238459433491238E-2</v>
      </c>
      <c r="AG219" s="106">
        <v>1104</v>
      </c>
      <c r="AH219" s="106">
        <v>12122.43487365629</v>
      </c>
      <c r="AI219" s="106">
        <v>12122.43487365629</v>
      </c>
      <c r="AJ219" s="106">
        <v>13641.451766019823</v>
      </c>
      <c r="AK219" s="104">
        <v>15331.578528549491</v>
      </c>
      <c r="AL219" s="119">
        <v>72064069</v>
      </c>
      <c r="AM219" s="118">
        <v>11836</v>
      </c>
      <c r="AN219" s="118">
        <v>214890</v>
      </c>
      <c r="AO219" s="118">
        <v>1459</v>
      </c>
      <c r="AP219" s="118">
        <f t="shared" si="3"/>
        <v>164</v>
      </c>
    </row>
    <row r="220" spans="1:42" ht="12.75">
      <c r="A220" s="106">
        <v>2018</v>
      </c>
      <c r="B220" s="106">
        <v>-211352</v>
      </c>
      <c r="C220" s="106">
        <v>0</v>
      </c>
      <c r="D220" s="106">
        <v>211352</v>
      </c>
      <c r="E220" s="106" t="s">
        <v>521</v>
      </c>
      <c r="F220" s="106" t="s">
        <v>522</v>
      </c>
      <c r="G220" s="106" t="s">
        <v>104</v>
      </c>
      <c r="H220" s="106">
        <v>6</v>
      </c>
      <c r="I220" s="106" t="s">
        <v>3640</v>
      </c>
      <c r="J220" s="106">
        <v>31350</v>
      </c>
      <c r="K220" s="106">
        <v>24898</v>
      </c>
      <c r="L220" s="106">
        <v>26939</v>
      </c>
      <c r="M220" s="106">
        <v>0.49</v>
      </c>
      <c r="N220" s="106">
        <v>0.82</v>
      </c>
      <c r="O220" s="106">
        <v>0.99</v>
      </c>
      <c r="P220" s="106">
        <v>16263</v>
      </c>
      <c r="Q220" s="106">
        <v>13035.987881981033</v>
      </c>
      <c r="R220" s="106">
        <v>0.46094534025439576</v>
      </c>
      <c r="S220" s="106">
        <v>25826.374604847206</v>
      </c>
      <c r="T220" s="106">
        <v>29438.051633298208</v>
      </c>
      <c r="U220" s="106">
        <v>24071.161222339306</v>
      </c>
      <c r="V220" s="106">
        <v>0.63333032299908787</v>
      </c>
      <c r="W220" s="106">
        <v>83310.060752169709</v>
      </c>
      <c r="X220" s="110">
        <v>0.51540625165217191</v>
      </c>
      <c r="Y220" s="106">
        <v>371.13318284424383</v>
      </c>
      <c r="Z220" s="106">
        <v>12.853273137697517</v>
      </c>
      <c r="AA220" s="106">
        <v>81293.708185053387</v>
      </c>
      <c r="AB220" s="106">
        <v>833.64469746733812</v>
      </c>
      <c r="AC220" s="106">
        <v>1.230107498262528</v>
      </c>
      <c r="AD220" s="106">
        <v>30.643402399127588</v>
      </c>
      <c r="AE220" s="106">
        <v>97.516014234875442</v>
      </c>
      <c r="AF220" s="106">
        <v>-5.3424098190511478E-2</v>
      </c>
      <c r="AG220" s="106">
        <v>30400</v>
      </c>
      <c r="AH220" s="106">
        <v>22266.08587987355</v>
      </c>
      <c r="AI220" s="106">
        <v>25826.374604847206</v>
      </c>
      <c r="AJ220" s="106">
        <v>27426.576923076922</v>
      </c>
      <c r="AK220" s="104">
        <v>24071.161222339306</v>
      </c>
      <c r="AM220" s="118">
        <v>1686</v>
      </c>
      <c r="AN220" s="118">
        <v>54804</v>
      </c>
      <c r="AO220" s="118">
        <v>273</v>
      </c>
      <c r="AP220" s="118">
        <f t="shared" si="3"/>
        <v>950</v>
      </c>
    </row>
    <row r="221" spans="1:42" ht="12.75">
      <c r="A221" s="106">
        <v>2018</v>
      </c>
      <c r="B221" s="106">
        <v>2643</v>
      </c>
      <c r="C221" s="106">
        <v>1</v>
      </c>
      <c r="D221" s="106">
        <v>215114</v>
      </c>
      <c r="E221" s="106" t="s">
        <v>3836</v>
      </c>
      <c r="F221" s="106" t="s">
        <v>523</v>
      </c>
      <c r="G221" s="106" t="s">
        <v>104</v>
      </c>
      <c r="H221" s="106">
        <v>6</v>
      </c>
      <c r="I221" s="106" t="s">
        <v>3640</v>
      </c>
      <c r="J221" s="106">
        <v>26493</v>
      </c>
      <c r="K221" s="106">
        <v>19481</v>
      </c>
      <c r="L221" s="106">
        <v>17293</v>
      </c>
      <c r="M221" s="106">
        <v>0.49</v>
      </c>
      <c r="N221" s="106">
        <v>0.75</v>
      </c>
      <c r="O221" s="106">
        <v>0.91</v>
      </c>
      <c r="P221" s="106">
        <v>16298</v>
      </c>
      <c r="Q221" s="107">
        <v>7642.3645320197047</v>
      </c>
      <c r="R221" s="106">
        <v>0.40514990076256135</v>
      </c>
      <c r="S221" s="106">
        <v>19542.228571428572</v>
      </c>
      <c r="T221" s="106">
        <v>20872.701477832514</v>
      </c>
      <c r="U221" s="106">
        <v>15543.84236453202</v>
      </c>
      <c r="V221" s="106">
        <v>0.72187361348798884</v>
      </c>
      <c r="W221" s="106">
        <v>63424.801094890514</v>
      </c>
      <c r="X221" s="110">
        <v>0.54685692184649037</v>
      </c>
      <c r="Y221" s="106">
        <v>418.42788461538464</v>
      </c>
      <c r="Z221" s="106">
        <v>14.639423076923078</v>
      </c>
      <c r="AA221" s="106">
        <v>57370.909090909088</v>
      </c>
      <c r="AB221" s="106">
        <v>543.8282030953776</v>
      </c>
      <c r="AC221" s="106">
        <v>1.7430436711668886</v>
      </c>
      <c r="AD221" s="106">
        <v>30.760626398210288</v>
      </c>
      <c r="AE221" s="106">
        <v>105.49454545454546</v>
      </c>
      <c r="AF221" s="106">
        <v>-3.7061798288298503E-2</v>
      </c>
      <c r="AG221" s="106">
        <v>26193</v>
      </c>
      <c r="AH221" s="106">
        <v>18184.964532019705</v>
      </c>
      <c r="AI221" s="106">
        <v>21855.529064039409</v>
      </c>
      <c r="AJ221" s="106">
        <v>20262.068965517243</v>
      </c>
      <c r="AK221" s="104">
        <v>15543.84236453202</v>
      </c>
      <c r="AL221" s="118"/>
      <c r="AM221" s="118">
        <v>770</v>
      </c>
      <c r="AN221" s="118">
        <v>29011</v>
      </c>
      <c r="AO221" s="118">
        <v>151</v>
      </c>
      <c r="AP221" s="118">
        <f t="shared" si="3"/>
        <v>300</v>
      </c>
    </row>
    <row r="222" spans="1:42" ht="12.75">
      <c r="A222" s="106">
        <v>2018</v>
      </c>
      <c r="B222" s="106">
        <v>-198118</v>
      </c>
      <c r="C222" s="106">
        <v>0</v>
      </c>
      <c r="D222" s="106">
        <v>198118</v>
      </c>
      <c r="E222" s="106" t="s">
        <v>524</v>
      </c>
      <c r="F222" s="106" t="s">
        <v>525</v>
      </c>
      <c r="G222" s="106" t="s">
        <v>90</v>
      </c>
      <c r="H222" s="106">
        <v>4</v>
      </c>
      <c r="I222" s="106" t="s">
        <v>24</v>
      </c>
      <c r="J222" s="106">
        <v>2508</v>
      </c>
      <c r="K222" s="106">
        <v>3089</v>
      </c>
      <c r="L222" s="106">
        <v>2148</v>
      </c>
      <c r="M222" s="106">
        <v>0.57999999999999996</v>
      </c>
      <c r="N222" s="106">
        <v>0.01</v>
      </c>
      <c r="O222" s="106">
        <v>0.12</v>
      </c>
      <c r="P222" s="106">
        <v>681</v>
      </c>
      <c r="Q222" s="106">
        <v>145.75750979538529</v>
      </c>
      <c r="R222" s="106">
        <v>7.239653159192147E-2</v>
      </c>
      <c r="S222" s="106">
        <v>14834.386591205921</v>
      </c>
      <c r="T222" s="106">
        <v>15473.565084893338</v>
      </c>
      <c r="U222" s="106">
        <v>13515.468872442316</v>
      </c>
      <c r="V222" s="106">
        <v>0.13817975771453544</v>
      </c>
      <c r="W222" s="106">
        <v>59342.20857378401</v>
      </c>
      <c r="X222" s="110">
        <v>0.67507475991114818</v>
      </c>
      <c r="Y222" s="106">
        <v>408.60474308300388</v>
      </c>
      <c r="Z222" s="106">
        <v>13.618577075098813</v>
      </c>
      <c r="AA222" s="106">
        <v>39198.272727272728</v>
      </c>
      <c r="AB222" s="106">
        <v>450.46333323660002</v>
      </c>
      <c r="AC222" s="106">
        <v>2.5511328189321887</v>
      </c>
      <c r="AD222" s="106">
        <v>39.659489233850778</v>
      </c>
      <c r="AE222" s="106">
        <v>87.017676767676761</v>
      </c>
      <c r="AF222" s="106">
        <v>3.898064158591604E-3</v>
      </c>
      <c r="AG222" s="106">
        <v>2432</v>
      </c>
      <c r="AH222" s="106">
        <v>13505.91684806269</v>
      </c>
      <c r="AI222" s="106">
        <v>13787.648672181105</v>
      </c>
      <c r="AJ222" s="106">
        <v>14849.876360470178</v>
      </c>
      <c r="AK222" s="104">
        <v>14781.127557683936</v>
      </c>
      <c r="AL222" s="119">
        <v>23002017</v>
      </c>
      <c r="AM222" s="118">
        <v>3495</v>
      </c>
      <c r="AN222" s="118">
        <v>68918</v>
      </c>
      <c r="AO222" s="118">
        <v>625</v>
      </c>
      <c r="AP222" s="118">
        <f t="shared" si="3"/>
        <v>76</v>
      </c>
    </row>
    <row r="223" spans="1:42" ht="12.75">
      <c r="A223" s="106">
        <v>2018</v>
      </c>
      <c r="B223" s="106">
        <v>-183910</v>
      </c>
      <c r="C223" s="106">
        <v>0</v>
      </c>
      <c r="D223" s="106">
        <v>183910</v>
      </c>
      <c r="E223" s="106" t="s">
        <v>526</v>
      </c>
      <c r="F223" s="106" t="s">
        <v>527</v>
      </c>
      <c r="G223" s="106" t="s">
        <v>234</v>
      </c>
      <c r="H223" s="106">
        <v>6</v>
      </c>
      <c r="I223" s="106" t="s">
        <v>3640</v>
      </c>
      <c r="J223" s="106">
        <v>33950</v>
      </c>
      <c r="K223" s="106">
        <v>19096</v>
      </c>
      <c r="L223" s="106">
        <v>15059</v>
      </c>
      <c r="M223" s="106">
        <v>0.49</v>
      </c>
      <c r="N223" s="106">
        <v>0.69</v>
      </c>
      <c r="O223" s="106">
        <v>0.98</v>
      </c>
      <c r="P223" s="106">
        <v>19891</v>
      </c>
      <c r="Q223" s="106">
        <v>13251.649757150566</v>
      </c>
      <c r="R223" s="106">
        <v>0.42773459869424391</v>
      </c>
      <c r="S223" s="106">
        <v>24706.961683756072</v>
      </c>
      <c r="T223" s="106">
        <v>24894.765245547762</v>
      </c>
      <c r="U223" s="106">
        <v>19346.465191581221</v>
      </c>
      <c r="V223" s="106">
        <v>0.91641340065273791</v>
      </c>
      <c r="W223" s="106">
        <v>77856.44666666667</v>
      </c>
      <c r="X223" s="110">
        <v>0.50632850639497073</v>
      </c>
      <c r="Y223" s="106">
        <v>360.30941704035871</v>
      </c>
      <c r="Z223" s="106">
        <v>12.464125560538115</v>
      </c>
      <c r="AA223" s="106">
        <v>77595.238095238092</v>
      </c>
      <c r="AB223" s="106">
        <v>669.24915058059219</v>
      </c>
      <c r="AC223" s="106">
        <v>1.2887388769561214</v>
      </c>
      <c r="AD223" s="106">
        <v>25.149700598802394</v>
      </c>
      <c r="AE223" s="106">
        <v>115.94372294372295</v>
      </c>
      <c r="AF223" s="106">
        <v>7.9861479204212157E-3</v>
      </c>
      <c r="AG223" s="106">
        <v>32250</v>
      </c>
      <c r="AH223" s="106">
        <v>23703.456017269295</v>
      </c>
      <c r="AI223" s="106">
        <v>24619.807879114949</v>
      </c>
      <c r="AJ223" s="106">
        <v>25016.72962763087</v>
      </c>
      <c r="AK223" s="104">
        <v>19346.465191581221</v>
      </c>
      <c r="AM223" s="118">
        <v>1603</v>
      </c>
      <c r="AN223" s="118">
        <v>53566</v>
      </c>
      <c r="AO223" s="118">
        <v>353</v>
      </c>
      <c r="AP223" s="118">
        <f t="shared" si="3"/>
        <v>1700</v>
      </c>
    </row>
    <row r="224" spans="1:42" ht="12.75">
      <c r="A224" s="106">
        <v>2018</v>
      </c>
      <c r="B224" s="106">
        <v>-110361</v>
      </c>
      <c r="C224" s="106">
        <v>0</v>
      </c>
      <c r="D224" s="106">
        <v>110361</v>
      </c>
      <c r="E224" s="106" t="s">
        <v>528</v>
      </c>
      <c r="F224" s="106" t="s">
        <v>529</v>
      </c>
      <c r="G224" s="106" t="s">
        <v>121</v>
      </c>
      <c r="H224" s="106">
        <v>6</v>
      </c>
      <c r="I224" s="106" t="s">
        <v>3640</v>
      </c>
      <c r="J224" s="106">
        <v>32256</v>
      </c>
      <c r="K224" s="106">
        <v>24170</v>
      </c>
      <c r="L224" s="106">
        <v>17412</v>
      </c>
      <c r="M224" s="106">
        <v>0.41</v>
      </c>
      <c r="N224" s="106">
        <v>0.67</v>
      </c>
      <c r="O224" s="106">
        <v>0.94</v>
      </c>
      <c r="P224" s="106">
        <v>15184</v>
      </c>
      <c r="Q224" s="106">
        <v>7152.0529345256446</v>
      </c>
      <c r="R224" s="106">
        <v>0.27760351205311973</v>
      </c>
      <c r="S224" s="106">
        <v>21753.215541165588</v>
      </c>
      <c r="T224" s="106">
        <v>20756.95497995683</v>
      </c>
      <c r="U224" s="106">
        <v>18378.623702333232</v>
      </c>
      <c r="V224" s="106">
        <v>1.0126710719343681</v>
      </c>
      <c r="W224" s="106">
        <v>100556.4599078341</v>
      </c>
      <c r="X224" s="110">
        <v>0.54026628565093027</v>
      </c>
      <c r="Y224" s="106">
        <v>574.88857938718672</v>
      </c>
      <c r="Z224" s="106">
        <v>20.325208913649028</v>
      </c>
      <c r="AA224" s="106">
        <v>67986.931558935365</v>
      </c>
      <c r="AB224" s="106">
        <v>649.77698233883279</v>
      </c>
      <c r="AC224" s="106">
        <v>1.4708709116150314</v>
      </c>
      <c r="AD224" s="106">
        <v>30.53523743178916</v>
      </c>
      <c r="AE224" s="106">
        <v>104.63117870722434</v>
      </c>
      <c r="AF224" s="106">
        <v>1.8151048309890439E-2</v>
      </c>
      <c r="AG224" s="106">
        <v>30446</v>
      </c>
      <c r="AH224" s="106">
        <v>21104.465001541783</v>
      </c>
      <c r="AI224" s="106">
        <v>21691.940281632233</v>
      </c>
      <c r="AJ224" s="106">
        <v>22041.281735019016</v>
      </c>
      <c r="AK224" s="104">
        <v>18439.898961866584</v>
      </c>
      <c r="AM224" s="118">
        <v>7414</v>
      </c>
      <c r="AN224" s="118">
        <v>275180</v>
      </c>
      <c r="AO224" s="118">
        <v>1623</v>
      </c>
      <c r="AP224" s="118">
        <f t="shared" si="3"/>
        <v>1810</v>
      </c>
    </row>
    <row r="225" spans="1:42" ht="12.75">
      <c r="A225" s="106">
        <v>2018</v>
      </c>
      <c r="B225" s="106">
        <v>3054</v>
      </c>
      <c r="C225" s="106">
        <v>1</v>
      </c>
      <c r="D225" s="106">
        <v>110316</v>
      </c>
      <c r="E225" s="106" t="s">
        <v>3837</v>
      </c>
      <c r="F225" s="106" t="s">
        <v>530</v>
      </c>
      <c r="G225" s="106" t="s">
        <v>121</v>
      </c>
      <c r="H225" s="106">
        <v>5</v>
      </c>
      <c r="I225" s="106" t="s">
        <v>3639</v>
      </c>
      <c r="J225" s="106">
        <v>19969</v>
      </c>
      <c r="K225" s="106"/>
      <c r="L225" s="106"/>
      <c r="M225" s="106"/>
      <c r="N225" s="106"/>
      <c r="O225" s="106"/>
      <c r="P225" s="106"/>
      <c r="Q225" s="106">
        <v>1270.1280602636534</v>
      </c>
      <c r="R225" s="106">
        <v>5.000668794352113E-2</v>
      </c>
      <c r="S225" s="106">
        <v>28885.743879472691</v>
      </c>
      <c r="T225" s="106">
        <v>27590.449152542373</v>
      </c>
      <c r="U225" s="106">
        <v>24594.748829896958</v>
      </c>
      <c r="V225" s="106">
        <v>0.9810645332638408</v>
      </c>
      <c r="W225" s="106">
        <v>86257.927559055126</v>
      </c>
      <c r="X225" s="110">
        <v>0.62311499547610172</v>
      </c>
      <c r="Y225" s="106">
        <v>227.5981308411215</v>
      </c>
      <c r="Z225" s="106">
        <v>9.925233644859814</v>
      </c>
      <c r="AA225" s="106">
        <v>69838.564859226128</v>
      </c>
      <c r="AB225" s="106">
        <v>1072.5423256826909</v>
      </c>
      <c r="AC225" s="106">
        <v>1.431873638892357</v>
      </c>
      <c r="AD225" s="106">
        <v>30.580539656582172</v>
      </c>
      <c r="AE225" s="106">
        <v>65.11497326203208</v>
      </c>
      <c r="AF225" s="106">
        <v>0.16341486591268706</v>
      </c>
      <c r="AG225" s="106">
        <v>19649</v>
      </c>
      <c r="AH225" s="106">
        <v>26778.030131826741</v>
      </c>
      <c r="AI225" s="106">
        <v>27834.862523540491</v>
      </c>
      <c r="AJ225" s="106">
        <v>28947.439736346518</v>
      </c>
      <c r="AK225" s="104">
        <v>27193.31920903955</v>
      </c>
      <c r="AM225" s="118">
        <v>50</v>
      </c>
      <c r="AN225" s="118">
        <v>24353</v>
      </c>
      <c r="AO225" s="118">
        <v>51</v>
      </c>
      <c r="AP225" s="118">
        <f t="shared" si="3"/>
        <v>320</v>
      </c>
    </row>
    <row r="226" spans="1:42" ht="12.75">
      <c r="A226" s="106">
        <v>2018</v>
      </c>
      <c r="B226" s="106">
        <v>-110404</v>
      </c>
      <c r="C226" s="106">
        <v>0</v>
      </c>
      <c r="D226" s="106">
        <v>110404</v>
      </c>
      <c r="E226" s="106" t="s">
        <v>531</v>
      </c>
      <c r="F226" s="106" t="s">
        <v>532</v>
      </c>
      <c r="G226" s="106" t="s">
        <v>121</v>
      </c>
      <c r="H226" s="106">
        <v>5</v>
      </c>
      <c r="I226" s="106" t="s">
        <v>3639</v>
      </c>
      <c r="J226" s="106">
        <v>49908</v>
      </c>
      <c r="K226" s="106">
        <v>26361</v>
      </c>
      <c r="L226" s="106">
        <v>2714</v>
      </c>
      <c r="M226" s="106">
        <v>0.12</v>
      </c>
      <c r="N226" s="106">
        <v>0.21</v>
      </c>
      <c r="O226" s="106">
        <v>0.49</v>
      </c>
      <c r="P226" s="106">
        <v>39970</v>
      </c>
      <c r="Q226" s="106">
        <v>26878.190774742499</v>
      </c>
      <c r="R226" s="106">
        <v>0.54964970923577083</v>
      </c>
      <c r="S226" s="106">
        <v>1456571.4285714286</v>
      </c>
      <c r="T226" s="106">
        <v>1514319.1903269144</v>
      </c>
      <c r="U226" s="106">
        <v>144172.35476176534</v>
      </c>
      <c r="V226" s="106">
        <v>0.15275044538248816</v>
      </c>
      <c r="W226" s="106">
        <v>120784.5259031677</v>
      </c>
      <c r="X226" s="110">
        <v>0.1123853962757608</v>
      </c>
      <c r="Y226" s="106">
        <v>86.895269168026104</v>
      </c>
      <c r="Z226" s="106">
        <v>2.1856443719412724</v>
      </c>
      <c r="AA226" s="106">
        <v>555063.56583279662</v>
      </c>
      <c r="AB226" s="106">
        <v>3626.3135932665978</v>
      </c>
      <c r="AC226" s="106">
        <v>0.18015954596112563</v>
      </c>
      <c r="AD226" s="106">
        <v>25.915996425379806</v>
      </c>
      <c r="AE226" s="106">
        <v>153.0655172413793</v>
      </c>
      <c r="AF226" s="106">
        <v>5.4438253595039517E-2</v>
      </c>
      <c r="AG226" s="106">
        <v>48111</v>
      </c>
      <c r="AH226" s="106">
        <v>1386286.6099417824</v>
      </c>
      <c r="AI226" s="106">
        <v>1459716.97268249</v>
      </c>
      <c r="AJ226" s="106">
        <v>1588098.5221674878</v>
      </c>
      <c r="AK226" s="104">
        <v>288218.86206896551</v>
      </c>
      <c r="AM226" s="118">
        <v>961</v>
      </c>
      <c r="AN226" s="118">
        <v>88778</v>
      </c>
      <c r="AO226" s="118">
        <v>228</v>
      </c>
      <c r="AP226" s="118">
        <f t="shared" si="3"/>
        <v>1797</v>
      </c>
    </row>
    <row r="227" spans="1:42" ht="12.75">
      <c r="A227" s="106">
        <v>2018</v>
      </c>
      <c r="B227" s="106">
        <v>3065</v>
      </c>
      <c r="C227" s="106">
        <v>1</v>
      </c>
      <c r="D227" s="106">
        <v>110413</v>
      </c>
      <c r="E227" s="106" t="s">
        <v>4247</v>
      </c>
      <c r="F227" s="106" t="s">
        <v>533</v>
      </c>
      <c r="G227" s="106" t="s">
        <v>121</v>
      </c>
      <c r="H227" s="106">
        <v>6</v>
      </c>
      <c r="I227" s="106" t="s">
        <v>3640</v>
      </c>
      <c r="J227" s="106">
        <v>41363</v>
      </c>
      <c r="K227" s="106">
        <v>29387</v>
      </c>
      <c r="L227" s="106">
        <v>20603</v>
      </c>
      <c r="M227" s="106">
        <v>0.3</v>
      </c>
      <c r="N227" s="106">
        <v>0.57999999999999996</v>
      </c>
      <c r="O227" s="106">
        <v>0.96</v>
      </c>
      <c r="P227" s="106">
        <v>22507</v>
      </c>
      <c r="Q227" s="106">
        <v>13085.073701842546</v>
      </c>
      <c r="R227" s="106">
        <v>0.40158385206838754</v>
      </c>
      <c r="S227" s="106">
        <v>28759.262024407752</v>
      </c>
      <c r="T227" s="106">
        <v>27943.173725771714</v>
      </c>
      <c r="U227" s="106">
        <v>21491.52077638451</v>
      </c>
      <c r="V227" s="106">
        <v>0.90726903380461776</v>
      </c>
      <c r="W227" s="106">
        <v>107637.17006464445</v>
      </c>
      <c r="X227" s="110">
        <v>0.61788120513239009</v>
      </c>
      <c r="Y227" s="106">
        <v>424.88</v>
      </c>
      <c r="Z227" s="106">
        <v>15.196363636363637</v>
      </c>
      <c r="AA227" s="106">
        <v>73018.7522963503</v>
      </c>
      <c r="AB227" s="106">
        <v>768.6710713999322</v>
      </c>
      <c r="AC227" s="106">
        <v>1.3695112126011815</v>
      </c>
      <c r="AD227" s="106">
        <v>30.673316708229425</v>
      </c>
      <c r="AE227" s="106">
        <v>94.993495934959356</v>
      </c>
      <c r="AF227" s="106">
        <v>3.93939291310322E-2</v>
      </c>
      <c r="AG227" s="106">
        <v>40880</v>
      </c>
      <c r="AH227" s="106">
        <v>27116.832256520698</v>
      </c>
      <c r="AI227" s="106">
        <v>28759.262024407752</v>
      </c>
      <c r="AJ227" s="106">
        <v>30245.02943287868</v>
      </c>
      <c r="AK227" s="104">
        <v>23553.612826034936</v>
      </c>
      <c r="AL227" s="118"/>
      <c r="AM227" s="118">
        <v>2963</v>
      </c>
      <c r="AN227" s="118">
        <v>116842</v>
      </c>
      <c r="AO227" s="118">
        <v>738</v>
      </c>
      <c r="AP227" s="118">
        <f t="shared" si="3"/>
        <v>483</v>
      </c>
    </row>
    <row r="228" spans="1:42" ht="12.75">
      <c r="A228" s="106">
        <v>2018</v>
      </c>
      <c r="B228" s="106">
        <v>-110422</v>
      </c>
      <c r="C228" s="106">
        <v>0</v>
      </c>
      <c r="D228" s="106">
        <v>110422</v>
      </c>
      <c r="E228" s="106" t="s">
        <v>534</v>
      </c>
      <c r="F228" s="106" t="s">
        <v>535</v>
      </c>
      <c r="G228" s="106" t="s">
        <v>121</v>
      </c>
      <c r="H228" s="106">
        <v>2</v>
      </c>
      <c r="I228" s="106" t="s">
        <v>25</v>
      </c>
      <c r="J228" s="106">
        <v>9432</v>
      </c>
      <c r="K228" s="106">
        <v>20036</v>
      </c>
      <c r="L228" s="106">
        <v>13301</v>
      </c>
      <c r="M228" s="106">
        <v>0.16</v>
      </c>
      <c r="N228" s="106">
        <v>0.32</v>
      </c>
      <c r="O228" s="106">
        <v>0.36</v>
      </c>
      <c r="P228" s="106">
        <v>4069</v>
      </c>
      <c r="Q228" s="106">
        <v>1658.1937268507666</v>
      </c>
      <c r="R228" s="106">
        <v>0.14252848485102493</v>
      </c>
      <c r="S228" s="106">
        <v>26343.962351727696</v>
      </c>
      <c r="T228" s="106">
        <v>27343.093769046838</v>
      </c>
      <c r="U228" s="106">
        <v>17356.843846103813</v>
      </c>
      <c r="V228" s="106">
        <v>0.57475471808443634</v>
      </c>
      <c r="W228" s="106">
        <v>153987.52571041949</v>
      </c>
      <c r="X228" s="110">
        <v>0.65041504475044087</v>
      </c>
      <c r="Y228" s="106">
        <v>942.54203758654796</v>
      </c>
      <c r="Z228" s="106">
        <v>21.096933728981206</v>
      </c>
      <c r="AA228" s="106">
        <v>68027.218374411663</v>
      </c>
      <c r="AB228" s="106">
        <v>388.49851758670627</v>
      </c>
      <c r="AC228" s="106">
        <v>1.4699998381473562</v>
      </c>
      <c r="AD228" s="106">
        <v>25.001148527587631</v>
      </c>
      <c r="AE228" s="106">
        <v>175.10290334435868</v>
      </c>
      <c r="AF228" s="106">
        <v>1.1042807506790933E-3</v>
      </c>
      <c r="AG228" s="106">
        <v>5742</v>
      </c>
      <c r="AH228" s="106">
        <v>25380.498101176803</v>
      </c>
      <c r="AI228" s="106">
        <v>26538.258146185944</v>
      </c>
      <c r="AJ228" s="106">
        <v>26480.653148295747</v>
      </c>
      <c r="AK228" s="104">
        <v>18334.337474799569</v>
      </c>
      <c r="AL228" s="118">
        <v>221304834</v>
      </c>
      <c r="AM228" s="118">
        <v>21351</v>
      </c>
      <c r="AN228" s="118">
        <v>952910</v>
      </c>
      <c r="AO228" s="118">
        <v>4808</v>
      </c>
      <c r="AP228" s="118">
        <f t="shared" si="3"/>
        <v>3690</v>
      </c>
    </row>
    <row r="229" spans="1:42" ht="12.75">
      <c r="A229" s="106">
        <v>2018</v>
      </c>
      <c r="B229" s="106">
        <v>-110529</v>
      </c>
      <c r="C229" s="106">
        <v>0</v>
      </c>
      <c r="D229" s="106">
        <v>110529</v>
      </c>
      <c r="E229" s="106" t="s">
        <v>536</v>
      </c>
      <c r="F229" s="106" t="s">
        <v>537</v>
      </c>
      <c r="G229" s="106" t="s">
        <v>121</v>
      </c>
      <c r="H229" s="106">
        <v>2</v>
      </c>
      <c r="I229" s="106" t="s">
        <v>25</v>
      </c>
      <c r="J229" s="106">
        <v>7339</v>
      </c>
      <c r="K229" s="106">
        <v>12744</v>
      </c>
      <c r="L229" s="106">
        <v>9510</v>
      </c>
      <c r="M229" s="106">
        <v>0.46</v>
      </c>
      <c r="N229" s="106">
        <v>0.32</v>
      </c>
      <c r="O229" s="106">
        <v>0.35</v>
      </c>
      <c r="P229" s="106">
        <v>5249</v>
      </c>
      <c r="Q229" s="106">
        <v>1643.4508830022075</v>
      </c>
      <c r="R229" s="106">
        <v>0.18710026077667424</v>
      </c>
      <c r="S229" s="106">
        <v>21676.99949057565</v>
      </c>
      <c r="T229" s="106">
        <v>19901.908218712855</v>
      </c>
      <c r="U229" s="106">
        <v>12557.570805922331</v>
      </c>
      <c r="V229" s="106">
        <v>0.56860894162518094</v>
      </c>
      <c r="W229" s="106">
        <v>152555.72731994459</v>
      </c>
      <c r="X229" s="110">
        <v>0.62652467788878352</v>
      </c>
      <c r="Y229" s="106">
        <v>1285.0032546786003</v>
      </c>
      <c r="Z229" s="106">
        <v>28.750203417412528</v>
      </c>
      <c r="AA229" s="106">
        <v>47132.909162572723</v>
      </c>
      <c r="AB229" s="106">
        <v>280.9585997423236</v>
      </c>
      <c r="AC229" s="106">
        <v>2.1216598291244018</v>
      </c>
      <c r="AD229" s="106">
        <v>26.36420919974795</v>
      </c>
      <c r="AE229" s="106">
        <v>167.75748884639899</v>
      </c>
      <c r="AF229" s="106">
        <v>0.3197951113711236</v>
      </c>
      <c r="AG229" s="106">
        <v>5742</v>
      </c>
      <c r="AH229" s="106">
        <v>21815.315036508746</v>
      </c>
      <c r="AI229" s="106">
        <v>22052.810961113941</v>
      </c>
      <c r="AJ229" s="106">
        <v>21812.852224486331</v>
      </c>
      <c r="AK229" s="104">
        <v>14416.153888605875</v>
      </c>
      <c r="AL229" s="118">
        <v>204922322</v>
      </c>
      <c r="AM229" s="118">
        <v>24319</v>
      </c>
      <c r="AN229" s="118">
        <v>1052846</v>
      </c>
      <c r="AO229" s="118">
        <v>5792</v>
      </c>
      <c r="AP229" s="118">
        <f t="shared" si="3"/>
        <v>1597</v>
      </c>
    </row>
    <row r="230" spans="1:42" ht="12.75">
      <c r="A230" s="106">
        <v>2018</v>
      </c>
      <c r="B230" s="106">
        <v>-111188</v>
      </c>
      <c r="C230" s="106">
        <v>0</v>
      </c>
      <c r="D230" s="106">
        <v>111188</v>
      </c>
      <c r="E230" s="106" t="s">
        <v>4052</v>
      </c>
      <c r="F230" s="106" t="s">
        <v>3024</v>
      </c>
      <c r="G230" s="106" t="s">
        <v>121</v>
      </c>
      <c r="H230" s="106">
        <v>3</v>
      </c>
      <c r="I230" s="104" t="s">
        <v>26</v>
      </c>
      <c r="J230" s="106">
        <v>7056</v>
      </c>
      <c r="K230" s="106">
        <v>19965</v>
      </c>
      <c r="L230" s="106">
        <v>14182</v>
      </c>
      <c r="M230" s="106">
        <v>0.25</v>
      </c>
      <c r="N230" s="106">
        <v>0.54</v>
      </c>
      <c r="O230" s="106">
        <v>0.31</v>
      </c>
      <c r="P230" s="106">
        <v>5309</v>
      </c>
      <c r="Q230" s="106">
        <v>1492.0100775193798</v>
      </c>
      <c r="R230" s="106">
        <v>0.15059489778217749</v>
      </c>
      <c r="S230" s="106">
        <v>56354.08139534884</v>
      </c>
      <c r="T230" s="106">
        <v>59850.762015503875</v>
      </c>
      <c r="U230" s="106">
        <v>34000.10384046485</v>
      </c>
      <c r="V230" s="106">
        <v>0.24751192076467735</v>
      </c>
      <c r="W230" s="106">
        <v>149413.27931034483</v>
      </c>
      <c r="X230" s="110">
        <v>0.56121310158498494</v>
      </c>
      <c r="Y230" s="106">
        <v>490.18220338983048</v>
      </c>
      <c r="Z230" s="106">
        <v>16.398305084745761</v>
      </c>
      <c r="AA230" s="106">
        <v>185848.02522965957</v>
      </c>
      <c r="AB230" s="106">
        <v>1137.4221092347102</v>
      </c>
      <c r="AC230" s="106">
        <v>0.53807405204562253</v>
      </c>
      <c r="AD230" s="106">
        <v>22.714148219441771</v>
      </c>
      <c r="AE230" s="106">
        <v>163.39406779661016</v>
      </c>
      <c r="AF230" s="106">
        <v>-8.0240423673668626E-2</v>
      </c>
      <c r="AG230" s="106">
        <v>5742</v>
      </c>
      <c r="AH230" s="106">
        <v>56003.115503875968</v>
      </c>
      <c r="AI230" s="106">
        <v>56487.128682170543</v>
      </c>
      <c r="AJ230" s="106">
        <v>56551.065116279067</v>
      </c>
      <c r="AK230" s="104">
        <v>37920.989922480621</v>
      </c>
      <c r="AL230" s="118">
        <v>42228513</v>
      </c>
      <c r="AM230" s="118">
        <v>1050</v>
      </c>
      <c r="AN230" s="118">
        <v>38561</v>
      </c>
      <c r="AO230" s="118">
        <v>218</v>
      </c>
      <c r="AP230" s="118">
        <f t="shared" si="3"/>
        <v>1314</v>
      </c>
    </row>
    <row r="231" spans="1:42" ht="12.75">
      <c r="A231" s="106">
        <v>2018</v>
      </c>
      <c r="B231" s="106">
        <v>-110486</v>
      </c>
      <c r="C231" s="106">
        <v>0</v>
      </c>
      <c r="D231" s="106">
        <v>110486</v>
      </c>
      <c r="E231" s="106" t="s">
        <v>538</v>
      </c>
      <c r="F231" s="106" t="s">
        <v>278</v>
      </c>
      <c r="G231" s="106" t="s">
        <v>121</v>
      </c>
      <c r="H231" s="106">
        <v>2</v>
      </c>
      <c r="I231" s="106" t="s">
        <v>25</v>
      </c>
      <c r="J231" s="106">
        <v>7147</v>
      </c>
      <c r="K231" s="106">
        <v>6025</v>
      </c>
      <c r="L231" s="106">
        <v>3862</v>
      </c>
      <c r="M231" s="106">
        <v>0.69</v>
      </c>
      <c r="N231" s="106">
        <v>0.25</v>
      </c>
      <c r="O231" s="106">
        <v>0.73</v>
      </c>
      <c r="P231" s="106">
        <v>5820</v>
      </c>
      <c r="Q231" s="106">
        <v>2744.0141704817966</v>
      </c>
      <c r="R231" s="106">
        <v>0.33196394744196633</v>
      </c>
      <c r="S231" s="106">
        <v>22356.046653586222</v>
      </c>
      <c r="T231" s="106">
        <v>23012.910507957269</v>
      </c>
      <c r="U231" s="106">
        <v>13660.927806283258</v>
      </c>
      <c r="V231" s="106">
        <v>0.4042175211552565</v>
      </c>
      <c r="W231" s="106">
        <v>136941.52324397693</v>
      </c>
      <c r="X231" s="110">
        <v>0.63718237022818647</v>
      </c>
      <c r="Y231" s="106">
        <v>699.36883116883121</v>
      </c>
      <c r="Z231" s="106">
        <v>23.828571428571429</v>
      </c>
      <c r="AA231" s="106">
        <v>57994.147012884132</v>
      </c>
      <c r="AB231" s="106">
        <v>465.44881542482688</v>
      </c>
      <c r="AC231" s="106">
        <v>1.7243119375095513</v>
      </c>
      <c r="AD231" s="106">
        <v>23.76814782226133</v>
      </c>
      <c r="AE231" s="106">
        <v>124.59833410458121</v>
      </c>
      <c r="AF231" s="106">
        <v>-0.15112892524763452</v>
      </c>
      <c r="AG231" s="106">
        <v>5742</v>
      </c>
      <c r="AH231" s="106">
        <v>21483.004469151951</v>
      </c>
      <c r="AI231" s="106">
        <v>21588.517658600391</v>
      </c>
      <c r="AJ231" s="106">
        <v>22422.338674514933</v>
      </c>
      <c r="AK231" s="104">
        <v>16896.591454109439</v>
      </c>
      <c r="AL231" s="118">
        <v>100838123</v>
      </c>
      <c r="AM231" s="118">
        <v>8814</v>
      </c>
      <c r="AN231" s="118">
        <v>269257</v>
      </c>
      <c r="AO231" s="118">
        <v>1801</v>
      </c>
      <c r="AP231" s="118">
        <f t="shared" si="3"/>
        <v>1405</v>
      </c>
    </row>
    <row r="232" spans="1:42" ht="12.75">
      <c r="A232" s="106">
        <v>2018</v>
      </c>
      <c r="B232" s="106">
        <v>-441937</v>
      </c>
      <c r="C232" s="106">
        <v>0</v>
      </c>
      <c r="D232" s="106">
        <v>441937</v>
      </c>
      <c r="E232" s="106" t="s">
        <v>539</v>
      </c>
      <c r="F232" s="106" t="s">
        <v>540</v>
      </c>
      <c r="G232" s="106" t="s">
        <v>121</v>
      </c>
      <c r="H232" s="106">
        <v>2</v>
      </c>
      <c r="I232" s="106" t="s">
        <v>25</v>
      </c>
      <c r="J232" s="106">
        <v>6817</v>
      </c>
      <c r="K232" s="106">
        <v>15780</v>
      </c>
      <c r="L232" s="106">
        <v>12545</v>
      </c>
      <c r="M232" s="106">
        <v>0.53</v>
      </c>
      <c r="N232" s="106">
        <v>0.5</v>
      </c>
      <c r="O232" s="106">
        <v>0.5</v>
      </c>
      <c r="P232" s="106">
        <v>5482</v>
      </c>
      <c r="Q232" s="106">
        <v>1551.5747498075443</v>
      </c>
      <c r="R232" s="106">
        <v>0.19177731304544732</v>
      </c>
      <c r="S232" s="106">
        <v>29843.745958429561</v>
      </c>
      <c r="T232" s="106">
        <v>30221.090839107004</v>
      </c>
      <c r="U232" s="106">
        <v>18150.402762846752</v>
      </c>
      <c r="V232" s="106">
        <v>0.36026348363460864</v>
      </c>
      <c r="W232" s="106">
        <v>138171.03035208417</v>
      </c>
      <c r="X232" s="110">
        <v>0.57980131388392298</v>
      </c>
      <c r="Y232" s="106">
        <v>683.80896226415086</v>
      </c>
      <c r="Z232" s="106">
        <v>22.977594339622641</v>
      </c>
      <c r="AA232" s="106">
        <v>60331.04705460064</v>
      </c>
      <c r="AB232" s="106">
        <v>609.89635234460991</v>
      </c>
      <c r="AC232" s="106">
        <v>1.657521373854133</v>
      </c>
      <c r="AD232" s="106">
        <v>29.606060606060609</v>
      </c>
      <c r="AE232" s="106">
        <v>98.920163766632555</v>
      </c>
      <c r="AF232" s="106">
        <v>-5.2744719254122323E-3</v>
      </c>
      <c r="AG232" s="106">
        <v>5742</v>
      </c>
      <c r="AH232" s="106">
        <v>29692.858198614318</v>
      </c>
      <c r="AI232" s="106">
        <v>29706.037875288683</v>
      </c>
      <c r="AJ232" s="106">
        <v>30009.43479599692</v>
      </c>
      <c r="AK232" s="104">
        <v>21469.335488837569</v>
      </c>
      <c r="AL232" s="118">
        <v>107335590</v>
      </c>
      <c r="AM232" s="118">
        <v>7054</v>
      </c>
      <c r="AN232" s="118">
        <v>193290</v>
      </c>
      <c r="AO232" s="118">
        <v>1824</v>
      </c>
      <c r="AP232" s="118">
        <f t="shared" si="3"/>
        <v>1075</v>
      </c>
    </row>
    <row r="233" spans="1:42" ht="12.75">
      <c r="A233" s="106">
        <v>2018</v>
      </c>
      <c r="B233" s="106">
        <v>-110538</v>
      </c>
      <c r="C233" s="106">
        <v>0</v>
      </c>
      <c r="D233" s="106">
        <v>110538</v>
      </c>
      <c r="E233" s="106" t="s">
        <v>541</v>
      </c>
      <c r="F233" s="106" t="s">
        <v>542</v>
      </c>
      <c r="G233" s="106" t="s">
        <v>121</v>
      </c>
      <c r="H233" s="106">
        <v>2</v>
      </c>
      <c r="I233" s="106" t="s">
        <v>25</v>
      </c>
      <c r="J233" s="106">
        <v>7348</v>
      </c>
      <c r="K233" s="106">
        <v>14156</v>
      </c>
      <c r="L233" s="106">
        <v>9967</v>
      </c>
      <c r="M233" s="106">
        <v>0.44</v>
      </c>
      <c r="N233" s="106">
        <v>0.47</v>
      </c>
      <c r="O233" s="106">
        <v>0.4</v>
      </c>
      <c r="P233" s="106">
        <v>5686</v>
      </c>
      <c r="Q233" s="106">
        <v>2075.8261729282763</v>
      </c>
      <c r="R233" s="106">
        <v>0.25907507642305999</v>
      </c>
      <c r="S233" s="106">
        <v>21346.248127509138</v>
      </c>
      <c r="T233" s="106">
        <v>22530.866978249145</v>
      </c>
      <c r="U233" s="106">
        <v>12740.740715367672</v>
      </c>
      <c r="V233" s="106">
        <v>0.46595596412331175</v>
      </c>
      <c r="W233" s="106">
        <v>144717.24290030211</v>
      </c>
      <c r="X233" s="110">
        <v>0.63695691945983413</v>
      </c>
      <c r="Y233" s="106">
        <v>716.00192030724907</v>
      </c>
      <c r="Z233" s="106">
        <v>24.036005760921746</v>
      </c>
      <c r="AA233" s="106">
        <v>47728.444848208994</v>
      </c>
      <c r="AB233" s="106">
        <v>427.70348590905468</v>
      </c>
      <c r="AC233" s="106">
        <v>2.0951866401268777</v>
      </c>
      <c r="AD233" s="106">
        <v>26.403129259764118</v>
      </c>
      <c r="AE233" s="106">
        <v>111.59236812570146</v>
      </c>
      <c r="AF233" s="106">
        <v>-0.4206848995442577</v>
      </c>
      <c r="AG233" s="106">
        <v>5742</v>
      </c>
      <c r="AH233" s="106">
        <v>20691.766672658636</v>
      </c>
      <c r="AI233" s="106">
        <v>20902.215291509376</v>
      </c>
      <c r="AJ233" s="106">
        <v>21427.409790880221</v>
      </c>
      <c r="AK233" s="104">
        <v>15270.244112888729</v>
      </c>
      <c r="AL233" s="118">
        <v>166071531</v>
      </c>
      <c r="AM233" s="118">
        <v>16710</v>
      </c>
      <c r="AN233" s="118">
        <v>497144</v>
      </c>
      <c r="AO233" s="118">
        <v>4130</v>
      </c>
      <c r="AP233" s="118">
        <f t="shared" si="3"/>
        <v>1606</v>
      </c>
    </row>
    <row r="234" spans="1:42" ht="12.75">
      <c r="A234" s="106">
        <v>2018</v>
      </c>
      <c r="B234" s="106">
        <v>-110547</v>
      </c>
      <c r="C234" s="106">
        <v>0</v>
      </c>
      <c r="D234" s="106">
        <v>110547</v>
      </c>
      <c r="E234" s="106" t="s">
        <v>543</v>
      </c>
      <c r="F234" s="106" t="s">
        <v>544</v>
      </c>
      <c r="G234" s="106" t="s">
        <v>121</v>
      </c>
      <c r="H234" s="106">
        <v>2</v>
      </c>
      <c r="I234" s="106" t="s">
        <v>25</v>
      </c>
      <c r="J234" s="106">
        <v>6837</v>
      </c>
      <c r="K234" s="106">
        <v>4533</v>
      </c>
      <c r="L234" s="106">
        <v>1888</v>
      </c>
      <c r="M234" s="106">
        <v>0.74</v>
      </c>
      <c r="N234" s="106">
        <v>0.21</v>
      </c>
      <c r="O234" s="106">
        <v>0.7</v>
      </c>
      <c r="P234" s="106">
        <v>5447</v>
      </c>
      <c r="Q234" s="106">
        <v>2596.1431339119654</v>
      </c>
      <c r="R234" s="106">
        <v>0.29858622797053364</v>
      </c>
      <c r="S234" s="106">
        <v>21664.37252014879</v>
      </c>
      <c r="T234" s="106">
        <v>20501.971171729696</v>
      </c>
      <c r="U234" s="106">
        <v>12325.80877935733</v>
      </c>
      <c r="V234" s="106">
        <v>0.4947863653934112</v>
      </c>
      <c r="W234" s="106">
        <v>143398.23131868133</v>
      </c>
      <c r="X234" s="110">
        <v>0.65766382011655122</v>
      </c>
      <c r="Y234" s="106">
        <v>705.2677902621723</v>
      </c>
      <c r="Z234" s="106">
        <v>24.164794007490638</v>
      </c>
      <c r="AA234" s="106">
        <v>39252.773072267271</v>
      </c>
      <c r="AB234" s="106">
        <v>422.32274639703621</v>
      </c>
      <c r="AC234" s="106">
        <v>2.5475907094740178</v>
      </c>
      <c r="AD234" s="106">
        <v>30.347513481126427</v>
      </c>
      <c r="AE234" s="106">
        <v>92.944965449160904</v>
      </c>
      <c r="AF234" s="106">
        <v>2.2930111708990899</v>
      </c>
      <c r="AG234" s="106">
        <v>5742</v>
      </c>
      <c r="AH234" s="106">
        <v>20941.516584004959</v>
      </c>
      <c r="AI234" s="106">
        <v>21035.494342839429</v>
      </c>
      <c r="AJ234" s="106">
        <v>21718.653440793554</v>
      </c>
      <c r="AK234" s="104">
        <v>15062.247675139492</v>
      </c>
      <c r="AL234" s="118">
        <v>123710182</v>
      </c>
      <c r="AM234" s="118">
        <v>13278</v>
      </c>
      <c r="AN234" s="118">
        <v>376613</v>
      </c>
      <c r="AO234" s="118">
        <v>3236</v>
      </c>
      <c r="AP234" s="118">
        <f t="shared" si="3"/>
        <v>1095</v>
      </c>
    </row>
    <row r="235" spans="1:42" ht="12.75">
      <c r="A235" s="106">
        <v>2018</v>
      </c>
      <c r="B235" s="106">
        <v>-110574</v>
      </c>
      <c r="C235" s="106">
        <v>0</v>
      </c>
      <c r="D235" s="106">
        <v>110574</v>
      </c>
      <c r="E235" s="106" t="s">
        <v>545</v>
      </c>
      <c r="F235" s="106" t="s">
        <v>546</v>
      </c>
      <c r="G235" s="106" t="s">
        <v>121</v>
      </c>
      <c r="H235" s="106">
        <v>2</v>
      </c>
      <c r="I235" s="106" t="s">
        <v>25</v>
      </c>
      <c r="J235" s="106">
        <v>6834</v>
      </c>
      <c r="K235" s="106">
        <v>11422</v>
      </c>
      <c r="L235" s="106">
        <v>8106</v>
      </c>
      <c r="M235" s="106">
        <v>0.54</v>
      </c>
      <c r="N235" s="106">
        <v>0.37</v>
      </c>
      <c r="O235" s="106">
        <v>0.54</v>
      </c>
      <c r="P235" s="106">
        <v>5407</v>
      </c>
      <c r="Q235" s="106">
        <v>1772.3130981861991</v>
      </c>
      <c r="R235" s="106">
        <v>0.19370214650550424</v>
      </c>
      <c r="S235" s="106">
        <v>21024.738772505189</v>
      </c>
      <c r="T235" s="106">
        <v>22581.923298306672</v>
      </c>
      <c r="U235" s="106">
        <v>13537.153993479755</v>
      </c>
      <c r="V235" s="106">
        <v>0.54497194824083195</v>
      </c>
      <c r="W235" s="106">
        <v>145334.75579042052</v>
      </c>
      <c r="X235" s="110">
        <v>0.63852038412868495</v>
      </c>
      <c r="Y235" s="106">
        <v>1215.1755915317558</v>
      </c>
      <c r="Z235" s="106">
        <v>27.909713574097132</v>
      </c>
      <c r="AA235" s="106">
        <v>38335.598524749999</v>
      </c>
      <c r="AB235" s="106">
        <v>310.91645783488542</v>
      </c>
      <c r="AC235" s="106">
        <v>2.6085415083695276</v>
      </c>
      <c r="AD235" s="106">
        <v>36.590609612317081</v>
      </c>
      <c r="AE235" s="106">
        <v>123.29871114480667</v>
      </c>
      <c r="AF235" s="106">
        <v>2.3594403229822056</v>
      </c>
      <c r="AG235" s="106">
        <v>5742</v>
      </c>
      <c r="AH235" s="106">
        <v>20736.242353256141</v>
      </c>
      <c r="AI235" s="106">
        <v>20855.619570309886</v>
      </c>
      <c r="AJ235" s="106">
        <v>21096.013452914798</v>
      </c>
      <c r="AK235" s="104">
        <v>15513.0848671441</v>
      </c>
      <c r="AL235" s="118">
        <v>144739805</v>
      </c>
      <c r="AM235" s="118">
        <v>13474</v>
      </c>
      <c r="AN235" s="118">
        <v>650524</v>
      </c>
      <c r="AO235" s="118">
        <v>3961</v>
      </c>
      <c r="AP235" s="118">
        <f t="shared" si="3"/>
        <v>1092</v>
      </c>
    </row>
    <row r="236" spans="1:42" ht="12.75">
      <c r="A236" s="106">
        <v>2018</v>
      </c>
      <c r="B236" s="106">
        <v>-110556</v>
      </c>
      <c r="C236" s="106">
        <v>0</v>
      </c>
      <c r="D236" s="106">
        <v>110556</v>
      </c>
      <c r="E236" s="106" t="s">
        <v>547</v>
      </c>
      <c r="F236" s="106" t="s">
        <v>548</v>
      </c>
      <c r="G236" s="106" t="s">
        <v>121</v>
      </c>
      <c r="H236" s="106">
        <v>1</v>
      </c>
      <c r="I236" s="106" t="s">
        <v>23</v>
      </c>
      <c r="J236" s="106">
        <v>6585</v>
      </c>
      <c r="K236" s="106">
        <v>6771</v>
      </c>
      <c r="L236" s="106">
        <v>4067</v>
      </c>
      <c r="M236" s="106">
        <v>0.66</v>
      </c>
      <c r="N236" s="106">
        <v>0.28000000000000003</v>
      </c>
      <c r="O236" s="106">
        <v>0.6</v>
      </c>
      <c r="P236" s="106">
        <v>6258</v>
      </c>
      <c r="Q236" s="106">
        <v>2497.2832388296665</v>
      </c>
      <c r="R236" s="106">
        <v>0.2875710514954804</v>
      </c>
      <c r="S236" s="106">
        <v>20378.625674756182</v>
      </c>
      <c r="T236" s="106">
        <v>22005.436244046268</v>
      </c>
      <c r="U236" s="106">
        <v>12964.17115883449</v>
      </c>
      <c r="V236" s="106">
        <v>0.47722088172091248</v>
      </c>
      <c r="W236" s="106">
        <v>143296.21064407864</v>
      </c>
      <c r="X236" s="110">
        <v>0.61608341889711649</v>
      </c>
      <c r="Y236" s="106">
        <v>638.81596306068604</v>
      </c>
      <c r="Z236" s="106">
        <v>21.812335092348285</v>
      </c>
      <c r="AA236" s="106">
        <v>50351.506905656504</v>
      </c>
      <c r="AB236" s="106">
        <v>442.66089431486506</v>
      </c>
      <c r="AC236" s="106">
        <v>1.986037879409841</v>
      </c>
      <c r="AD236" s="106">
        <v>24.645043636837304</v>
      </c>
      <c r="AE236" s="106">
        <v>113.74735729386892</v>
      </c>
      <c r="AF236" s="106">
        <v>3.1561393226196746</v>
      </c>
      <c r="AG236" s="106">
        <v>5742</v>
      </c>
      <c r="AH236" s="106">
        <v>19594.227761397142</v>
      </c>
      <c r="AI236" s="106">
        <v>19807.951009299162</v>
      </c>
      <c r="AJ236" s="106">
        <v>20512.111272397367</v>
      </c>
      <c r="AK236" s="104">
        <v>16594.027443864823</v>
      </c>
      <c r="AL236" s="118">
        <v>220168764</v>
      </c>
      <c r="AM236" s="118">
        <v>22261</v>
      </c>
      <c r="AN236" s="118">
        <v>645630</v>
      </c>
      <c r="AO236" s="118">
        <v>4720</v>
      </c>
      <c r="AP236" s="118">
        <f t="shared" si="3"/>
        <v>843</v>
      </c>
    </row>
    <row r="237" spans="1:42" ht="12.75">
      <c r="A237" s="106">
        <v>2018</v>
      </c>
      <c r="B237" s="106">
        <v>-110565</v>
      </c>
      <c r="C237" s="106">
        <v>0</v>
      </c>
      <c r="D237" s="106">
        <v>110565</v>
      </c>
      <c r="E237" s="106" t="s">
        <v>549</v>
      </c>
      <c r="F237" s="106" t="s">
        <v>550</v>
      </c>
      <c r="G237" s="106" t="s">
        <v>121</v>
      </c>
      <c r="H237" s="106">
        <v>1</v>
      </c>
      <c r="I237" s="106" t="s">
        <v>23</v>
      </c>
      <c r="J237" s="106">
        <v>6850</v>
      </c>
      <c r="K237" s="106">
        <v>8274</v>
      </c>
      <c r="L237" s="106">
        <v>4843</v>
      </c>
      <c r="M237" s="106">
        <v>0.52</v>
      </c>
      <c r="N237" s="106">
        <v>0.28999999999999998</v>
      </c>
      <c r="O237" s="106">
        <v>0.42</v>
      </c>
      <c r="P237" s="106">
        <v>5610</v>
      </c>
      <c r="Q237" s="106">
        <v>1723.1794289329155</v>
      </c>
      <c r="R237" s="106">
        <v>0.1929834773172015</v>
      </c>
      <c r="S237" s="106">
        <v>19844.818644506428</v>
      </c>
      <c r="T237" s="106">
        <v>20033.906058601951</v>
      </c>
      <c r="U237" s="106">
        <v>12238.970897507314</v>
      </c>
      <c r="V237" s="106">
        <v>0.5887730167589641</v>
      </c>
      <c r="W237" s="106">
        <v>151428.90634441088</v>
      </c>
      <c r="X237" s="110">
        <v>0.64747281792459299</v>
      </c>
      <c r="Y237" s="106">
        <v>734.02768496420049</v>
      </c>
      <c r="Z237" s="106">
        <v>24.9</v>
      </c>
      <c r="AA237" s="106">
        <v>38687.028804091242</v>
      </c>
      <c r="AB237" s="106">
        <v>415.17558750225504</v>
      </c>
      <c r="AC237" s="106">
        <v>2.5848456987067658</v>
      </c>
      <c r="AD237" s="106">
        <v>31.467551411492149</v>
      </c>
      <c r="AE237" s="106">
        <v>93.182330485366293</v>
      </c>
      <c r="AF237" s="106">
        <v>6.6066341737378215E-2</v>
      </c>
      <c r="AG237" s="106">
        <v>5742</v>
      </c>
      <c r="AH237" s="106">
        <v>19550.55985277626</v>
      </c>
      <c r="AI237" s="106">
        <v>19620.907065014235</v>
      </c>
      <c r="AJ237" s="106">
        <v>19908.004543232597</v>
      </c>
      <c r="AK237" s="104">
        <v>14542.979152888403</v>
      </c>
      <c r="AL237" s="118">
        <v>278594606</v>
      </c>
      <c r="AM237" s="118">
        <v>35162</v>
      </c>
      <c r="AN237" s="118">
        <v>1025192</v>
      </c>
      <c r="AO237" s="118">
        <v>9038</v>
      </c>
      <c r="AP237" s="118">
        <f t="shared" si="3"/>
        <v>1108</v>
      </c>
    </row>
    <row r="238" spans="1:42" ht="12.75">
      <c r="A238" s="106">
        <v>2018</v>
      </c>
      <c r="B238" s="106">
        <v>-110583</v>
      </c>
      <c r="C238" s="106">
        <v>0</v>
      </c>
      <c r="D238" s="106">
        <v>110583</v>
      </c>
      <c r="E238" s="106" t="s">
        <v>551</v>
      </c>
      <c r="F238" s="106" t="s">
        <v>552</v>
      </c>
      <c r="G238" s="106" t="s">
        <v>121</v>
      </c>
      <c r="H238" s="106">
        <v>2</v>
      </c>
      <c r="I238" s="106" t="s">
        <v>25</v>
      </c>
      <c r="J238" s="106">
        <v>6730</v>
      </c>
      <c r="K238" s="106">
        <v>9477</v>
      </c>
      <c r="L238" s="106">
        <v>5735</v>
      </c>
      <c r="M238" s="106">
        <v>0.51</v>
      </c>
      <c r="N238" s="106">
        <v>0.31</v>
      </c>
      <c r="O238" s="106">
        <v>0.44</v>
      </c>
      <c r="P238" s="106">
        <v>5717</v>
      </c>
      <c r="Q238" s="106">
        <v>2122.0184489022272</v>
      </c>
      <c r="R238" s="106">
        <v>0.23927623638474546</v>
      </c>
      <c r="S238" s="106">
        <v>21579.150118464699</v>
      </c>
      <c r="T238" s="106">
        <v>21880.327910282736</v>
      </c>
      <c r="U238" s="106">
        <v>13239.746459227397</v>
      </c>
      <c r="V238" s="106">
        <v>0.50956184443771024</v>
      </c>
      <c r="W238" s="106">
        <v>147816.00096763787</v>
      </c>
      <c r="X238" s="110">
        <v>0.66165819244090185</v>
      </c>
      <c r="Y238" s="106">
        <v>643.71021542738015</v>
      </c>
      <c r="Z238" s="106">
        <v>21.997915218902016</v>
      </c>
      <c r="AA238" s="106">
        <v>38780.806344669494</v>
      </c>
      <c r="AB238" s="106">
        <v>452.45020686284153</v>
      </c>
      <c r="AC238" s="106">
        <v>2.5785951718289946</v>
      </c>
      <c r="AD238" s="106">
        <v>32.209704339532664</v>
      </c>
      <c r="AE238" s="106">
        <v>85.712871287128706</v>
      </c>
      <c r="AF238" s="106">
        <v>-0.1299676854535248</v>
      </c>
      <c r="AG238" s="106">
        <v>5742</v>
      </c>
      <c r="AH238" s="106">
        <v>21126.495624703839</v>
      </c>
      <c r="AI238" s="106">
        <v>21401.743926709842</v>
      </c>
      <c r="AJ238" s="106">
        <v>21649.010393302797</v>
      </c>
      <c r="AK238" s="104">
        <v>15629.944969199179</v>
      </c>
      <c r="AL238" s="118">
        <v>294116868</v>
      </c>
      <c r="AM238" s="118">
        <v>31566</v>
      </c>
      <c r="AN238" s="118">
        <v>926299</v>
      </c>
      <c r="AO238" s="118">
        <v>8615</v>
      </c>
      <c r="AP238" s="118">
        <f t="shared" si="3"/>
        <v>988</v>
      </c>
    </row>
    <row r="239" spans="1:42" ht="12.75">
      <c r="A239" s="106">
        <v>2018</v>
      </c>
      <c r="B239" s="106">
        <v>-110592</v>
      </c>
      <c r="C239" s="106">
        <v>0</v>
      </c>
      <c r="D239" s="106">
        <v>110592</v>
      </c>
      <c r="E239" s="106" t="s">
        <v>553</v>
      </c>
      <c r="F239" s="106" t="s">
        <v>152</v>
      </c>
      <c r="G239" s="106" t="s">
        <v>121</v>
      </c>
      <c r="H239" s="106">
        <v>2</v>
      </c>
      <c r="I239" s="106" t="s">
        <v>25</v>
      </c>
      <c r="J239" s="106">
        <v>6639</v>
      </c>
      <c r="K239" s="106">
        <v>4403</v>
      </c>
      <c r="L239" s="106">
        <v>2055</v>
      </c>
      <c r="M239" s="106">
        <v>0.77</v>
      </c>
      <c r="N239" s="106">
        <v>0.2</v>
      </c>
      <c r="O239" s="106">
        <v>0.66</v>
      </c>
      <c r="P239" s="106">
        <v>5370</v>
      </c>
      <c r="Q239" s="106">
        <v>2200.4841730581807</v>
      </c>
      <c r="R239" s="106">
        <v>0.25730371290233245</v>
      </c>
      <c r="S239" s="106">
        <v>20196.200389847028</v>
      </c>
      <c r="T239" s="106">
        <v>20960.779312682742</v>
      </c>
      <c r="U239" s="106">
        <v>11797.215842303331</v>
      </c>
      <c r="V239" s="106">
        <v>0.53839860201290057</v>
      </c>
      <c r="W239" s="106">
        <v>149115.39502283823</v>
      </c>
      <c r="X239" s="110">
        <v>0.63797774607975988</v>
      </c>
      <c r="Y239" s="106">
        <v>667.7437619961612</v>
      </c>
      <c r="Z239" s="106">
        <v>22.647792706333973</v>
      </c>
      <c r="AA239" s="106">
        <v>42627.851272778484</v>
      </c>
      <c r="AB239" s="106">
        <v>400.12488938818564</v>
      </c>
      <c r="AC239" s="106">
        <v>2.3458841347665702</v>
      </c>
      <c r="AD239" s="106">
        <v>25.749093202964836</v>
      </c>
      <c r="AE239" s="106">
        <v>106.53636502832644</v>
      </c>
      <c r="AF239" s="106">
        <v>-0.17525321713234049</v>
      </c>
      <c r="AG239" s="106">
        <v>5742</v>
      </c>
      <c r="AH239" s="106">
        <v>19489.903216237977</v>
      </c>
      <c r="AI239" s="106">
        <v>19495.720242383151</v>
      </c>
      <c r="AJ239" s="106">
        <v>20309.555447264716</v>
      </c>
      <c r="AK239" s="104">
        <v>15371.340183906097</v>
      </c>
      <c r="AL239" s="118">
        <v>207026024</v>
      </c>
      <c r="AM239" s="118">
        <v>24818</v>
      </c>
      <c r="AN239" s="118">
        <v>695789</v>
      </c>
      <c r="AO239" s="118">
        <v>5246</v>
      </c>
      <c r="AP239" s="118">
        <f t="shared" si="3"/>
        <v>897</v>
      </c>
    </row>
    <row r="240" spans="1:42" ht="12.75">
      <c r="A240" s="106">
        <v>2018</v>
      </c>
      <c r="B240" s="106">
        <v>-409698</v>
      </c>
      <c r="C240" s="106">
        <v>0</v>
      </c>
      <c r="D240" s="106">
        <v>409698</v>
      </c>
      <c r="E240" s="106" t="s">
        <v>554</v>
      </c>
      <c r="F240" s="106" t="s">
        <v>555</v>
      </c>
      <c r="G240" s="106" t="s">
        <v>121</v>
      </c>
      <c r="H240" s="106">
        <v>2</v>
      </c>
      <c r="I240" s="106" t="s">
        <v>25</v>
      </c>
      <c r="J240" s="106">
        <v>7043</v>
      </c>
      <c r="K240" s="106">
        <v>13155</v>
      </c>
      <c r="L240" s="106">
        <v>8292</v>
      </c>
      <c r="M240" s="106">
        <v>0.48</v>
      </c>
      <c r="N240" s="106">
        <v>0.5</v>
      </c>
      <c r="O240" s="106">
        <v>0.5</v>
      </c>
      <c r="P240" s="106">
        <v>5789</v>
      </c>
      <c r="Q240" s="106">
        <v>1792.790684856001</v>
      </c>
      <c r="R240" s="106">
        <v>0.20267035538450126</v>
      </c>
      <c r="S240" s="106">
        <v>27414.291856138901</v>
      </c>
      <c r="T240" s="106">
        <v>27516.206283588261</v>
      </c>
      <c r="U240" s="106">
        <v>17977.017756194971</v>
      </c>
      <c r="V240" s="106">
        <v>0.39233732074202093</v>
      </c>
      <c r="W240" s="106">
        <v>145959.16011235956</v>
      </c>
      <c r="X240" s="110">
        <v>0.60717301158395343</v>
      </c>
      <c r="Y240" s="106">
        <v>761.71036948748508</v>
      </c>
      <c r="Z240" s="106">
        <v>25.948748510131107</v>
      </c>
      <c r="AA240" s="106">
        <v>60820.148184944941</v>
      </c>
      <c r="AB240" s="106">
        <v>612.4127114503317</v>
      </c>
      <c r="AC240" s="106">
        <v>1.6441919821687216</v>
      </c>
      <c r="AD240" s="106">
        <v>30.894426040616445</v>
      </c>
      <c r="AE240" s="106">
        <v>99.312354312354316</v>
      </c>
      <c r="AF240" s="106">
        <v>1.2881355043639098E-2</v>
      </c>
      <c r="AG240" s="106">
        <v>5742</v>
      </c>
      <c r="AH240" s="106">
        <v>26777.48835607</v>
      </c>
      <c r="AI240" s="106">
        <v>26967.704285517433</v>
      </c>
      <c r="AJ240" s="106">
        <v>27796.912360479539</v>
      </c>
      <c r="AK240" s="104">
        <v>20561.121537825547</v>
      </c>
      <c r="AL240" s="118">
        <v>101174286</v>
      </c>
      <c r="AM240" s="118">
        <v>6764</v>
      </c>
      <c r="AN240" s="118">
        <v>213025</v>
      </c>
      <c r="AO240" s="118">
        <v>1916</v>
      </c>
      <c r="AP240" s="118">
        <f t="shared" si="3"/>
        <v>1301</v>
      </c>
    </row>
    <row r="241" spans="1:42" ht="12.75">
      <c r="A241" s="106">
        <v>2018</v>
      </c>
      <c r="B241" s="106">
        <v>-110608</v>
      </c>
      <c r="C241" s="106">
        <v>0</v>
      </c>
      <c r="D241" s="106">
        <v>110608</v>
      </c>
      <c r="E241" s="106" t="s">
        <v>556</v>
      </c>
      <c r="F241" s="106" t="s">
        <v>557</v>
      </c>
      <c r="G241" s="106" t="s">
        <v>121</v>
      </c>
      <c r="H241" s="106">
        <v>2</v>
      </c>
      <c r="I241" s="106" t="s">
        <v>25</v>
      </c>
      <c r="J241" s="106">
        <v>6875</v>
      </c>
      <c r="K241" s="106">
        <v>8549</v>
      </c>
      <c r="L241" s="106">
        <v>5767</v>
      </c>
      <c r="M241" s="106">
        <v>0.63</v>
      </c>
      <c r="N241" s="106">
        <v>0.32</v>
      </c>
      <c r="O241" s="106">
        <v>0.6</v>
      </c>
      <c r="P241" s="106">
        <v>5816</v>
      </c>
      <c r="Q241" s="106">
        <v>2338.891768517155</v>
      </c>
      <c r="R241" s="106">
        <v>0.25317390235970705</v>
      </c>
      <c r="S241" s="106">
        <v>21686.451362096894</v>
      </c>
      <c r="T241" s="106">
        <v>21126.994316006479</v>
      </c>
      <c r="U241" s="106">
        <v>12613.194478137812</v>
      </c>
      <c r="V241" s="106">
        <v>0.54699780489377992</v>
      </c>
      <c r="W241" s="106">
        <v>147675.50248097916</v>
      </c>
      <c r="X241" s="110">
        <v>0.62230767061726322</v>
      </c>
      <c r="Y241" s="106">
        <v>741.36071695294993</v>
      </c>
      <c r="Z241" s="106">
        <v>25.35847647498133</v>
      </c>
      <c r="AA241" s="106">
        <v>40323.982535087976</v>
      </c>
      <c r="AB241" s="106">
        <v>431.43828386650449</v>
      </c>
      <c r="AC241" s="106">
        <v>2.4799137811595084</v>
      </c>
      <c r="AD241" s="106">
        <v>29.809986247158214</v>
      </c>
      <c r="AE241" s="106">
        <v>93.464080595047548</v>
      </c>
      <c r="AF241" s="106">
        <v>0.27671919666569555</v>
      </c>
      <c r="AG241" s="106">
        <v>5742</v>
      </c>
      <c r="AH241" s="106">
        <v>20973.990428508321</v>
      </c>
      <c r="AI241" s="106">
        <v>21207.390811367986</v>
      </c>
      <c r="AJ241" s="106">
        <v>21761.254542777206</v>
      </c>
      <c r="AK241" s="104">
        <v>15714.99667206597</v>
      </c>
      <c r="AL241" s="118">
        <v>297843844</v>
      </c>
      <c r="AM241" s="118">
        <v>35839</v>
      </c>
      <c r="AN241" s="118">
        <v>992682</v>
      </c>
      <c r="AO241" s="118">
        <v>8806</v>
      </c>
      <c r="AP241" s="118">
        <f t="shared" si="3"/>
        <v>1133</v>
      </c>
    </row>
    <row r="242" spans="1:42" ht="12.75">
      <c r="A242" s="106">
        <v>2018</v>
      </c>
      <c r="B242" s="106">
        <v>-110617</v>
      </c>
      <c r="C242" s="106">
        <v>0</v>
      </c>
      <c r="D242" s="106">
        <v>110617</v>
      </c>
      <c r="E242" s="106" t="s">
        <v>558</v>
      </c>
      <c r="F242" s="106" t="s">
        <v>153</v>
      </c>
      <c r="G242" s="106" t="s">
        <v>121</v>
      </c>
      <c r="H242" s="106">
        <v>2</v>
      </c>
      <c r="I242" s="106" t="s">
        <v>25</v>
      </c>
      <c r="J242" s="106">
        <v>7204</v>
      </c>
      <c r="K242" s="106">
        <v>9885</v>
      </c>
      <c r="L242" s="106">
        <v>6680</v>
      </c>
      <c r="M242" s="106">
        <v>0.57999999999999996</v>
      </c>
      <c r="N242" s="106">
        <v>0.33</v>
      </c>
      <c r="O242" s="106">
        <v>0.54</v>
      </c>
      <c r="P242" s="106">
        <v>5898</v>
      </c>
      <c r="Q242" s="106">
        <v>2009.4317611358783</v>
      </c>
      <c r="R242" s="106">
        <v>0.22177423941317179</v>
      </c>
      <c r="S242" s="106">
        <v>22159.987075263176</v>
      </c>
      <c r="T242" s="106">
        <v>21684.44730828307</v>
      </c>
      <c r="U242" s="106">
        <v>12559.30418785939</v>
      </c>
      <c r="V242" s="106">
        <v>0.56143849580657834</v>
      </c>
      <c r="W242" s="106">
        <v>148939.51764223195</v>
      </c>
      <c r="X242" s="110">
        <v>0.62716112024528015</v>
      </c>
      <c r="Y242" s="106">
        <v>745.09220082096613</v>
      </c>
      <c r="Z242" s="106">
        <v>25.28544363751184</v>
      </c>
      <c r="AA242" s="106">
        <v>43074.072553839229</v>
      </c>
      <c r="AB242" s="106">
        <v>426.21245775835393</v>
      </c>
      <c r="AC242" s="106">
        <v>2.3215821971560224</v>
      </c>
      <c r="AD242" s="106">
        <v>28.280222375640417</v>
      </c>
      <c r="AE242" s="106">
        <v>101.06244378774251</v>
      </c>
      <c r="AF242" s="106">
        <v>-0.92435468472457571</v>
      </c>
      <c r="AG242" s="106">
        <v>5742</v>
      </c>
      <c r="AH242" s="106">
        <v>21775.993781141122</v>
      </c>
      <c r="AI242" s="106">
        <v>21811.827894953734</v>
      </c>
      <c r="AJ242" s="106">
        <v>22287.332821338929</v>
      </c>
      <c r="AK242" s="104">
        <v>15682.720900610648</v>
      </c>
      <c r="AL242" s="118">
        <v>234422335</v>
      </c>
      <c r="AM242" s="118">
        <v>28454</v>
      </c>
      <c r="AN242" s="118">
        <v>786569</v>
      </c>
      <c r="AO242" s="118">
        <v>6948</v>
      </c>
      <c r="AP242" s="118">
        <f t="shared" si="3"/>
        <v>1462</v>
      </c>
    </row>
    <row r="243" spans="1:42" ht="12.75">
      <c r="A243" s="106">
        <v>2018</v>
      </c>
      <c r="B243" s="106">
        <v>-110510</v>
      </c>
      <c r="C243" s="106">
        <v>0</v>
      </c>
      <c r="D243" s="106">
        <v>110510</v>
      </c>
      <c r="E243" s="106" t="s">
        <v>559</v>
      </c>
      <c r="F243" s="106" t="s">
        <v>560</v>
      </c>
      <c r="G243" s="106" t="s">
        <v>121</v>
      </c>
      <c r="H243" s="106">
        <v>2</v>
      </c>
      <c r="I243" s="106" t="s">
        <v>25</v>
      </c>
      <c r="J243" s="106">
        <v>6885</v>
      </c>
      <c r="K243" s="106">
        <v>8586</v>
      </c>
      <c r="L243" s="106">
        <v>5977</v>
      </c>
      <c r="M243" s="106">
        <v>0.67</v>
      </c>
      <c r="N243" s="106">
        <v>0.28999999999999998</v>
      </c>
      <c r="O243" s="106">
        <v>0.63</v>
      </c>
      <c r="P243" s="106">
        <v>5582</v>
      </c>
      <c r="Q243" s="106">
        <v>2350.1614530776992</v>
      </c>
      <c r="R243" s="106">
        <v>0.27123658428930847</v>
      </c>
      <c r="S243" s="106">
        <v>21370.613185334678</v>
      </c>
      <c r="T243" s="106">
        <v>20601.048435923309</v>
      </c>
      <c r="U243" s="106">
        <v>12500.843045146794</v>
      </c>
      <c r="V243" s="106">
        <v>0.50512247492917062</v>
      </c>
      <c r="W243" s="106">
        <v>139350.52352590827</v>
      </c>
      <c r="X243" s="110">
        <v>0.63668382687735936</v>
      </c>
      <c r="Y243" s="106">
        <v>1234.8552837064028</v>
      </c>
      <c r="Z243" s="106">
        <v>27.85736595523165</v>
      </c>
      <c r="AA243" s="106">
        <v>45360.056598724266</v>
      </c>
      <c r="AB243" s="106">
        <v>282.00920711318241</v>
      </c>
      <c r="AC243" s="106">
        <v>2.2045827871125816</v>
      </c>
      <c r="AD243" s="106">
        <v>26.280337859510318</v>
      </c>
      <c r="AE243" s="106">
        <v>160.84601301871442</v>
      </c>
      <c r="AF243" s="106">
        <v>0.3345901965370302</v>
      </c>
      <c r="AG243" s="106">
        <v>5742</v>
      </c>
      <c r="AH243" s="106">
        <v>21283.855701311808</v>
      </c>
      <c r="AI243" s="106">
        <v>21349.194864895169</v>
      </c>
      <c r="AJ243" s="106">
        <v>21452.108139926</v>
      </c>
      <c r="AK243" s="104">
        <v>15089.632862428523</v>
      </c>
      <c r="AL243" s="118">
        <v>168256106</v>
      </c>
      <c r="AM243" s="118">
        <v>18327</v>
      </c>
      <c r="AN243" s="118">
        <v>790719</v>
      </c>
      <c r="AO243" s="118">
        <v>4136</v>
      </c>
      <c r="AP243" s="118">
        <f t="shared" si="3"/>
        <v>1143</v>
      </c>
    </row>
    <row r="244" spans="1:42" ht="12.75">
      <c r="A244" s="106">
        <v>2018</v>
      </c>
      <c r="B244" s="106">
        <v>-366711</v>
      </c>
      <c r="C244" s="106">
        <v>0</v>
      </c>
      <c r="D244" s="106">
        <v>366711</v>
      </c>
      <c r="E244" s="106" t="s">
        <v>561</v>
      </c>
      <c r="F244" s="106" t="s">
        <v>562</v>
      </c>
      <c r="G244" s="106" t="s">
        <v>121</v>
      </c>
      <c r="H244" s="106">
        <v>2</v>
      </c>
      <c r="I244" s="106" t="s">
        <v>25</v>
      </c>
      <c r="J244" s="106">
        <v>7653</v>
      </c>
      <c r="K244" s="106">
        <v>12614</v>
      </c>
      <c r="L244" s="106">
        <v>9107</v>
      </c>
      <c r="M244" s="106">
        <v>0.51</v>
      </c>
      <c r="N244" s="106">
        <v>0.37</v>
      </c>
      <c r="O244" s="106">
        <v>0.47</v>
      </c>
      <c r="P244" s="106">
        <v>5564</v>
      </c>
      <c r="Q244" s="106">
        <v>2084.9257638682884</v>
      </c>
      <c r="R244" s="106">
        <v>0.19999727106413906</v>
      </c>
      <c r="S244" s="106">
        <v>21536.949050726787</v>
      </c>
      <c r="T244" s="106">
        <v>21294.567116582617</v>
      </c>
      <c r="U244" s="106">
        <v>13705.517600401621</v>
      </c>
      <c r="V244" s="106">
        <v>0.60850276080683963</v>
      </c>
      <c r="W244" s="106">
        <v>148421.86087624903</v>
      </c>
      <c r="X244" s="110">
        <v>0.67249275371979467</v>
      </c>
      <c r="Y244" s="106">
        <v>750.28643216080411</v>
      </c>
      <c r="Z244" s="106">
        <v>25.409547738693469</v>
      </c>
      <c r="AA244" s="106">
        <v>49519.078061043801</v>
      </c>
      <c r="AB244" s="106">
        <v>464.15740552305516</v>
      </c>
      <c r="AC244" s="106">
        <v>2.0194237032589077</v>
      </c>
      <c r="AD244" s="106">
        <v>27.16354902103501</v>
      </c>
      <c r="AE244" s="106">
        <v>106.68595927116827</v>
      </c>
      <c r="AF244" s="106">
        <v>-0.51219573639182192</v>
      </c>
      <c r="AG244" s="106">
        <v>5742</v>
      </c>
      <c r="AH244" s="106">
        <v>21443.564372589735</v>
      </c>
      <c r="AI244" s="106">
        <v>21659.291234055177</v>
      </c>
      <c r="AJ244" s="106">
        <v>21642.130228418868</v>
      </c>
      <c r="AK244" s="104">
        <v>15754.371106496588</v>
      </c>
      <c r="AL244" s="119">
        <v>126190616</v>
      </c>
      <c r="AM244" s="118">
        <v>14615</v>
      </c>
      <c r="AN244" s="118">
        <v>398152</v>
      </c>
      <c r="AO244" s="118">
        <v>3147</v>
      </c>
      <c r="AP244" s="118">
        <f t="shared" si="3"/>
        <v>1911</v>
      </c>
    </row>
    <row r="245" spans="1:42" ht="12.75">
      <c r="A245" s="106">
        <v>2018</v>
      </c>
      <c r="B245" s="106">
        <v>-110495</v>
      </c>
      <c r="C245" s="106">
        <v>0</v>
      </c>
      <c r="D245" s="106">
        <v>110495</v>
      </c>
      <c r="E245" s="106" t="s">
        <v>563</v>
      </c>
      <c r="F245" s="106" t="s">
        <v>564</v>
      </c>
      <c r="G245" s="106" t="s">
        <v>121</v>
      </c>
      <c r="H245" s="106">
        <v>2</v>
      </c>
      <c r="I245" s="106" t="s">
        <v>25</v>
      </c>
      <c r="J245" s="106">
        <v>7038</v>
      </c>
      <c r="K245" s="106">
        <v>6930</v>
      </c>
      <c r="L245" s="106">
        <v>3483</v>
      </c>
      <c r="M245" s="106">
        <v>0.63</v>
      </c>
      <c r="N245" s="106">
        <v>0.28999999999999998</v>
      </c>
      <c r="O245" s="106">
        <v>0.6</v>
      </c>
      <c r="P245" s="106">
        <v>5498</v>
      </c>
      <c r="Q245" s="106">
        <v>2528.4568208906708</v>
      </c>
      <c r="R245" s="106">
        <v>0.27771972823961527</v>
      </c>
      <c r="S245" s="106">
        <v>23236.21259074656</v>
      </c>
      <c r="T245" s="106">
        <v>23809.686531585219</v>
      </c>
      <c r="U245" s="106">
        <v>13899.402092919509</v>
      </c>
      <c r="V245" s="106">
        <v>0.47310598698338291</v>
      </c>
      <c r="W245" s="106">
        <v>143179.64148973199</v>
      </c>
      <c r="X245" s="110">
        <v>0.62400392042222597</v>
      </c>
      <c r="Y245" s="106">
        <v>639.58726415094338</v>
      </c>
      <c r="Z245" s="106">
        <v>21.766509433962263</v>
      </c>
      <c r="AA245" s="106">
        <v>50542.782472637569</v>
      </c>
      <c r="AB245" s="106">
        <v>473.02609626474236</v>
      </c>
      <c r="AC245" s="106">
        <v>1.9785218602505148</v>
      </c>
      <c r="AD245" s="106">
        <v>27.601957585644371</v>
      </c>
      <c r="AE245" s="106">
        <v>106.84988179669031</v>
      </c>
      <c r="AF245" s="106">
        <v>-8.2490766738385363E-3</v>
      </c>
      <c r="AG245" s="106">
        <v>5742</v>
      </c>
      <c r="AH245" s="106">
        <v>22255.119189511322</v>
      </c>
      <c r="AI245" s="106">
        <v>22371.564308159064</v>
      </c>
      <c r="AJ245" s="106">
        <v>23333.214432766279</v>
      </c>
      <c r="AK245" s="104">
        <v>17587.752519232854</v>
      </c>
      <c r="AL245" s="118">
        <v>97798457</v>
      </c>
      <c r="AM245" s="118">
        <v>9057</v>
      </c>
      <c r="AN245" s="118">
        <v>271185</v>
      </c>
      <c r="AO245" s="118">
        <v>2177</v>
      </c>
      <c r="AP245" s="118">
        <f t="shared" si="3"/>
        <v>1296</v>
      </c>
    </row>
    <row r="246" spans="1:42" ht="12.75">
      <c r="A246" s="106">
        <v>2018</v>
      </c>
      <c r="B246" s="106">
        <v>-460075</v>
      </c>
      <c r="C246" s="106">
        <v>0</v>
      </c>
      <c r="D246" s="106">
        <v>460075</v>
      </c>
      <c r="E246" s="106" t="s">
        <v>565</v>
      </c>
      <c r="F246" s="106" t="s">
        <v>566</v>
      </c>
      <c r="G246" s="106" t="s">
        <v>121</v>
      </c>
      <c r="H246" s="106">
        <v>6</v>
      </c>
      <c r="I246" s="106" t="s">
        <v>3640</v>
      </c>
      <c r="J246" s="106">
        <v>9570</v>
      </c>
      <c r="K246" s="106"/>
      <c r="L246" s="106"/>
      <c r="M246" s="106">
        <v>0</v>
      </c>
      <c r="N246" s="106">
        <v>0</v>
      </c>
      <c r="O246" s="106">
        <v>0</v>
      </c>
      <c r="P246" s="106"/>
      <c r="Q246" s="106">
        <v>950.60427807486633</v>
      </c>
      <c r="R246" s="106">
        <v>7.269402979276253E-2</v>
      </c>
      <c r="S246" s="106">
        <v>12462.967914438503</v>
      </c>
      <c r="T246" s="106">
        <v>21255.128342245989</v>
      </c>
      <c r="U246" s="106">
        <v>21255.128342245989</v>
      </c>
      <c r="V246" s="106">
        <v>0.57050616787291852</v>
      </c>
      <c r="W246" s="106">
        <v>62215.388059701494</v>
      </c>
      <c r="X246" s="110">
        <v>0.34957955412584923</v>
      </c>
      <c r="Y246" s="106">
        <v>660.77419354838719</v>
      </c>
      <c r="Z246" s="106">
        <v>18.096774193548388</v>
      </c>
      <c r="AA246" s="106">
        <v>22205.078212290504</v>
      </c>
      <c r="AB246" s="106">
        <v>582.11906854130052</v>
      </c>
      <c r="AC246" s="106">
        <v>4.5034743423984001</v>
      </c>
      <c r="AD246" s="106">
        <v>80.269058295964129</v>
      </c>
      <c r="AE246" s="106">
        <v>38.145251396648042</v>
      </c>
      <c r="AF246" s="106">
        <v>-0.43685674165833932</v>
      </c>
      <c r="AG246" s="106">
        <v>9360</v>
      </c>
      <c r="AH246" s="106">
        <v>12458.288770053476</v>
      </c>
      <c r="AI246" s="106">
        <v>12458.395721925133</v>
      </c>
      <c r="AJ246" s="106">
        <v>13177.962566844919</v>
      </c>
      <c r="AK246" s="104">
        <v>21255.128342245989</v>
      </c>
      <c r="AM246" s="118">
        <v>8</v>
      </c>
      <c r="AN246" s="118">
        <v>6828</v>
      </c>
      <c r="AO246" s="118">
        <v>2</v>
      </c>
      <c r="AP246" s="118">
        <f t="shared" si="3"/>
        <v>210</v>
      </c>
    </row>
    <row r="247" spans="1:42" ht="12.75">
      <c r="A247" s="106">
        <v>2018</v>
      </c>
      <c r="B247" s="106">
        <v>-211361</v>
      </c>
      <c r="C247" s="106">
        <v>0</v>
      </c>
      <c r="D247" s="106">
        <v>211361</v>
      </c>
      <c r="E247" s="106" t="s">
        <v>567</v>
      </c>
      <c r="F247" s="106" t="s">
        <v>568</v>
      </c>
      <c r="G247" s="106" t="s">
        <v>104</v>
      </c>
      <c r="H247" s="106">
        <v>2</v>
      </c>
      <c r="I247" s="106" t="s">
        <v>25</v>
      </c>
      <c r="J247" s="106">
        <v>10840</v>
      </c>
      <c r="K247" s="106">
        <v>18780</v>
      </c>
      <c r="L247" s="106">
        <v>15974</v>
      </c>
      <c r="M247" s="106">
        <v>0.49</v>
      </c>
      <c r="N247" s="106">
        <v>0.85</v>
      </c>
      <c r="O247" s="106">
        <v>0.59</v>
      </c>
      <c r="P247" s="106">
        <v>2922</v>
      </c>
      <c r="Q247" s="106">
        <v>910.06602966343416</v>
      </c>
      <c r="R247" s="106">
        <v>7.9690314625103606E-2</v>
      </c>
      <c r="S247" s="106">
        <v>20070.010125499146</v>
      </c>
      <c r="T247" s="106">
        <v>20486.799914432402</v>
      </c>
      <c r="U247" s="106">
        <v>14841.494166234465</v>
      </c>
      <c r="V247" s="106">
        <v>0.70814750447334307</v>
      </c>
      <c r="W247" s="106">
        <v>119344.59659613617</v>
      </c>
      <c r="X247" s="110">
        <v>0.60203953624751672</v>
      </c>
      <c r="Y247" s="106">
        <v>640.60021551724139</v>
      </c>
      <c r="Z247" s="106">
        <v>22.668103448275865</v>
      </c>
      <c r="AA247" s="106">
        <v>30278.893539027078</v>
      </c>
      <c r="AB247" s="106">
        <v>525.17704012250806</v>
      </c>
      <c r="AC247" s="106">
        <v>3.3026305888987646</v>
      </c>
      <c r="AD247" s="106">
        <v>54.365707054729519</v>
      </c>
      <c r="AE247" s="106">
        <v>57.654640675007272</v>
      </c>
      <c r="AF247" s="106">
        <v>2.6954686178831144E-3</v>
      </c>
      <c r="AG247" s="106">
        <v>7492</v>
      </c>
      <c r="AH247" s="106">
        <v>19742.327581289217</v>
      </c>
      <c r="AI247" s="106">
        <v>19953.770536223616</v>
      </c>
      <c r="AJ247" s="106">
        <v>20277.261836851114</v>
      </c>
      <c r="AK247" s="104">
        <v>16366.968767826584</v>
      </c>
      <c r="AL247" s="119">
        <v>32486231</v>
      </c>
      <c r="AM247" s="118">
        <v>5557</v>
      </c>
      <c r="AN247" s="118">
        <v>198159</v>
      </c>
      <c r="AO247" s="118">
        <v>2274</v>
      </c>
      <c r="AP247" s="118">
        <f t="shared" si="3"/>
        <v>3348</v>
      </c>
    </row>
    <row r="248" spans="1:42" ht="12.75">
      <c r="A248" s="106">
        <v>2018</v>
      </c>
      <c r="B248" s="106">
        <v>-150172</v>
      </c>
      <c r="C248" s="106">
        <v>0</v>
      </c>
      <c r="D248" s="106">
        <v>150172</v>
      </c>
      <c r="E248" s="106" t="s">
        <v>569</v>
      </c>
      <c r="F248" s="106" t="s">
        <v>570</v>
      </c>
      <c r="G248" s="106" t="s">
        <v>161</v>
      </c>
      <c r="H248" s="106">
        <v>6</v>
      </c>
      <c r="I248" s="106" t="s">
        <v>3640</v>
      </c>
      <c r="J248" s="106">
        <v>18620</v>
      </c>
      <c r="K248" s="106">
        <v>10340</v>
      </c>
      <c r="L248" s="106">
        <v>8593</v>
      </c>
      <c r="M248" s="106">
        <v>0.53</v>
      </c>
      <c r="N248" s="106">
        <v>0.61</v>
      </c>
      <c r="O248" s="106">
        <v>0.9</v>
      </c>
      <c r="P248" s="106">
        <v>6354</v>
      </c>
      <c r="Q248" s="106">
        <v>4654.7915407854989</v>
      </c>
      <c r="R248" s="106">
        <v>0.24706810915450383</v>
      </c>
      <c r="S248" s="106">
        <v>16306.750755287008</v>
      </c>
      <c r="T248" s="106">
        <v>17685.35347432024</v>
      </c>
      <c r="U248" s="106">
        <v>17420.216012084591</v>
      </c>
      <c r="V248" s="106">
        <v>0.81430237449405718</v>
      </c>
      <c r="W248" s="106">
        <v>64277.710526315786</v>
      </c>
      <c r="X248" s="110">
        <v>0.6258835207996376</v>
      </c>
      <c r="Y248" s="106">
        <v>373.28289473684208</v>
      </c>
      <c r="Z248" s="106">
        <v>13.065789473684209</v>
      </c>
      <c r="AA248" s="106">
        <v>38569.17391304348</v>
      </c>
      <c r="AB248" s="106">
        <v>609.74900861841058</v>
      </c>
      <c r="AC248" s="106">
        <v>2.5927441491346435</v>
      </c>
      <c r="AD248" s="106">
        <v>49.750415973377706</v>
      </c>
      <c r="AE248" s="106">
        <v>63.254180602006691</v>
      </c>
      <c r="AF248" s="106">
        <v>-2.0667139969929089E-2</v>
      </c>
      <c r="AG248" s="106">
        <v>17650</v>
      </c>
      <c r="AH248" s="106">
        <v>15214.007552870091</v>
      </c>
      <c r="AI248" s="106">
        <v>16306.750755287008</v>
      </c>
      <c r="AJ248" s="106">
        <v>17191.882175226587</v>
      </c>
      <c r="AK248" s="104">
        <v>17420.216012084591</v>
      </c>
      <c r="AM248" s="118">
        <v>624</v>
      </c>
      <c r="AN248" s="118">
        <v>18913</v>
      </c>
      <c r="AO248" s="118">
        <v>222</v>
      </c>
      <c r="AP248" s="118">
        <f t="shared" si="3"/>
        <v>970</v>
      </c>
    </row>
    <row r="249" spans="1:42" ht="12.75">
      <c r="A249" s="106">
        <v>2018</v>
      </c>
      <c r="B249" s="106">
        <v>-169080</v>
      </c>
      <c r="C249" s="106">
        <v>0</v>
      </c>
      <c r="D249" s="106">
        <v>169080</v>
      </c>
      <c r="E249" s="106" t="s">
        <v>571</v>
      </c>
      <c r="F249" s="106" t="s">
        <v>186</v>
      </c>
      <c r="G249" s="106" t="s">
        <v>74</v>
      </c>
      <c r="H249" s="106">
        <v>7</v>
      </c>
      <c r="I249" s="106" t="s">
        <v>3641</v>
      </c>
      <c r="J249" s="106">
        <v>33100</v>
      </c>
      <c r="K249" s="106">
        <v>25851</v>
      </c>
      <c r="L249" s="106">
        <v>20797</v>
      </c>
      <c r="M249" s="106">
        <v>0.21</v>
      </c>
      <c r="N249" s="106">
        <v>0.5</v>
      </c>
      <c r="O249" s="106">
        <v>1</v>
      </c>
      <c r="P249" s="106">
        <v>18827</v>
      </c>
      <c r="Q249" s="106">
        <v>13477.999744572158</v>
      </c>
      <c r="R249" s="106">
        <v>0.43933755826358684</v>
      </c>
      <c r="S249" s="106">
        <v>32707.915964240103</v>
      </c>
      <c r="T249" s="106">
        <v>31126.860536398468</v>
      </c>
      <c r="U249" s="106">
        <v>23144.545910666391</v>
      </c>
      <c r="V249" s="106">
        <v>0.74315586812312628</v>
      </c>
      <c r="W249" s="106">
        <v>90403.097951914518</v>
      </c>
      <c r="X249" s="110">
        <v>0.55539852776827858</v>
      </c>
      <c r="Y249" s="106">
        <v>387.26850828729278</v>
      </c>
      <c r="Z249" s="106">
        <v>12.977900552486187</v>
      </c>
      <c r="AA249" s="106">
        <v>98704.68108960666</v>
      </c>
      <c r="AB249" s="106">
        <v>775.60557787015659</v>
      </c>
      <c r="AC249" s="106">
        <v>1.013123176085412</v>
      </c>
      <c r="AD249" s="106">
        <v>24.972796517954301</v>
      </c>
      <c r="AE249" s="106">
        <v>127.26143790849673</v>
      </c>
      <c r="AF249" s="106">
        <v>7.3760446223713472E-2</v>
      </c>
      <c r="AG249" s="106">
        <v>33100</v>
      </c>
      <c r="AH249" s="106">
        <v>25386.583652618134</v>
      </c>
      <c r="AI249" s="106">
        <v>33016.233461047254</v>
      </c>
      <c r="AJ249" s="106">
        <v>35770.54022988506</v>
      </c>
      <c r="AK249" s="104">
        <v>26099.409450830139</v>
      </c>
      <c r="AL249" s="118"/>
      <c r="AM249" s="118">
        <v>3746</v>
      </c>
      <c r="AN249" s="118">
        <v>116826</v>
      </c>
      <c r="AO249" s="118">
        <v>839</v>
      </c>
      <c r="AP249" s="118">
        <f t="shared" si="3"/>
        <v>0</v>
      </c>
    </row>
    <row r="250" spans="1:42" ht="12.75">
      <c r="A250" s="106">
        <v>2018</v>
      </c>
      <c r="B250" s="106">
        <v>-165167</v>
      </c>
      <c r="C250" s="106">
        <v>0</v>
      </c>
      <c r="D250" s="106">
        <v>165167</v>
      </c>
      <c r="E250" s="106" t="s">
        <v>572</v>
      </c>
      <c r="F250" s="106" t="s">
        <v>425</v>
      </c>
      <c r="G250" s="106" t="s">
        <v>150</v>
      </c>
      <c r="H250" s="106">
        <v>6</v>
      </c>
      <c r="I250" s="106" t="s">
        <v>3640</v>
      </c>
      <c r="J250" s="106">
        <v>14940</v>
      </c>
      <c r="K250" s="106">
        <v>22462</v>
      </c>
      <c r="L250" s="106">
        <v>20420</v>
      </c>
      <c r="M250" s="106">
        <v>0.13</v>
      </c>
      <c r="N250" s="106">
        <v>0.25</v>
      </c>
      <c r="O250" s="106">
        <v>0.13</v>
      </c>
      <c r="P250" s="106">
        <v>2636</v>
      </c>
      <c r="Q250" s="106">
        <v>361.03813318155949</v>
      </c>
      <c r="R250" s="106">
        <v>2.9796937831308233E-2</v>
      </c>
      <c r="S250" s="106">
        <v>12548.995446784291</v>
      </c>
      <c r="T250" s="106">
        <v>18420.103585657369</v>
      </c>
      <c r="U250" s="106">
        <v>18420.103585657369</v>
      </c>
      <c r="V250" s="106">
        <v>0.63819296565499295</v>
      </c>
      <c r="W250" s="106">
        <v>85075.017699115051</v>
      </c>
      <c r="X250" s="110">
        <v>0.59408236070794695</v>
      </c>
      <c r="Y250" s="106">
        <v>374.73553719008265</v>
      </c>
      <c r="Z250" s="106">
        <v>14.520661157024794</v>
      </c>
      <c r="AA250" s="106">
        <v>41760.157419354837</v>
      </c>
      <c r="AB250" s="106">
        <v>713.76225657764155</v>
      </c>
      <c r="AC250" s="106">
        <v>2.3946269884905269</v>
      </c>
      <c r="AD250" s="106">
        <v>54.120111731843579</v>
      </c>
      <c r="AE250" s="106">
        <v>58.507096774193549</v>
      </c>
      <c r="AF250" s="106">
        <v>-0.10730138816687099</v>
      </c>
      <c r="AG250" s="106">
        <v>14940</v>
      </c>
      <c r="AH250" s="106">
        <v>11878.156516789983</v>
      </c>
      <c r="AI250" s="106">
        <v>12187.957313602732</v>
      </c>
      <c r="AJ250" s="106">
        <v>13838.492316448492</v>
      </c>
      <c r="AK250" s="104">
        <v>18420.103585657369</v>
      </c>
      <c r="AL250" s="118"/>
      <c r="AM250" s="118">
        <v>750</v>
      </c>
      <c r="AN250" s="118">
        <v>45343</v>
      </c>
      <c r="AO250" s="118">
        <v>189</v>
      </c>
      <c r="AP250" s="118">
        <f t="shared" si="3"/>
        <v>0</v>
      </c>
    </row>
    <row r="251" spans="1:42" ht="12.75">
      <c r="A251" s="106">
        <v>2018</v>
      </c>
      <c r="B251" s="106">
        <v>-183938</v>
      </c>
      <c r="C251" s="106">
        <v>0</v>
      </c>
      <c r="D251" s="106">
        <v>183938</v>
      </c>
      <c r="E251" s="106" t="s">
        <v>574</v>
      </c>
      <c r="F251" s="106" t="s">
        <v>575</v>
      </c>
      <c r="G251" s="106" t="s">
        <v>234</v>
      </c>
      <c r="H251" s="106">
        <v>4</v>
      </c>
      <c r="I251" s="106" t="s">
        <v>24</v>
      </c>
      <c r="J251" s="106">
        <v>4320</v>
      </c>
      <c r="K251" s="106">
        <v>6335</v>
      </c>
      <c r="L251" s="106">
        <v>5644</v>
      </c>
      <c r="M251" s="106">
        <v>0.54</v>
      </c>
      <c r="N251" s="106">
        <v>0.14000000000000001</v>
      </c>
      <c r="O251" s="106">
        <v>0.01</v>
      </c>
      <c r="P251" s="106">
        <v>914</v>
      </c>
      <c r="Q251" s="106"/>
      <c r="R251" s="106"/>
      <c r="S251" s="106">
        <v>12610.337564837564</v>
      </c>
      <c r="T251" s="106">
        <v>13275.728501228501</v>
      </c>
      <c r="U251" s="106">
        <v>7717.1054279489936</v>
      </c>
      <c r="V251" s="106">
        <v>0.61425513484678107</v>
      </c>
      <c r="W251" s="106">
        <v>92673.988992845349</v>
      </c>
      <c r="X251" s="110">
        <v>0.57712017008947558</v>
      </c>
      <c r="Y251" s="106">
        <v>618.52908067542205</v>
      </c>
      <c r="Z251" s="106">
        <v>20.617260787992493</v>
      </c>
      <c r="AA251" s="106">
        <v>33119.809235591289</v>
      </c>
      <c r="AB251" s="106">
        <v>257.23216596819753</v>
      </c>
      <c r="AC251" s="106">
        <v>3.0193410622829848</v>
      </c>
      <c r="AD251" s="106">
        <v>24.843545335467908</v>
      </c>
      <c r="AE251" s="106">
        <v>128.75454012888108</v>
      </c>
      <c r="AF251" s="106">
        <v>3.3398722625923574E-3</v>
      </c>
      <c r="AG251" s="106">
        <v>3210</v>
      </c>
      <c r="AH251" s="106">
        <v>11745.163254163253</v>
      </c>
      <c r="AI251" s="106">
        <v>11745.163254163253</v>
      </c>
      <c r="AJ251" s="106">
        <v>12626.493720993722</v>
      </c>
      <c r="AK251" s="104">
        <v>9840.426016926016</v>
      </c>
      <c r="AL251" s="119">
        <v>19885813</v>
      </c>
      <c r="AM251" s="118">
        <v>10492</v>
      </c>
      <c r="AN251" s="118">
        <v>219784</v>
      </c>
      <c r="AO251" s="118">
        <v>1267</v>
      </c>
      <c r="AP251" s="118">
        <f t="shared" si="3"/>
        <v>1110</v>
      </c>
    </row>
    <row r="252" spans="1:42" ht="12.75">
      <c r="A252" s="106">
        <v>2018</v>
      </c>
      <c r="B252" s="106">
        <v>-206914</v>
      </c>
      <c r="C252" s="106">
        <v>0</v>
      </c>
      <c r="D252" s="106">
        <v>206914</v>
      </c>
      <c r="E252" s="106" t="s">
        <v>576</v>
      </c>
      <c r="F252" s="106" t="s">
        <v>577</v>
      </c>
      <c r="G252" s="106" t="s">
        <v>271</v>
      </c>
      <c r="H252" s="106">
        <v>2</v>
      </c>
      <c r="I252" s="106" t="s">
        <v>25</v>
      </c>
      <c r="J252" s="106">
        <v>6180</v>
      </c>
      <c r="K252" s="106">
        <v>9294</v>
      </c>
      <c r="L252" s="106">
        <v>7976</v>
      </c>
      <c r="M252" s="106">
        <v>0.53</v>
      </c>
      <c r="N252" s="106">
        <v>0.4</v>
      </c>
      <c r="O252" s="106">
        <v>0.39</v>
      </c>
      <c r="P252" s="106">
        <v>3999</v>
      </c>
      <c r="Q252" s="106">
        <v>1586.1213675213676</v>
      </c>
      <c r="R252" s="106">
        <v>0.20498228266440449</v>
      </c>
      <c r="S252" s="106">
        <v>15835.710541310542</v>
      </c>
      <c r="T252" s="106">
        <v>16332.495441595442</v>
      </c>
      <c r="U252" s="106">
        <v>11772.652439458712</v>
      </c>
      <c r="V252" s="106">
        <v>0.52254365088583488</v>
      </c>
      <c r="W252" s="106">
        <v>62912.117283950618</v>
      </c>
      <c r="X252" s="110">
        <v>0.5333482919470891</v>
      </c>
      <c r="Y252" s="106">
        <v>594.60687022900765</v>
      </c>
      <c r="Z252" s="106">
        <v>20.095419847328245</v>
      </c>
      <c r="AA252" s="106">
        <v>46015.601405902096</v>
      </c>
      <c r="AB252" s="106">
        <v>397.870265771535</v>
      </c>
      <c r="AC252" s="106">
        <v>2.1731759869419789</v>
      </c>
      <c r="AD252" s="106">
        <v>25.083798882681563</v>
      </c>
      <c r="AE252" s="106">
        <v>115.65478841870824</v>
      </c>
      <c r="AF252" s="106">
        <v>0.15144380382427244</v>
      </c>
      <c r="AG252" s="106">
        <v>4470</v>
      </c>
      <c r="AH252" s="106">
        <v>14083.850712250713</v>
      </c>
      <c r="AI252" s="106">
        <v>14083.850712250713</v>
      </c>
      <c r="AJ252" s="106">
        <v>15872.859544159544</v>
      </c>
      <c r="AK252" s="104">
        <v>14528.887749287749</v>
      </c>
      <c r="AL252" s="119">
        <v>16600117</v>
      </c>
      <c r="AM252" s="118">
        <v>4150</v>
      </c>
      <c r="AN252" s="118">
        <v>103858</v>
      </c>
      <c r="AO252" s="118">
        <v>765</v>
      </c>
      <c r="AP252" s="118">
        <f t="shared" si="3"/>
        <v>1710</v>
      </c>
    </row>
    <row r="253" spans="1:42" ht="12.75">
      <c r="A253" s="106">
        <v>2018</v>
      </c>
      <c r="B253" s="106">
        <v>-198136</v>
      </c>
      <c r="C253" s="106">
        <v>0</v>
      </c>
      <c r="D253" s="106">
        <v>198136</v>
      </c>
      <c r="E253" s="106" t="s">
        <v>578</v>
      </c>
      <c r="F253" s="106" t="s">
        <v>579</v>
      </c>
      <c r="G253" s="106" t="s">
        <v>90</v>
      </c>
      <c r="H253" s="106">
        <v>6</v>
      </c>
      <c r="I253" s="106" t="s">
        <v>3640</v>
      </c>
      <c r="J253" s="106">
        <v>31190</v>
      </c>
      <c r="K253" s="106">
        <v>22458</v>
      </c>
      <c r="L253" s="106">
        <v>18112</v>
      </c>
      <c r="M253" s="106">
        <v>0.35</v>
      </c>
      <c r="N253" s="106">
        <v>0.87</v>
      </c>
      <c r="O253" s="106">
        <v>0.97</v>
      </c>
      <c r="P253" s="106">
        <v>20946</v>
      </c>
      <c r="Q253" s="106">
        <v>9487.280421730853</v>
      </c>
      <c r="R253" s="106">
        <v>0.56675604058163531</v>
      </c>
      <c r="S253" s="106">
        <v>21990.645336066773</v>
      </c>
      <c r="T253" s="106">
        <v>23258.196221994436</v>
      </c>
      <c r="U253" s="106">
        <v>22639.287604612982</v>
      </c>
      <c r="V253" s="106">
        <v>0.32034307448714944</v>
      </c>
      <c r="W253" s="106">
        <v>69281.484475374731</v>
      </c>
      <c r="X253" s="110">
        <v>0.54321237427975133</v>
      </c>
      <c r="Y253" s="106">
        <v>320.35730007336753</v>
      </c>
      <c r="Z253" s="106">
        <v>15.030814380044019</v>
      </c>
      <c r="AA253" s="106">
        <v>91211.619499647233</v>
      </c>
      <c r="AB253" s="106">
        <v>1062.2106304536758</v>
      </c>
      <c r="AC253" s="106">
        <v>1.0963515454342609</v>
      </c>
      <c r="AD253" s="106">
        <v>28.202995008319469</v>
      </c>
      <c r="AE253" s="106">
        <v>85.869616519174045</v>
      </c>
      <c r="AF253" s="106">
        <v>1.684924961753842E-2</v>
      </c>
      <c r="AG253" s="106">
        <v>29900</v>
      </c>
      <c r="AH253" s="106">
        <v>12253.508859276615</v>
      </c>
      <c r="AI253" s="106">
        <v>13762.638453653537</v>
      </c>
      <c r="AJ253" s="106">
        <v>24239.693366525113</v>
      </c>
      <c r="AK253" s="104">
        <v>22962.882559671987</v>
      </c>
      <c r="AL253" s="118"/>
      <c r="AM253" s="118">
        <v>4384</v>
      </c>
      <c r="AN253" s="118">
        <v>145549</v>
      </c>
      <c r="AO253" s="118">
        <v>1006</v>
      </c>
      <c r="AP253" s="118">
        <f t="shared" si="3"/>
        <v>1290</v>
      </c>
    </row>
    <row r="254" spans="1:42" ht="12.75">
      <c r="A254" s="106">
        <v>2018</v>
      </c>
      <c r="B254" s="106">
        <v>-156365</v>
      </c>
      <c r="C254" s="106">
        <v>0</v>
      </c>
      <c r="D254" s="106">
        <v>156365</v>
      </c>
      <c r="E254" s="106" t="s">
        <v>580</v>
      </c>
      <c r="F254" s="106" t="s">
        <v>581</v>
      </c>
      <c r="G254" s="106" t="s">
        <v>118</v>
      </c>
      <c r="H254" s="106">
        <v>6</v>
      </c>
      <c r="I254" s="106" t="s">
        <v>3640</v>
      </c>
      <c r="J254" s="106">
        <v>25400</v>
      </c>
      <c r="K254" s="106">
        <v>17843</v>
      </c>
      <c r="L254" s="106">
        <v>15368</v>
      </c>
      <c r="M254" s="106">
        <v>0.55000000000000004</v>
      </c>
      <c r="N254" s="106">
        <v>0.56000000000000005</v>
      </c>
      <c r="O254" s="106">
        <v>0.89</v>
      </c>
      <c r="P254" s="106">
        <v>15469</v>
      </c>
      <c r="Q254" s="106">
        <v>3737.6715933084292</v>
      </c>
      <c r="R254" s="106">
        <v>0.24246653895881995</v>
      </c>
      <c r="S254" s="106">
        <v>14113.656326132857</v>
      </c>
      <c r="T254" s="106">
        <v>11679.588760760111</v>
      </c>
      <c r="U254" s="106">
        <v>10823.617346110119</v>
      </c>
      <c r="V254" s="106">
        <v>1.0788938499313305</v>
      </c>
      <c r="W254" s="106">
        <v>63572.076219512201</v>
      </c>
      <c r="X254" s="110">
        <v>0.48327272341949162</v>
      </c>
      <c r="Y254" s="106">
        <v>697.26628895184137</v>
      </c>
      <c r="Z254" s="106">
        <v>26.162889518413596</v>
      </c>
      <c r="AA254" s="106">
        <v>76775.359447004608</v>
      </c>
      <c r="AB254" s="106">
        <v>406.12476080199889</v>
      </c>
      <c r="AC254" s="106">
        <v>1.30250122852276</v>
      </c>
      <c r="AD254" s="106">
        <v>17.948717948717949</v>
      </c>
      <c r="AE254" s="106">
        <v>189.04377880184333</v>
      </c>
      <c r="AF254" s="106">
        <v>0.35144369313000456</v>
      </c>
      <c r="AG254" s="106">
        <v>24900</v>
      </c>
      <c r="AH254" s="106">
        <v>13438.700178658437</v>
      </c>
      <c r="AI254" s="106">
        <v>14113.656326132857</v>
      </c>
      <c r="AJ254" s="106">
        <v>14205.937631963619</v>
      </c>
      <c r="AK254" s="104">
        <v>10823.617346110119</v>
      </c>
      <c r="AL254" s="118"/>
      <c r="AM254" s="118">
        <v>3704</v>
      </c>
      <c r="AN254" s="118">
        <v>164090</v>
      </c>
      <c r="AO254" s="118">
        <v>374</v>
      </c>
      <c r="AP254" s="118">
        <f t="shared" si="3"/>
        <v>500</v>
      </c>
    </row>
    <row r="255" spans="1:42" ht="12.75">
      <c r="A255" s="106">
        <v>2018</v>
      </c>
      <c r="B255" s="106">
        <v>-111434</v>
      </c>
      <c r="C255" s="106">
        <v>0</v>
      </c>
      <c r="D255" s="106">
        <v>111434</v>
      </c>
      <c r="E255" s="106" t="s">
        <v>582</v>
      </c>
      <c r="F255" s="106" t="s">
        <v>583</v>
      </c>
      <c r="G255" s="106" t="s">
        <v>121</v>
      </c>
      <c r="H255" s="106">
        <v>4</v>
      </c>
      <c r="I255" s="106" t="s">
        <v>24</v>
      </c>
      <c r="J255" s="106">
        <v>1360</v>
      </c>
      <c r="K255" s="106">
        <v>5119</v>
      </c>
      <c r="L255" s="106">
        <v>2184</v>
      </c>
      <c r="M255" s="106">
        <v>0.26</v>
      </c>
      <c r="N255" s="106">
        <v>0</v>
      </c>
      <c r="O255" s="106">
        <v>0.21</v>
      </c>
      <c r="P255" s="106">
        <v>960</v>
      </c>
      <c r="Q255" s="106">
        <v>103.93729372937294</v>
      </c>
      <c r="R255" s="106">
        <v>3.6275508646720682E-2</v>
      </c>
      <c r="S255" s="106">
        <v>19300.630363036304</v>
      </c>
      <c r="T255" s="106">
        <v>19636.507590759076</v>
      </c>
      <c r="U255" s="106">
        <v>14465.650825082508</v>
      </c>
      <c r="V255" s="106">
        <v>0.19088544384259132</v>
      </c>
      <c r="W255" s="106">
        <v>155904.10169491524</v>
      </c>
      <c r="X255" s="110">
        <v>0.6183902960569605</v>
      </c>
      <c r="Y255" s="106">
        <v>686.86397984886639</v>
      </c>
      <c r="Z255" s="106">
        <v>22.896725440806044</v>
      </c>
      <c r="AA255" s="106">
        <v>48060.221491228069</v>
      </c>
      <c r="AB255" s="106">
        <v>482.21488530722263</v>
      </c>
      <c r="AC255" s="106">
        <v>2.0807228285090607</v>
      </c>
      <c r="AD255" s="106">
        <v>33.418834737999262</v>
      </c>
      <c r="AE255" s="106">
        <v>99.665570175438603</v>
      </c>
      <c r="AF255" s="106">
        <v>6.5932702520995028E-3</v>
      </c>
      <c r="AG255" s="106">
        <v>1288</v>
      </c>
      <c r="AH255" s="106">
        <v>19607.902640264027</v>
      </c>
      <c r="AI255" s="106">
        <v>19607.902640264027</v>
      </c>
      <c r="AJ255" s="106">
        <v>19496.933003300332</v>
      </c>
      <c r="AK255" s="104">
        <v>14465.650825082508</v>
      </c>
      <c r="AL255" s="118">
        <v>39078422</v>
      </c>
      <c r="AM255" s="118">
        <v>6152</v>
      </c>
      <c r="AN255" s="118">
        <v>90895</v>
      </c>
      <c r="AO255" s="118">
        <v>552</v>
      </c>
      <c r="AP255" s="118">
        <f t="shared" si="3"/>
        <v>72</v>
      </c>
    </row>
    <row r="256" spans="1:42" ht="12.75">
      <c r="A256" s="106">
        <v>2018</v>
      </c>
      <c r="B256" s="106">
        <v>-189705</v>
      </c>
      <c r="C256" s="106">
        <v>0</v>
      </c>
      <c r="D256" s="106">
        <v>189705</v>
      </c>
      <c r="E256" s="106" t="s">
        <v>584</v>
      </c>
      <c r="F256" s="106" t="s">
        <v>585</v>
      </c>
      <c r="G256" s="106" t="s">
        <v>69</v>
      </c>
      <c r="H256" s="106">
        <v>6</v>
      </c>
      <c r="I256" s="106" t="s">
        <v>3640</v>
      </c>
      <c r="J256" s="106">
        <v>36454</v>
      </c>
      <c r="K256" s="106">
        <v>20542</v>
      </c>
      <c r="L256" s="106">
        <v>13124</v>
      </c>
      <c r="M256" s="106">
        <v>0.39</v>
      </c>
      <c r="N256" s="106">
        <v>0.72</v>
      </c>
      <c r="O256" s="106">
        <v>0.99</v>
      </c>
      <c r="P256" s="106">
        <v>23501</v>
      </c>
      <c r="Q256" s="106">
        <v>14838.810118675827</v>
      </c>
      <c r="R256" s="106">
        <v>0.47459775822115718</v>
      </c>
      <c r="S256" s="106">
        <v>22953.465334166147</v>
      </c>
      <c r="T256" s="106">
        <v>27480.659900062459</v>
      </c>
      <c r="U256" s="106">
        <v>24924.728294815741</v>
      </c>
      <c r="V256" s="106">
        <v>0.65907506899599522</v>
      </c>
      <c r="W256" s="106">
        <v>85816.378378378373</v>
      </c>
      <c r="X256" s="110">
        <v>0.5773556288913787</v>
      </c>
      <c r="Y256" s="106">
        <v>381.19273743016754</v>
      </c>
      <c r="Z256" s="106">
        <v>13.416201117318435</v>
      </c>
      <c r="AA256" s="106">
        <v>72225.321266968327</v>
      </c>
      <c r="AB256" s="106">
        <v>877.23383675174216</v>
      </c>
      <c r="AC256" s="106">
        <v>1.3845559735257862</v>
      </c>
      <c r="AD256" s="106">
        <v>36.205766710353863</v>
      </c>
      <c r="AE256" s="106">
        <v>82.333031674208144</v>
      </c>
      <c r="AF256" s="106">
        <v>2.5292557440793014E-3</v>
      </c>
      <c r="AG256" s="106">
        <v>34966</v>
      </c>
      <c r="AH256" s="106">
        <v>22524.633666458463</v>
      </c>
      <c r="AI256" s="106">
        <v>22953.465334166147</v>
      </c>
      <c r="AJ256" s="106">
        <v>24467.664584634604</v>
      </c>
      <c r="AK256" s="104">
        <v>24924.728294815741</v>
      </c>
      <c r="AL256" s="118">
        <v>271654</v>
      </c>
      <c r="AM256" s="118">
        <v>2398</v>
      </c>
      <c r="AN256" s="118">
        <v>90978</v>
      </c>
      <c r="AO256" s="118">
        <v>562</v>
      </c>
      <c r="AP256" s="118">
        <f t="shared" si="3"/>
        <v>1488</v>
      </c>
    </row>
    <row r="257" spans="1:42" ht="12.75">
      <c r="A257" s="106">
        <v>2018</v>
      </c>
      <c r="B257" s="106">
        <v>-165194</v>
      </c>
      <c r="C257" s="106">
        <v>0</v>
      </c>
      <c r="D257" s="106">
        <v>165194</v>
      </c>
      <c r="E257" s="106" t="s">
        <v>586</v>
      </c>
      <c r="F257" s="106" t="s">
        <v>587</v>
      </c>
      <c r="G257" s="106" t="s">
        <v>150</v>
      </c>
      <c r="H257" s="106">
        <v>4</v>
      </c>
      <c r="I257" s="106" t="s">
        <v>24</v>
      </c>
      <c r="J257" s="106">
        <v>4536</v>
      </c>
      <c r="K257" s="106">
        <v>8282</v>
      </c>
      <c r="L257" s="106">
        <v>8125</v>
      </c>
      <c r="M257" s="106">
        <v>0.47</v>
      </c>
      <c r="N257" s="106">
        <v>0.09</v>
      </c>
      <c r="O257" s="106">
        <v>0.22</v>
      </c>
      <c r="P257" s="106">
        <v>1571</v>
      </c>
      <c r="Q257" s="106">
        <v>657.77372262773724</v>
      </c>
      <c r="R257" s="106">
        <v>0.10343019726267955</v>
      </c>
      <c r="S257" s="106">
        <v>18933.475495307612</v>
      </c>
      <c r="T257" s="106">
        <v>19329.17101147028</v>
      </c>
      <c r="U257" s="106">
        <v>17955.655443185493</v>
      </c>
      <c r="V257" s="106">
        <v>0.31754992263652998</v>
      </c>
      <c r="W257" s="106">
        <v>76328.710994764406</v>
      </c>
      <c r="X257" s="110">
        <v>0.65540268144098124</v>
      </c>
      <c r="Y257" s="106">
        <v>409.99524940617584</v>
      </c>
      <c r="Z257" s="106">
        <v>13.66745843230404</v>
      </c>
      <c r="AA257" s="106">
        <v>61170.421207868159</v>
      </c>
      <c r="AB257" s="106">
        <v>598.56345835702473</v>
      </c>
      <c r="AC257" s="106">
        <v>1.6347770380750184</v>
      </c>
      <c r="AD257" s="106">
        <v>32.374928119608967</v>
      </c>
      <c r="AE257" s="106">
        <v>102.19538188277087</v>
      </c>
      <c r="AF257" s="106">
        <v>2.2995957210699219E-3</v>
      </c>
      <c r="AG257" s="106">
        <v>576</v>
      </c>
      <c r="AH257" s="106">
        <v>18022.667361835243</v>
      </c>
      <c r="AI257" s="106">
        <v>18808.971845672575</v>
      </c>
      <c r="AJ257" s="106">
        <v>18972.425964546401</v>
      </c>
      <c r="AK257" s="104">
        <v>19329.17101147028</v>
      </c>
      <c r="AL257" s="118">
        <v>16627625</v>
      </c>
      <c r="AM257" s="118">
        <v>3221</v>
      </c>
      <c r="AN257" s="118">
        <v>57536</v>
      </c>
      <c r="AO257" s="118">
        <v>434</v>
      </c>
      <c r="AP257" s="118">
        <f t="shared" si="3"/>
        <v>3960</v>
      </c>
    </row>
    <row r="258" spans="1:42" ht="12.75">
      <c r="A258" s="106">
        <v>2018</v>
      </c>
      <c r="B258" s="106">
        <v>-198154</v>
      </c>
      <c r="C258" s="106">
        <v>0</v>
      </c>
      <c r="D258" s="106">
        <v>198154</v>
      </c>
      <c r="E258" s="106" t="s">
        <v>588</v>
      </c>
      <c r="F258" s="106" t="s">
        <v>589</v>
      </c>
      <c r="G258" s="106" t="s">
        <v>90</v>
      </c>
      <c r="H258" s="106">
        <v>4</v>
      </c>
      <c r="I258" s="106" t="s">
        <v>24</v>
      </c>
      <c r="J258" s="106">
        <v>2748</v>
      </c>
      <c r="K258" s="106">
        <v>8784</v>
      </c>
      <c r="L258" s="106">
        <v>8891</v>
      </c>
      <c r="M258" s="106">
        <v>0.5</v>
      </c>
      <c r="N258" s="106">
        <v>0.18</v>
      </c>
      <c r="O258" s="106">
        <v>0.08</v>
      </c>
      <c r="P258" s="106">
        <v>1270</v>
      </c>
      <c r="Q258" s="106">
        <v>78.351175349428203</v>
      </c>
      <c r="R258" s="106">
        <v>2.8963708921709404E-2</v>
      </c>
      <c r="S258" s="106">
        <v>12990.222363405337</v>
      </c>
      <c r="T258" s="106">
        <v>13892.526683608641</v>
      </c>
      <c r="U258" s="106">
        <v>9889.5506670902159</v>
      </c>
      <c r="V258" s="106">
        <v>0.26561356016501891</v>
      </c>
      <c r="W258" s="106">
        <v>52750.43395561818</v>
      </c>
      <c r="X258" s="110">
        <v>0.57072147654459582</v>
      </c>
      <c r="Y258" s="106">
        <v>459.58637469586375</v>
      </c>
      <c r="Z258" s="106">
        <v>15.318734793187348</v>
      </c>
      <c r="AA258" s="106">
        <v>29791.67990430622</v>
      </c>
      <c r="AB258" s="106">
        <v>329.63423685743027</v>
      </c>
      <c r="AC258" s="106">
        <v>3.3566418651519401</v>
      </c>
      <c r="AD258" s="106">
        <v>40.230991337824832</v>
      </c>
      <c r="AE258" s="106">
        <v>90.377990430622006</v>
      </c>
      <c r="AF258" s="106">
        <v>6.1470192598506905E-3</v>
      </c>
      <c r="AG258" s="106">
        <v>2432</v>
      </c>
      <c r="AH258" s="106">
        <v>11843.249205844981</v>
      </c>
      <c r="AI258" s="106">
        <v>12043.986499364675</v>
      </c>
      <c r="AJ258" s="106">
        <v>13015.742217280813</v>
      </c>
      <c r="AK258" s="104">
        <v>11063.426461245235</v>
      </c>
      <c r="AL258" s="118">
        <v>46237416</v>
      </c>
      <c r="AM258" s="118">
        <v>8317</v>
      </c>
      <c r="AN258" s="118">
        <v>188890</v>
      </c>
      <c r="AO258" s="118">
        <v>1356</v>
      </c>
      <c r="AP258" s="118">
        <f t="shared" si="3"/>
        <v>316</v>
      </c>
    </row>
    <row r="259" spans="1:42" ht="12.75">
      <c r="A259" s="106">
        <v>2018</v>
      </c>
      <c r="B259" s="106">
        <v>2300</v>
      </c>
      <c r="C259" s="106">
        <v>1</v>
      </c>
      <c r="D259" s="106">
        <v>158352</v>
      </c>
      <c r="E259" s="106" t="s">
        <v>3838</v>
      </c>
      <c r="F259" s="106" t="s">
        <v>305</v>
      </c>
      <c r="G259" s="106" t="s">
        <v>306</v>
      </c>
      <c r="H259" s="106">
        <v>4</v>
      </c>
      <c r="I259" s="106" t="s">
        <v>24</v>
      </c>
      <c r="J259" s="106"/>
      <c r="K259" s="106"/>
      <c r="L259" s="106"/>
      <c r="M259" s="106">
        <v>0.59</v>
      </c>
      <c r="N259" s="106">
        <v>0.25</v>
      </c>
      <c r="O259" s="106">
        <v>0.08</v>
      </c>
      <c r="P259" s="106">
        <v>1748</v>
      </c>
      <c r="Q259" s="106">
        <v>537.10738840990939</v>
      </c>
      <c r="R259" s="106">
        <v>0.12242784155111909</v>
      </c>
      <c r="S259" s="106">
        <v>9407.1062970642797</v>
      </c>
      <c r="T259" s="106">
        <v>9242.6274146022042</v>
      </c>
      <c r="U259" s="106">
        <v>7641.9860307759463</v>
      </c>
      <c r="V259" s="106">
        <v>0.50379926641217887</v>
      </c>
      <c r="W259" s="106">
        <v>61418.560426540287</v>
      </c>
      <c r="X259" s="110">
        <v>0.61208106794416994</v>
      </c>
      <c r="Y259" s="106">
        <v>557.15789189189195</v>
      </c>
      <c r="Z259" s="106">
        <v>18.57364864864865</v>
      </c>
      <c r="AA259" s="106">
        <v>7179.6901466215522</v>
      </c>
      <c r="AB259" s="106">
        <v>254.75644441029431</v>
      </c>
      <c r="AC259" s="106">
        <v>13.928177673106914</v>
      </c>
      <c r="AD259" s="106">
        <v>100.22608159490289</v>
      </c>
      <c r="AE259" s="106">
        <v>28.18256536450323</v>
      </c>
      <c r="AF259" s="106"/>
      <c r="AG259" s="106"/>
      <c r="AH259" s="106">
        <v>8541.4820473643995</v>
      </c>
      <c r="AI259" s="106">
        <v>8586.409254610935</v>
      </c>
      <c r="AJ259" s="106">
        <v>9415.6302521008402</v>
      </c>
      <c r="AK259" s="104">
        <v>8558.0354687329473</v>
      </c>
      <c r="AL259" s="119">
        <v>28506000</v>
      </c>
      <c r="AM259" s="118">
        <v>16107</v>
      </c>
      <c r="AN259" s="118">
        <v>274864.56</v>
      </c>
      <c r="AO259" s="118">
        <v>945</v>
      </c>
      <c r="AP259" s="118">
        <f t="shared" si="3"/>
        <v>0</v>
      </c>
    </row>
    <row r="260" spans="1:42" ht="12.75">
      <c r="A260" s="106">
        <v>2018</v>
      </c>
      <c r="B260" s="106">
        <v>-129367</v>
      </c>
      <c r="C260" s="106">
        <v>0</v>
      </c>
      <c r="D260" s="106">
        <v>129367</v>
      </c>
      <c r="E260" s="106" t="s">
        <v>590</v>
      </c>
      <c r="F260" s="106" t="s">
        <v>591</v>
      </c>
      <c r="G260" s="106" t="s">
        <v>99</v>
      </c>
      <c r="H260" s="106">
        <v>4</v>
      </c>
      <c r="I260" s="106" t="s">
        <v>24</v>
      </c>
      <c r="J260" s="106">
        <v>4356</v>
      </c>
      <c r="K260" s="106">
        <v>5326</v>
      </c>
      <c r="L260" s="106">
        <v>5345</v>
      </c>
      <c r="M260" s="106">
        <v>0.86</v>
      </c>
      <c r="N260" s="106">
        <v>0.01</v>
      </c>
      <c r="O260" s="106">
        <v>0.23</v>
      </c>
      <c r="P260" s="106">
        <v>1221</v>
      </c>
      <c r="Q260" s="106">
        <v>1057.5171685155838</v>
      </c>
      <c r="R260" s="106">
        <v>0.15882855254799039</v>
      </c>
      <c r="S260" s="106">
        <v>18303.349709455892</v>
      </c>
      <c r="T260" s="106">
        <v>21422.961965134706</v>
      </c>
      <c r="U260" s="106">
        <v>16896.99139088238</v>
      </c>
      <c r="V260" s="106">
        <v>0.33146218474185951</v>
      </c>
      <c r="W260" s="106">
        <v>141982.42834394902</v>
      </c>
      <c r="X260" s="110">
        <v>0.73289685492559775</v>
      </c>
      <c r="Y260" s="106">
        <v>488.22636103151859</v>
      </c>
      <c r="Z260" s="106">
        <v>16.272206303724928</v>
      </c>
      <c r="AA260" s="106">
        <v>75261.187536330224</v>
      </c>
      <c r="AB260" s="106">
        <v>563.16363017307856</v>
      </c>
      <c r="AC260" s="106">
        <v>1.3287061136489218</v>
      </c>
      <c r="AD260" s="106">
        <v>27.243589743589741</v>
      </c>
      <c r="AE260" s="106">
        <v>133.63999999999999</v>
      </c>
      <c r="AF260" s="106">
        <v>-0.1016176390066356</v>
      </c>
      <c r="AG260" s="106">
        <v>3816</v>
      </c>
      <c r="AH260" s="106">
        <v>17585.142630744849</v>
      </c>
      <c r="AI260" s="106">
        <v>17611.027469624933</v>
      </c>
      <c r="AJ260" s="106">
        <v>18316.054939249869</v>
      </c>
      <c r="AK260" s="104">
        <v>18251.157422081353</v>
      </c>
      <c r="AL260" s="119">
        <v>19543675</v>
      </c>
      <c r="AM260" s="118">
        <v>3282</v>
      </c>
      <c r="AN260" s="118">
        <v>56797</v>
      </c>
      <c r="AO260" s="118">
        <v>353</v>
      </c>
      <c r="AP260" s="118">
        <f t="shared" si="3"/>
        <v>540</v>
      </c>
    </row>
    <row r="261" spans="1:42" ht="12.75">
      <c r="A261" s="106">
        <v>2018</v>
      </c>
      <c r="B261" s="106">
        <v>-201548</v>
      </c>
      <c r="C261" s="106">
        <v>0</v>
      </c>
      <c r="D261" s="106">
        <v>201548</v>
      </c>
      <c r="E261" s="106" t="s">
        <v>592</v>
      </c>
      <c r="F261" s="106" t="s">
        <v>593</v>
      </c>
      <c r="G261" s="106" t="s">
        <v>82</v>
      </c>
      <c r="H261" s="106">
        <v>6</v>
      </c>
      <c r="I261" s="106" t="s">
        <v>3640</v>
      </c>
      <c r="J261" s="106">
        <v>34600</v>
      </c>
      <c r="K261" s="106">
        <v>22206</v>
      </c>
      <c r="L261" s="106">
        <v>18090</v>
      </c>
      <c r="M261" s="106">
        <v>0.32</v>
      </c>
      <c r="N261" s="106">
        <v>0.96</v>
      </c>
      <c r="O261" s="106">
        <v>1</v>
      </c>
      <c r="P261" s="106">
        <v>22561</v>
      </c>
      <c r="Q261" s="106">
        <v>14878.57671033479</v>
      </c>
      <c r="R261" s="106">
        <v>0.51640672845956614</v>
      </c>
      <c r="S261" s="106">
        <v>20781.059679767102</v>
      </c>
      <c r="T261" s="106">
        <v>22603.024745269286</v>
      </c>
      <c r="U261" s="106">
        <v>19426.393595342066</v>
      </c>
      <c r="V261" s="106">
        <v>0.71722853923641938</v>
      </c>
      <c r="W261" s="106">
        <v>89367.830200907323</v>
      </c>
      <c r="X261" s="110">
        <v>0.5920148261127216</v>
      </c>
      <c r="Y261" s="106">
        <v>350.02659574468083</v>
      </c>
      <c r="Z261" s="106">
        <v>13.70345744680851</v>
      </c>
      <c r="AA261" s="106">
        <v>75400.748022598869</v>
      </c>
      <c r="AB261" s="106">
        <v>760.53865967631634</v>
      </c>
      <c r="AC261" s="106">
        <v>1.3262467896210834</v>
      </c>
      <c r="AD261" s="106">
        <v>28.329065300896289</v>
      </c>
      <c r="AE261" s="106">
        <v>99.141242937853107</v>
      </c>
      <c r="AF261" s="106">
        <v>6.0258540668861119E-3</v>
      </c>
      <c r="AG261" s="106">
        <v>34280</v>
      </c>
      <c r="AH261" s="106">
        <v>18850.813682678312</v>
      </c>
      <c r="AI261" s="106">
        <v>20807.659097525473</v>
      </c>
      <c r="AJ261" s="106">
        <v>22909.810480349344</v>
      </c>
      <c r="AK261" s="104">
        <v>19426.393595342066</v>
      </c>
      <c r="AL261" s="118"/>
      <c r="AM261" s="118">
        <v>2699</v>
      </c>
      <c r="AN261" s="118">
        <v>87740</v>
      </c>
      <c r="AO261" s="118">
        <v>647</v>
      </c>
      <c r="AP261" s="118">
        <f t="shared" si="3"/>
        <v>320</v>
      </c>
    </row>
    <row r="262" spans="1:42" ht="12.75">
      <c r="A262" s="106">
        <v>2018</v>
      </c>
      <c r="B262" s="106">
        <v>-238430</v>
      </c>
      <c r="C262" s="106">
        <v>0</v>
      </c>
      <c r="D262" s="106">
        <v>238430</v>
      </c>
      <c r="E262" s="106" t="s">
        <v>594</v>
      </c>
      <c r="F262" s="106" t="s">
        <v>138</v>
      </c>
      <c r="G262" s="106" t="s">
        <v>139</v>
      </c>
      <c r="H262" s="106">
        <v>5</v>
      </c>
      <c r="I262" s="106" t="s">
        <v>3639</v>
      </c>
      <c r="J262" s="106">
        <v>28844</v>
      </c>
      <c r="K262" s="106">
        <v>17471</v>
      </c>
      <c r="L262" s="106">
        <v>15877</v>
      </c>
      <c r="M262" s="106">
        <v>0.45</v>
      </c>
      <c r="N262" s="106">
        <v>0.64</v>
      </c>
      <c r="O262" s="106">
        <v>1</v>
      </c>
      <c r="P262" s="106">
        <v>18700</v>
      </c>
      <c r="Q262" s="106">
        <v>8516.6083874778506</v>
      </c>
      <c r="R262" s="106">
        <v>0.37973015769134588</v>
      </c>
      <c r="S262" s="106">
        <v>16830.30478440638</v>
      </c>
      <c r="T262" s="106">
        <v>19172.791494388661</v>
      </c>
      <c r="U262" s="106">
        <v>17404.118473408667</v>
      </c>
      <c r="V262" s="106">
        <v>0.7993191602617189</v>
      </c>
      <c r="W262" s="106">
        <v>62572.889484978536</v>
      </c>
      <c r="X262" s="110">
        <v>0.59887827724955778</v>
      </c>
      <c r="Y262" s="106">
        <v>336.25592417061614</v>
      </c>
      <c r="Z262" s="106">
        <v>12.035545023696683</v>
      </c>
      <c r="AA262" s="106">
        <v>38975.095999313322</v>
      </c>
      <c r="AB262" s="106">
        <v>622.94233774801</v>
      </c>
      <c r="AC262" s="106">
        <v>2.5657409542175817</v>
      </c>
      <c r="AD262" s="106">
        <v>46.811145510835914</v>
      </c>
      <c r="AE262" s="106">
        <v>62.566137566137563</v>
      </c>
      <c r="AF262" s="106">
        <v>-5.2942149887251634E-2</v>
      </c>
      <c r="AG262" s="106">
        <v>28844</v>
      </c>
      <c r="AH262" s="106">
        <v>15637.240992321324</v>
      </c>
      <c r="AI262" s="106">
        <v>16947.522740696986</v>
      </c>
      <c r="AJ262" s="106">
        <v>17963.750147666862</v>
      </c>
      <c r="AK262" s="104">
        <v>17623.022445363262</v>
      </c>
      <c r="AL262" s="118"/>
      <c r="AM262" s="118">
        <v>1543</v>
      </c>
      <c r="AN262" s="118">
        <v>47300</v>
      </c>
      <c r="AO262" s="118">
        <v>376</v>
      </c>
      <c r="AP262" s="118">
        <f t="shared" ref="AP262:AP325" si="4">J262-AG262</f>
        <v>0</v>
      </c>
    </row>
    <row r="263" spans="1:42" ht="12.75">
      <c r="A263" s="106">
        <v>2018</v>
      </c>
      <c r="B263" s="106">
        <v>-206923</v>
      </c>
      <c r="C263" s="106">
        <v>0</v>
      </c>
      <c r="D263" s="106">
        <v>206923</v>
      </c>
      <c r="E263" s="106" t="s">
        <v>595</v>
      </c>
      <c r="F263" s="106" t="s">
        <v>596</v>
      </c>
      <c r="G263" s="106" t="s">
        <v>271</v>
      </c>
      <c r="H263" s="106">
        <v>4</v>
      </c>
      <c r="I263" s="106" t="s">
        <v>24</v>
      </c>
      <c r="J263" s="106">
        <v>3412</v>
      </c>
      <c r="K263" s="106">
        <v>4936</v>
      </c>
      <c r="L263" s="106">
        <v>4161</v>
      </c>
      <c r="M263" s="106">
        <v>0.72</v>
      </c>
      <c r="N263" s="106">
        <v>0.24</v>
      </c>
      <c r="O263" s="106">
        <v>0.21</v>
      </c>
      <c r="P263" s="106">
        <v>2495</v>
      </c>
      <c r="Q263" s="106">
        <v>2544.500677506775</v>
      </c>
      <c r="R263" s="106">
        <v>0.63048360125832048</v>
      </c>
      <c r="S263" s="106">
        <v>16633.046747967481</v>
      </c>
      <c r="T263" s="106">
        <v>16811.922764227642</v>
      </c>
      <c r="U263" s="106">
        <v>8874.5982384823856</v>
      </c>
      <c r="V263" s="106">
        <v>0.16804043268648292</v>
      </c>
      <c r="W263" s="106">
        <v>61797.925862068965</v>
      </c>
      <c r="X263" s="110">
        <v>0.48147849486415106</v>
      </c>
      <c r="Y263" s="106">
        <v>714.27419354838707</v>
      </c>
      <c r="Z263" s="106">
        <v>23.806451612903224</v>
      </c>
      <c r="AA263" s="106">
        <v>26842.022540983606</v>
      </c>
      <c r="AB263" s="106">
        <v>295.78654171841481</v>
      </c>
      <c r="AC263" s="106">
        <v>3.7255016773536909</v>
      </c>
      <c r="AD263" s="106">
        <v>33.197278911564624</v>
      </c>
      <c r="AE263" s="106">
        <v>90.747950819672127</v>
      </c>
      <c r="AF263" s="106">
        <v>0.12904535537729672</v>
      </c>
      <c r="AG263" s="106">
        <v>2414</v>
      </c>
      <c r="AH263" s="106">
        <v>13778.199864498645</v>
      </c>
      <c r="AI263" s="106">
        <v>13778.199864498645</v>
      </c>
      <c r="AJ263" s="106">
        <v>16633.046747967481</v>
      </c>
      <c r="AK263" s="104">
        <v>12468.823848238482</v>
      </c>
      <c r="AL263" s="119">
        <v>5010470</v>
      </c>
      <c r="AM263" s="118">
        <v>2068</v>
      </c>
      <c r="AN263" s="118">
        <v>44285</v>
      </c>
      <c r="AO263" s="118">
        <v>425</v>
      </c>
      <c r="AP263" s="118">
        <f t="shared" si="4"/>
        <v>998</v>
      </c>
    </row>
    <row r="264" spans="1:42" ht="12.75">
      <c r="A264" s="106">
        <v>2018</v>
      </c>
      <c r="B264" s="106">
        <v>-143613</v>
      </c>
      <c r="C264" s="106">
        <v>0</v>
      </c>
      <c r="D264" s="106">
        <v>143613</v>
      </c>
      <c r="E264" s="106" t="s">
        <v>597</v>
      </c>
      <c r="F264" s="106" t="s">
        <v>598</v>
      </c>
      <c r="G264" s="106" t="s">
        <v>243</v>
      </c>
      <c r="H264" s="106">
        <v>4</v>
      </c>
      <c r="I264" s="106" t="s">
        <v>24</v>
      </c>
      <c r="J264" s="106">
        <v>4530</v>
      </c>
      <c r="K264" s="106">
        <v>686</v>
      </c>
      <c r="L264" s="106">
        <v>942</v>
      </c>
      <c r="M264" s="106">
        <v>0.63</v>
      </c>
      <c r="N264" s="106">
        <v>0.08</v>
      </c>
      <c r="O264" s="106">
        <v>0.39</v>
      </c>
      <c r="P264" s="106">
        <v>3617</v>
      </c>
      <c r="Q264" s="106">
        <v>680.21936459909227</v>
      </c>
      <c r="R264" s="106">
        <v>0.12748796466828957</v>
      </c>
      <c r="S264" s="106">
        <v>23174.000756429654</v>
      </c>
      <c r="T264" s="106">
        <v>21530.434190620272</v>
      </c>
      <c r="U264" s="106">
        <v>15388.156983740228</v>
      </c>
      <c r="V264" s="106">
        <v>0.30252733507810509</v>
      </c>
      <c r="W264" s="106">
        <v>75947.945205479453</v>
      </c>
      <c r="X264" s="110">
        <v>0.58435383695331322</v>
      </c>
      <c r="Y264" s="106">
        <v>489.48148148148147</v>
      </c>
      <c r="Z264" s="106">
        <v>16.320987654320987</v>
      </c>
      <c r="AA264" s="106">
        <v>42118.309591106794</v>
      </c>
      <c r="AB264" s="106">
        <v>513.09381387471194</v>
      </c>
      <c r="AC264" s="106">
        <v>2.3742643275767845</v>
      </c>
      <c r="AD264" s="106">
        <v>38.951612903225808</v>
      </c>
      <c r="AE264" s="106">
        <v>82.086956521739125</v>
      </c>
      <c r="AF264" s="106">
        <v>0.11002310816072294</v>
      </c>
      <c r="AG264" s="106">
        <v>4480</v>
      </c>
      <c r="AH264" s="106">
        <v>20890.567322239032</v>
      </c>
      <c r="AI264" s="106">
        <v>20890.567322239032</v>
      </c>
      <c r="AJ264" s="106">
        <v>23406.759455370651</v>
      </c>
      <c r="AK264" s="104">
        <v>18690.37443267776</v>
      </c>
      <c r="AL264" s="119">
        <v>11383908</v>
      </c>
      <c r="AM264" s="118">
        <v>1947</v>
      </c>
      <c r="AN264" s="118">
        <v>39648</v>
      </c>
      <c r="AO264" s="118">
        <v>358</v>
      </c>
      <c r="AP264" s="118">
        <f t="shared" si="4"/>
        <v>50</v>
      </c>
    </row>
    <row r="265" spans="1:42" ht="12.75">
      <c r="A265" s="106">
        <v>2018</v>
      </c>
      <c r="B265" s="106">
        <v>-173258</v>
      </c>
      <c r="C265" s="106">
        <v>0</v>
      </c>
      <c r="D265" s="106">
        <v>173258</v>
      </c>
      <c r="E265" s="106" t="s">
        <v>599</v>
      </c>
      <c r="F265" s="106" t="s">
        <v>600</v>
      </c>
      <c r="G265" s="106" t="s">
        <v>113</v>
      </c>
      <c r="H265" s="106">
        <v>7</v>
      </c>
      <c r="I265" s="106" t="s">
        <v>3641</v>
      </c>
      <c r="J265" s="106">
        <v>52782</v>
      </c>
      <c r="K265" s="106">
        <v>32336</v>
      </c>
      <c r="L265" s="106">
        <v>10935</v>
      </c>
      <c r="M265" s="106">
        <v>0.13</v>
      </c>
      <c r="N265" s="106">
        <v>0.41</v>
      </c>
      <c r="O265" s="106">
        <v>0.57999999999999996</v>
      </c>
      <c r="P265" s="106">
        <v>34903</v>
      </c>
      <c r="Q265" s="106">
        <v>20830.60120240481</v>
      </c>
      <c r="R265" s="106">
        <v>0.38685820877191285</v>
      </c>
      <c r="S265" s="106">
        <v>73858.059619238484</v>
      </c>
      <c r="T265" s="106">
        <v>71214.385270541083</v>
      </c>
      <c r="U265" s="106">
        <v>59067.237388418303</v>
      </c>
      <c r="V265" s="106">
        <v>0.55893878568888711</v>
      </c>
      <c r="W265" s="106">
        <v>111772.7937992126</v>
      </c>
      <c r="X265" s="110">
        <v>0.53261119243284094</v>
      </c>
      <c r="Y265" s="106">
        <v>229.24556962025318</v>
      </c>
      <c r="Z265" s="106">
        <v>7.5797468354430384</v>
      </c>
      <c r="AA265" s="106">
        <v>242090.77171926681</v>
      </c>
      <c r="AB265" s="106">
        <v>1952.9917477352726</v>
      </c>
      <c r="AC265" s="106">
        <v>0.41306820284732682</v>
      </c>
      <c r="AD265" s="106">
        <v>23.594961240310077</v>
      </c>
      <c r="AE265" s="106">
        <v>123.95893223819301</v>
      </c>
      <c r="AF265" s="106">
        <v>6.9937854317992806E-2</v>
      </c>
      <c r="AG265" s="106">
        <v>52476</v>
      </c>
      <c r="AH265" s="106">
        <v>49183.003507014029</v>
      </c>
      <c r="AI265" s="106">
        <v>73921.366232464934</v>
      </c>
      <c r="AJ265" s="106">
        <v>111085.00901803607</v>
      </c>
      <c r="AK265" s="104">
        <v>61817.475951903805</v>
      </c>
      <c r="AM265" s="118">
        <v>2078</v>
      </c>
      <c r="AN265" s="118">
        <v>60368</v>
      </c>
      <c r="AO265" s="118">
        <v>487</v>
      </c>
      <c r="AP265" s="118">
        <f t="shared" si="4"/>
        <v>306</v>
      </c>
    </row>
    <row r="266" spans="1:42" ht="12.75">
      <c r="A266" s="106">
        <v>2018</v>
      </c>
      <c r="B266" s="106">
        <v>-211431</v>
      </c>
      <c r="C266" s="106">
        <v>0</v>
      </c>
      <c r="D266" s="106">
        <v>211431</v>
      </c>
      <c r="E266" s="106" t="s">
        <v>601</v>
      </c>
      <c r="F266" s="106" t="s">
        <v>602</v>
      </c>
      <c r="G266" s="106" t="s">
        <v>104</v>
      </c>
      <c r="H266" s="106">
        <v>6</v>
      </c>
      <c r="I266" s="106" t="s">
        <v>3640</v>
      </c>
      <c r="J266" s="106">
        <v>28596</v>
      </c>
      <c r="K266" s="106">
        <v>19787</v>
      </c>
      <c r="L266" s="106">
        <v>16581</v>
      </c>
      <c r="M266" s="106">
        <v>0.51</v>
      </c>
      <c r="N266" s="106">
        <v>0.96</v>
      </c>
      <c r="O266" s="106">
        <v>1</v>
      </c>
      <c r="P266" s="106">
        <v>15731</v>
      </c>
      <c r="Q266" s="106">
        <v>6888.2420681551121</v>
      </c>
      <c r="R266" s="106">
        <v>0.27144637644717873</v>
      </c>
      <c r="S266" s="106">
        <v>28286.952996474734</v>
      </c>
      <c r="T266" s="106">
        <v>28366.756756756757</v>
      </c>
      <c r="U266" s="106">
        <v>23600.575793184489</v>
      </c>
      <c r="V266" s="106">
        <v>0.78336339859062576</v>
      </c>
      <c r="W266" s="106">
        <v>81734.863636363647</v>
      </c>
      <c r="X266" s="110">
        <v>0.57108053774402856</v>
      </c>
      <c r="Y266" s="106">
        <v>306.89403973509934</v>
      </c>
      <c r="Z266" s="106">
        <v>11.271523178807946</v>
      </c>
      <c r="AA266" s="106">
        <v>62762.78125</v>
      </c>
      <c r="AB266" s="106">
        <v>866.79571006236381</v>
      </c>
      <c r="AC266" s="106">
        <v>1.5933009660880828</v>
      </c>
      <c r="AD266" s="106">
        <v>39.072039072039075</v>
      </c>
      <c r="AE266" s="106">
        <v>72.407812500000006</v>
      </c>
      <c r="AF266" s="106">
        <v>2.7762198186034807E-2</v>
      </c>
      <c r="AG266" s="106">
        <v>27950</v>
      </c>
      <c r="AH266" s="106">
        <v>24532.701527614572</v>
      </c>
      <c r="AI266" s="106">
        <v>27694.803760282022</v>
      </c>
      <c r="AJ266" s="106">
        <v>29498.2508813161</v>
      </c>
      <c r="AK266" s="104">
        <v>24239.07696827262</v>
      </c>
      <c r="AM266" s="118">
        <v>1365</v>
      </c>
      <c r="AN266" s="118">
        <v>46341</v>
      </c>
      <c r="AO266" s="118">
        <v>305</v>
      </c>
      <c r="AP266" s="118">
        <f t="shared" si="4"/>
        <v>646</v>
      </c>
    </row>
    <row r="267" spans="1:42" ht="12.75">
      <c r="A267" s="106">
        <v>2018</v>
      </c>
      <c r="B267" s="106">
        <v>-211440</v>
      </c>
      <c r="C267" s="106">
        <v>0</v>
      </c>
      <c r="D267" s="106">
        <v>211440</v>
      </c>
      <c r="E267" s="106" t="s">
        <v>603</v>
      </c>
      <c r="F267" s="106" t="s">
        <v>602</v>
      </c>
      <c r="G267" s="106" t="s">
        <v>104</v>
      </c>
      <c r="H267" s="106">
        <v>5</v>
      </c>
      <c r="I267" s="106" t="s">
        <v>3639</v>
      </c>
      <c r="J267" s="106">
        <v>53910</v>
      </c>
      <c r="K267" s="106">
        <v>30847</v>
      </c>
      <c r="L267" s="106">
        <v>11370</v>
      </c>
      <c r="M267" s="106">
        <v>0.15</v>
      </c>
      <c r="N267" s="106">
        <v>0.35</v>
      </c>
      <c r="O267" s="106">
        <v>0.49</v>
      </c>
      <c r="P267" s="106">
        <v>37266</v>
      </c>
      <c r="Q267" s="106">
        <v>11758.272713721399</v>
      </c>
      <c r="R267" s="106">
        <v>0.22630472640453686</v>
      </c>
      <c r="S267" s="106">
        <v>93487.355593649845</v>
      </c>
      <c r="T267" s="106">
        <v>89339.091972870243</v>
      </c>
      <c r="U267" s="106">
        <v>52392.391999394007</v>
      </c>
      <c r="V267" s="106">
        <v>0.76727601317546223</v>
      </c>
      <c r="W267" s="106">
        <v>149574.11884593338</v>
      </c>
      <c r="X267" s="110">
        <v>0.65307875790838577</v>
      </c>
      <c r="Y267" s="106">
        <v>291.66989634970707</v>
      </c>
      <c r="Z267" s="106">
        <v>9.0696259576385767</v>
      </c>
      <c r="AA267" s="106">
        <v>135940.57695917026</v>
      </c>
      <c r="AB267" s="106">
        <v>1629.168468900705</v>
      </c>
      <c r="AC267" s="106">
        <v>0.73561553317546235</v>
      </c>
      <c r="AD267" s="106">
        <v>38.83006683186904</v>
      </c>
      <c r="AE267" s="106">
        <v>83.441694063043897</v>
      </c>
      <c r="AF267" s="106">
        <v>0.10243942547562258</v>
      </c>
      <c r="AG267" s="106">
        <v>52732</v>
      </c>
      <c r="AH267" s="106">
        <v>78327.118580904818</v>
      </c>
      <c r="AI267" s="106">
        <v>93487.35566818215</v>
      </c>
      <c r="AJ267" s="106">
        <v>111437.06089289708</v>
      </c>
      <c r="AK267" s="104">
        <v>74375.359171200718</v>
      </c>
      <c r="AM267" s="118">
        <v>6533</v>
      </c>
      <c r="AN267" s="118">
        <v>431477</v>
      </c>
      <c r="AO267" s="118">
        <v>1459</v>
      </c>
      <c r="AP267" s="118">
        <f t="shared" si="4"/>
        <v>1178</v>
      </c>
    </row>
    <row r="268" spans="1:42" ht="12.75">
      <c r="A268" s="106">
        <v>2018</v>
      </c>
      <c r="B268" s="106">
        <v>-433174</v>
      </c>
      <c r="C268" s="106">
        <v>0</v>
      </c>
      <c r="D268" s="106">
        <v>433174</v>
      </c>
      <c r="E268" s="106" t="s">
        <v>604</v>
      </c>
      <c r="F268" s="106" t="s">
        <v>605</v>
      </c>
      <c r="G268" s="106" t="s">
        <v>90</v>
      </c>
      <c r="H268" s="106">
        <v>4</v>
      </c>
      <c r="I268" s="106" t="s">
        <v>24</v>
      </c>
      <c r="J268" s="106">
        <v>14616</v>
      </c>
      <c r="K268" s="106">
        <v>44661</v>
      </c>
      <c r="L268" s="106">
        <v>41496</v>
      </c>
      <c r="M268" s="106">
        <v>0.5</v>
      </c>
      <c r="N268" s="106">
        <v>1</v>
      </c>
      <c r="O268" s="106">
        <v>0.5</v>
      </c>
      <c r="P268" s="106">
        <v>1000</v>
      </c>
      <c r="Q268" s="106"/>
      <c r="R268" s="106"/>
      <c r="S268" s="106">
        <v>24373.803526448362</v>
      </c>
      <c r="T268" s="106">
        <v>22149.919395465993</v>
      </c>
      <c r="U268" s="106">
        <v>19850.680100755668</v>
      </c>
      <c r="V268" s="106">
        <v>0.5972036818970855</v>
      </c>
      <c r="W268" s="106">
        <v>94453.39285714287</v>
      </c>
      <c r="X268" s="110">
        <v>0.70176179772418734</v>
      </c>
      <c r="Y268" s="106">
        <v>321.83783783783781</v>
      </c>
      <c r="Z268" s="106">
        <v>10.72972972972973</v>
      </c>
      <c r="AA268" s="106">
        <v>47474.216867469877</v>
      </c>
      <c r="AB268" s="106">
        <v>661.80047027208605</v>
      </c>
      <c r="AC268" s="106">
        <v>2.1064065212315626</v>
      </c>
      <c r="AD268" s="106">
        <v>88.297872340425528</v>
      </c>
      <c r="AE268" s="106">
        <v>71.734939759036138</v>
      </c>
      <c r="AF268" s="106">
        <v>0.49247384882100059</v>
      </c>
      <c r="AG268" s="106">
        <v>12938</v>
      </c>
      <c r="AH268" s="106">
        <v>24636.042821158691</v>
      </c>
      <c r="AI268" s="106">
        <v>24636.042821158691</v>
      </c>
      <c r="AJ268" s="106">
        <v>24373.803526448362</v>
      </c>
      <c r="AK268" s="104">
        <v>19850.680100755668</v>
      </c>
      <c r="AL268" s="118"/>
      <c r="AM268" s="118">
        <v>444</v>
      </c>
      <c r="AN268" s="118">
        <v>11908</v>
      </c>
      <c r="AO268" s="118">
        <v>134</v>
      </c>
      <c r="AP268" s="118">
        <f t="shared" si="4"/>
        <v>1678</v>
      </c>
    </row>
    <row r="269" spans="1:42" ht="12.75">
      <c r="A269" s="106">
        <v>2018</v>
      </c>
      <c r="B269" s="106">
        <v>-180106</v>
      </c>
      <c r="C269" s="106">
        <v>0</v>
      </c>
      <c r="D269" s="106">
        <v>180106</v>
      </c>
      <c r="E269" s="106" t="s">
        <v>606</v>
      </c>
      <c r="F269" s="106" t="s">
        <v>607</v>
      </c>
      <c r="G269" s="106" t="s">
        <v>608</v>
      </c>
      <c r="H269" s="106">
        <v>7</v>
      </c>
      <c r="I269" s="106" t="s">
        <v>3641</v>
      </c>
      <c r="J269" s="106">
        <v>34480</v>
      </c>
      <c r="K269" s="106">
        <v>26586</v>
      </c>
      <c r="L269" s="106">
        <v>17838</v>
      </c>
      <c r="M269" s="106">
        <v>0.21</v>
      </c>
      <c r="N269" s="106">
        <v>0.56999999999999995</v>
      </c>
      <c r="O269" s="106">
        <v>0.99</v>
      </c>
      <c r="P269" s="106">
        <v>20966</v>
      </c>
      <c r="Q269" s="106">
        <v>17219.665419161676</v>
      </c>
      <c r="R269" s="106">
        <v>0.51210816517142166</v>
      </c>
      <c r="S269" s="106">
        <v>30191.958832335331</v>
      </c>
      <c r="T269" s="106">
        <v>28689.221556886227</v>
      </c>
      <c r="U269" s="106">
        <v>23372.364520958083</v>
      </c>
      <c r="V269" s="106">
        <v>0.70191400426555506</v>
      </c>
      <c r="W269" s="106">
        <v>74990.10301507538</v>
      </c>
      <c r="X269" s="110">
        <v>0.51912332241030246</v>
      </c>
      <c r="Y269" s="106">
        <v>372.18575851393189</v>
      </c>
      <c r="Z269" s="106">
        <v>12.408668730650154</v>
      </c>
      <c r="AA269" s="106">
        <v>109179.9965034965</v>
      </c>
      <c r="AB269" s="106">
        <v>779.23435316430425</v>
      </c>
      <c r="AC269" s="106">
        <v>0.91591869575483531</v>
      </c>
      <c r="AD269" s="106">
        <v>21.732522796352583</v>
      </c>
      <c r="AE269" s="106">
        <v>140.11188811188811</v>
      </c>
      <c r="AF269" s="106">
        <v>6.1620599592959922E-2</v>
      </c>
      <c r="AG269" s="106">
        <v>33500</v>
      </c>
      <c r="AH269" s="106">
        <v>24968.68263473054</v>
      </c>
      <c r="AI269" s="106">
        <v>29237.374251497007</v>
      </c>
      <c r="AJ269" s="106">
        <v>32596.914670658683</v>
      </c>
      <c r="AK269" s="104">
        <v>24386.620508982036</v>
      </c>
      <c r="AM269" s="118">
        <v>1362</v>
      </c>
      <c r="AN269" s="118">
        <v>40072</v>
      </c>
      <c r="AO269" s="118">
        <v>286</v>
      </c>
      <c r="AP269" s="118">
        <f t="shared" si="4"/>
        <v>980</v>
      </c>
    </row>
    <row r="270" spans="1:42" ht="12.75">
      <c r="A270" s="106">
        <v>2018</v>
      </c>
      <c r="B270" s="106">
        <v>-405872</v>
      </c>
      <c r="C270" s="106">
        <v>0</v>
      </c>
      <c r="D270" s="106">
        <v>405872</v>
      </c>
      <c r="E270" s="106" t="s">
        <v>609</v>
      </c>
      <c r="F270" s="106" t="s">
        <v>610</v>
      </c>
      <c r="G270" s="106" t="s">
        <v>124</v>
      </c>
      <c r="H270" s="106">
        <v>4</v>
      </c>
      <c r="I270" s="106" t="s">
        <v>24</v>
      </c>
      <c r="J270" s="106">
        <v>3907</v>
      </c>
      <c r="K270" s="106">
        <v>4660</v>
      </c>
      <c r="L270" s="106">
        <v>2638</v>
      </c>
      <c r="M270" s="106">
        <v>0.22</v>
      </c>
      <c r="N270" s="106">
        <v>0.09</v>
      </c>
      <c r="O270" s="106">
        <v>0.13</v>
      </c>
      <c r="P270" s="106">
        <v>1452</v>
      </c>
      <c r="Q270" s="106">
        <v>246.23892893923789</v>
      </c>
      <c r="R270" s="106">
        <v>4.2089957253954993E-2</v>
      </c>
      <c r="S270" s="106">
        <v>18220.736354273944</v>
      </c>
      <c r="T270" s="106">
        <v>17877.513903192586</v>
      </c>
      <c r="U270" s="106">
        <v>16732.880020597324</v>
      </c>
      <c r="V270" s="106">
        <v>0.33491319485956916</v>
      </c>
      <c r="W270" s="106">
        <v>68737.28377153218</v>
      </c>
      <c r="X270" s="110">
        <v>0.72793109951883361</v>
      </c>
      <c r="Y270" s="106">
        <v>379.17136659436005</v>
      </c>
      <c r="Z270" s="106">
        <v>12.637744034707158</v>
      </c>
      <c r="AA270" s="106">
        <v>61081.302631578947</v>
      </c>
      <c r="AB270" s="106">
        <v>557.70523118113476</v>
      </c>
      <c r="AC270" s="106">
        <v>1.6371622033532098</v>
      </c>
      <c r="AD270" s="106">
        <v>31.799163179916317</v>
      </c>
      <c r="AE270" s="106">
        <v>109.52255639097744</v>
      </c>
      <c r="AF270" s="106">
        <v>-4.6497681289547566E-2</v>
      </c>
      <c r="AG270" s="106">
        <v>3216</v>
      </c>
      <c r="AH270" s="106">
        <v>17679.812049433574</v>
      </c>
      <c r="AI270" s="106">
        <v>17926.050978372812</v>
      </c>
      <c r="AJ270" s="106">
        <v>18262.630278063851</v>
      </c>
      <c r="AK270" s="104">
        <v>17113.054582904224</v>
      </c>
      <c r="AL270" s="119">
        <v>19116071</v>
      </c>
      <c r="AM270" s="118">
        <v>3009</v>
      </c>
      <c r="AN270" s="118">
        <v>58266</v>
      </c>
      <c r="AO270" s="118">
        <v>507</v>
      </c>
      <c r="AP270" s="118">
        <f t="shared" si="4"/>
        <v>691</v>
      </c>
    </row>
    <row r="271" spans="1:42" ht="12.75">
      <c r="A271" s="106">
        <v>2018</v>
      </c>
      <c r="B271" s="106">
        <v>-238458</v>
      </c>
      <c r="C271" s="106">
        <v>0</v>
      </c>
      <c r="D271" s="106">
        <v>238458</v>
      </c>
      <c r="E271" s="106" t="s">
        <v>611</v>
      </c>
      <c r="F271" s="106" t="s">
        <v>612</v>
      </c>
      <c r="G271" s="106" t="s">
        <v>139</v>
      </c>
      <c r="H271" s="106">
        <v>6</v>
      </c>
      <c r="I271" s="106" t="s">
        <v>3640</v>
      </c>
      <c r="J271" s="106">
        <v>31144</v>
      </c>
      <c r="K271" s="106">
        <v>23217</v>
      </c>
      <c r="L271" s="106">
        <v>19572</v>
      </c>
      <c r="M271" s="106">
        <v>0.26</v>
      </c>
      <c r="N271" s="106">
        <v>0.74</v>
      </c>
      <c r="O271" s="106">
        <v>1</v>
      </c>
      <c r="P271" s="106">
        <v>17614</v>
      </c>
      <c r="Q271" s="106">
        <v>12309.281040023372</v>
      </c>
      <c r="R271" s="106">
        <v>0.43652108845956195</v>
      </c>
      <c r="S271" s="106">
        <v>22720.489628980427</v>
      </c>
      <c r="T271" s="106">
        <v>21587.980718667834</v>
      </c>
      <c r="U271" s="106">
        <v>16884.349395413392</v>
      </c>
      <c r="V271" s="106">
        <v>0.94106754151233607</v>
      </c>
      <c r="W271" s="106">
        <v>82126.215832205678</v>
      </c>
      <c r="X271" s="110">
        <v>0.54754027631772362</v>
      </c>
      <c r="Y271" s="106">
        <v>439.64319248826291</v>
      </c>
      <c r="Z271" s="106">
        <v>16.070422535211268</v>
      </c>
      <c r="AA271" s="106">
        <v>63932.663695243413</v>
      </c>
      <c r="AB271" s="106">
        <v>617.17918906176624</v>
      </c>
      <c r="AC271" s="106">
        <v>1.5641456842261992</v>
      </c>
      <c r="AD271" s="106">
        <v>28.303068252974327</v>
      </c>
      <c r="AE271" s="106">
        <v>103.58849557522124</v>
      </c>
      <c r="AF271" s="106">
        <v>4.5774849625255819E-2</v>
      </c>
      <c r="AG271" s="106">
        <v>30403</v>
      </c>
      <c r="AH271" s="106">
        <v>21563.50394390885</v>
      </c>
      <c r="AI271" s="106">
        <v>22811.66812737365</v>
      </c>
      <c r="AJ271" s="106">
        <v>24531.644756061934</v>
      </c>
      <c r="AK271" s="104">
        <v>17036.134677183756</v>
      </c>
      <c r="AL271" s="118"/>
      <c r="AM271" s="118">
        <v>2982</v>
      </c>
      <c r="AN271" s="118">
        <v>93644</v>
      </c>
      <c r="AO271" s="118">
        <v>675</v>
      </c>
      <c r="AP271" s="118">
        <f t="shared" si="4"/>
        <v>741</v>
      </c>
    </row>
    <row r="272" spans="1:42" ht="12.75">
      <c r="A272" s="106">
        <v>2018</v>
      </c>
      <c r="B272" s="106">
        <v>-219806</v>
      </c>
      <c r="C272" s="106">
        <v>0</v>
      </c>
      <c r="D272" s="106">
        <v>219806</v>
      </c>
      <c r="E272" s="106" t="s">
        <v>613</v>
      </c>
      <c r="F272" s="106" t="s">
        <v>614</v>
      </c>
      <c r="G272" s="106" t="s">
        <v>255</v>
      </c>
      <c r="H272" s="106">
        <v>6</v>
      </c>
      <c r="I272" s="106" t="s">
        <v>3640</v>
      </c>
      <c r="J272" s="106">
        <v>27400</v>
      </c>
      <c r="K272" s="106">
        <v>19516</v>
      </c>
      <c r="L272" s="106">
        <v>15865</v>
      </c>
      <c r="M272" s="106">
        <v>0.46</v>
      </c>
      <c r="N272" s="106">
        <v>0.69</v>
      </c>
      <c r="O272" s="106">
        <v>1</v>
      </c>
      <c r="P272" s="106">
        <v>13780</v>
      </c>
      <c r="Q272" s="106">
        <v>9666.7502963255629</v>
      </c>
      <c r="R272" s="106">
        <v>0.486481596747116</v>
      </c>
      <c r="S272" s="106">
        <v>17748.246147767681</v>
      </c>
      <c r="T272" s="106">
        <v>16412.529830106676</v>
      </c>
      <c r="U272" s="106">
        <v>13078.699723429474</v>
      </c>
      <c r="V272" s="106">
        <v>0.7801992490587254</v>
      </c>
      <c r="W272" s="106">
        <v>54468.778793418642</v>
      </c>
      <c r="X272" s="110">
        <v>0.47816307095746224</v>
      </c>
      <c r="Y272" s="106">
        <v>453.01910828025478</v>
      </c>
      <c r="Z272" s="106">
        <v>16.121019108280255</v>
      </c>
      <c r="AA272" s="106">
        <v>42007.854060913705</v>
      </c>
      <c r="AB272" s="106">
        <v>465.41517631179346</v>
      </c>
      <c r="AC272" s="106">
        <v>2.380507222649233</v>
      </c>
      <c r="AD272" s="106">
        <v>38.030888030888036</v>
      </c>
      <c r="AE272" s="106">
        <v>90.258883248730967</v>
      </c>
      <c r="AF272" s="106">
        <v>7.5927076349971021E-2</v>
      </c>
      <c r="AG272" s="106">
        <v>26200</v>
      </c>
      <c r="AH272" s="106">
        <v>13998.513630975898</v>
      </c>
      <c r="AI272" s="106">
        <v>17378.380877123665</v>
      </c>
      <c r="AJ272" s="106">
        <v>19047.978269458712</v>
      </c>
      <c r="AK272" s="104">
        <v>13078.699723429474</v>
      </c>
      <c r="AM272" s="118">
        <v>1690</v>
      </c>
      <c r="AN272" s="118">
        <v>71124</v>
      </c>
      <c r="AO272" s="118">
        <v>375</v>
      </c>
      <c r="AP272" s="118">
        <f t="shared" si="4"/>
        <v>1200</v>
      </c>
    </row>
    <row r="273" spans="1:42" ht="12.75">
      <c r="A273" s="106">
        <v>2018</v>
      </c>
      <c r="B273" s="106">
        <v>-198206</v>
      </c>
      <c r="C273" s="106">
        <v>0</v>
      </c>
      <c r="D273" s="106">
        <v>198206</v>
      </c>
      <c r="E273" s="106" t="s">
        <v>615</v>
      </c>
      <c r="F273" s="106" t="s">
        <v>616</v>
      </c>
      <c r="G273" s="106" t="s">
        <v>90</v>
      </c>
      <c r="H273" s="106">
        <v>4</v>
      </c>
      <c r="I273" s="106" t="s">
        <v>24</v>
      </c>
      <c r="J273" s="106">
        <v>2696</v>
      </c>
      <c r="K273" s="106">
        <v>10190</v>
      </c>
      <c r="L273" s="106">
        <v>9205</v>
      </c>
      <c r="M273" s="106">
        <v>0.56999999999999995</v>
      </c>
      <c r="N273" s="106">
        <v>0</v>
      </c>
      <c r="O273" s="106">
        <v>0.1</v>
      </c>
      <c r="P273" s="106">
        <v>647</v>
      </c>
      <c r="Q273" s="106">
        <v>99.148245614035091</v>
      </c>
      <c r="R273" s="106">
        <v>4.2077687497347555E-2</v>
      </c>
      <c r="S273" s="106">
        <v>15241.822807017545</v>
      </c>
      <c r="T273" s="106">
        <v>17277.061403508771</v>
      </c>
      <c r="U273" s="106">
        <v>13781.995587256102</v>
      </c>
      <c r="V273" s="106">
        <v>0.16377641214461236</v>
      </c>
      <c r="W273" s="106">
        <v>44884.988805970148</v>
      </c>
      <c r="X273" s="110">
        <v>0.61074678168243568</v>
      </c>
      <c r="Y273" s="106">
        <v>216.08842105263162</v>
      </c>
      <c r="Z273" s="106">
        <v>7.2000000000000011</v>
      </c>
      <c r="AA273" s="106">
        <v>37858.975830052907</v>
      </c>
      <c r="AB273" s="106">
        <v>459.21187144069557</v>
      </c>
      <c r="AC273" s="106">
        <v>2.6413815431483174</v>
      </c>
      <c r="AD273" s="106">
        <v>52.0702634880803</v>
      </c>
      <c r="AE273" s="106">
        <v>82.443373493975898</v>
      </c>
      <c r="AF273" s="106">
        <v>-4.1801290167594846E-2</v>
      </c>
      <c r="AG273" s="106">
        <v>2584</v>
      </c>
      <c r="AH273" s="106">
        <v>13522.622807017544</v>
      </c>
      <c r="AI273" s="106">
        <v>13756.445614035089</v>
      </c>
      <c r="AJ273" s="106">
        <v>15248.489473684211</v>
      </c>
      <c r="AK273" s="104">
        <v>15669.225438596492</v>
      </c>
      <c r="AL273" s="118">
        <v>11364666</v>
      </c>
      <c r="AM273" s="118">
        <v>1536</v>
      </c>
      <c r="AN273" s="118">
        <v>34214</v>
      </c>
      <c r="AO273" s="118">
        <v>222</v>
      </c>
      <c r="AP273" s="118">
        <f t="shared" si="4"/>
        <v>112</v>
      </c>
    </row>
    <row r="274" spans="1:42" ht="12.75">
      <c r="A274" s="106">
        <v>2018</v>
      </c>
      <c r="B274" s="106">
        <v>-238476</v>
      </c>
      <c r="C274" s="106">
        <v>0</v>
      </c>
      <c r="D274" s="106">
        <v>238476</v>
      </c>
      <c r="E274" s="106" t="s">
        <v>617</v>
      </c>
      <c r="F274" s="106" t="s">
        <v>618</v>
      </c>
      <c r="G274" s="106" t="s">
        <v>139</v>
      </c>
      <c r="H274" s="106">
        <v>7</v>
      </c>
      <c r="I274" s="106" t="s">
        <v>3641</v>
      </c>
      <c r="J274" s="106">
        <v>41950</v>
      </c>
      <c r="K274" s="106">
        <v>27156</v>
      </c>
      <c r="L274" s="106">
        <v>22956</v>
      </c>
      <c r="M274" s="106">
        <v>0.32</v>
      </c>
      <c r="N274" s="106">
        <v>0.79</v>
      </c>
      <c r="O274" s="106">
        <v>0.97</v>
      </c>
      <c r="P274" s="106">
        <v>26434</v>
      </c>
      <c r="Q274" s="106">
        <v>19746.073879443586</v>
      </c>
      <c r="R274" s="106">
        <v>0.58637348146656032</v>
      </c>
      <c r="S274" s="106">
        <v>23942.979907264296</v>
      </c>
      <c r="T274" s="106">
        <v>26438.976816074188</v>
      </c>
      <c r="U274" s="106">
        <v>20863.241358216525</v>
      </c>
      <c r="V274" s="106">
        <v>0.66762567280566321</v>
      </c>
      <c r="W274" s="106">
        <v>99126.694954128441</v>
      </c>
      <c r="X274" s="110">
        <v>0.50531034165870747</v>
      </c>
      <c r="Y274" s="106">
        <v>451.640625</v>
      </c>
      <c r="Z274" s="106">
        <v>15.1640625</v>
      </c>
      <c r="AA274" s="106">
        <v>115371.9415279153</v>
      </c>
      <c r="AB274" s="106">
        <v>700.49388473098554</v>
      </c>
      <c r="AC274" s="106">
        <v>0.8667618718698954</v>
      </c>
      <c r="AD274" s="106">
        <v>21.460014673514308</v>
      </c>
      <c r="AE274" s="106">
        <v>164.70085470085471</v>
      </c>
      <c r="AF274" s="106">
        <v>1.6695114821954279E-2</v>
      </c>
      <c r="AG274" s="106">
        <v>41950</v>
      </c>
      <c r="AH274" s="106">
        <v>22761.633075734157</v>
      </c>
      <c r="AI274" s="106">
        <v>23942.979907264296</v>
      </c>
      <c r="AJ274" s="106">
        <v>27741.989799072642</v>
      </c>
      <c r="AK274" s="104">
        <v>20937.033693972178</v>
      </c>
      <c r="AL274" s="118"/>
      <c r="AM274" s="118">
        <v>2741</v>
      </c>
      <c r="AN274" s="118">
        <v>96350</v>
      </c>
      <c r="AO274" s="118">
        <v>531</v>
      </c>
      <c r="AP274" s="118">
        <f t="shared" si="4"/>
        <v>0</v>
      </c>
    </row>
    <row r="275" spans="1:42" ht="12.75">
      <c r="A275" s="106">
        <v>2018</v>
      </c>
      <c r="B275" s="106">
        <v>-430795</v>
      </c>
      <c r="C275" s="106">
        <v>0</v>
      </c>
      <c r="D275" s="106">
        <v>430795</v>
      </c>
      <c r="E275" s="106" t="s">
        <v>619</v>
      </c>
      <c r="F275" s="106" t="s">
        <v>620</v>
      </c>
      <c r="G275" s="106" t="s">
        <v>110</v>
      </c>
      <c r="H275" s="106">
        <v>4</v>
      </c>
      <c r="I275" s="106" t="s">
        <v>24</v>
      </c>
      <c r="J275" s="106"/>
      <c r="K275" s="106">
        <v>3521</v>
      </c>
      <c r="L275" s="106">
        <v>1696</v>
      </c>
      <c r="M275" s="106">
        <v>0.81</v>
      </c>
      <c r="N275" s="106">
        <v>0</v>
      </c>
      <c r="O275" s="106">
        <v>7.0000000000000007E-2</v>
      </c>
      <c r="P275" s="106">
        <v>3025</v>
      </c>
      <c r="Q275" s="106">
        <v>10.615062761506277</v>
      </c>
      <c r="R275" s="106">
        <v>3.1397349108325191E-3</v>
      </c>
      <c r="S275" s="106">
        <v>16061.874476987448</v>
      </c>
      <c r="T275" s="106">
        <v>16219.133891213389</v>
      </c>
      <c r="U275" s="106">
        <v>9031.2343096234308</v>
      </c>
      <c r="V275" s="106">
        <v>0.37317862462444373</v>
      </c>
      <c r="W275" s="106">
        <v>59519.129629629628</v>
      </c>
      <c r="X275" s="110">
        <v>0.82913409003725902</v>
      </c>
      <c r="Y275" s="106">
        <v>195.61454545454546</v>
      </c>
      <c r="Z275" s="106">
        <v>8.1477272727272734</v>
      </c>
      <c r="AA275" s="106">
        <v>18769.260869565216</v>
      </c>
      <c r="AB275" s="106">
        <v>376.16852018812506</v>
      </c>
      <c r="AC275" s="106">
        <v>5.3278603081356426</v>
      </c>
      <c r="AD275" s="106">
        <v>49.356223175965667</v>
      </c>
      <c r="AE275" s="106">
        <v>49.895884057971017</v>
      </c>
      <c r="AF275" s="106"/>
      <c r="AG275" s="106"/>
      <c r="AH275" s="106">
        <v>13835.259414225942</v>
      </c>
      <c r="AI275" s="106">
        <v>13835.259414225942</v>
      </c>
      <c r="AJ275" s="106">
        <v>16062.460251046024</v>
      </c>
      <c r="AK275" s="104">
        <v>11574.1589958159</v>
      </c>
      <c r="AL275" s="118">
        <v>1797335</v>
      </c>
      <c r="AM275" s="118">
        <v>246</v>
      </c>
      <c r="AN275" s="118">
        <v>5738.0266666666666</v>
      </c>
      <c r="AO275" s="118">
        <v>16</v>
      </c>
      <c r="AP275" s="118">
        <f t="shared" si="4"/>
        <v>0</v>
      </c>
    </row>
    <row r="276" spans="1:42" ht="12.75">
      <c r="A276" s="106">
        <v>2018</v>
      </c>
      <c r="B276" s="106">
        <v>-439190</v>
      </c>
      <c r="C276" s="106">
        <v>0</v>
      </c>
      <c r="D276" s="106">
        <v>439190</v>
      </c>
      <c r="E276" s="106" t="s">
        <v>621</v>
      </c>
      <c r="F276" s="106" t="s">
        <v>622</v>
      </c>
      <c r="G276" s="106" t="s">
        <v>182</v>
      </c>
      <c r="H276" s="106">
        <v>4</v>
      </c>
      <c r="I276" s="106" t="s">
        <v>24</v>
      </c>
      <c r="J276" s="106">
        <v>3828</v>
      </c>
      <c r="K276" s="106">
        <v>9131</v>
      </c>
      <c r="L276" s="106">
        <v>7938</v>
      </c>
      <c r="M276" s="106">
        <v>0.24</v>
      </c>
      <c r="N276" s="106">
        <v>7.0000000000000007E-2</v>
      </c>
      <c r="O276" s="106">
        <v>0.12</v>
      </c>
      <c r="P276" s="106">
        <v>1407</v>
      </c>
      <c r="Q276" s="106">
        <v>430.94600760456274</v>
      </c>
      <c r="R276" s="106">
        <v>0.14092455644477425</v>
      </c>
      <c r="S276" s="106">
        <v>10701.11216730038</v>
      </c>
      <c r="T276" s="106">
        <v>11849.520532319391</v>
      </c>
      <c r="U276" s="106">
        <v>10515.782129277566</v>
      </c>
      <c r="V276" s="106">
        <v>0.24981925591688062</v>
      </c>
      <c r="W276" s="106">
        <v>108644.01411290321</v>
      </c>
      <c r="X276" s="110">
        <v>0.57638105650518212</v>
      </c>
      <c r="Y276" s="106">
        <v>1498.3417721518988</v>
      </c>
      <c r="Z276" s="106">
        <v>33.291139240506332</v>
      </c>
      <c r="AA276" s="106">
        <v>40492.689604685213</v>
      </c>
      <c r="AB276" s="106">
        <v>233.64653752249322</v>
      </c>
      <c r="AC276" s="106">
        <v>2.4695815708035722</v>
      </c>
      <c r="AD276" s="106">
        <v>28.352013283520133</v>
      </c>
      <c r="AE276" s="106">
        <v>173.30746705710104</v>
      </c>
      <c r="AF276" s="106">
        <v>-2.2167692662003073E-2</v>
      </c>
      <c r="AG276" s="106">
        <v>3468</v>
      </c>
      <c r="AH276" s="106">
        <v>10021.595817490494</v>
      </c>
      <c r="AI276" s="106">
        <v>10021.595817490494</v>
      </c>
      <c r="AJ276" s="106">
        <v>10713.109125475285</v>
      </c>
      <c r="AK276" s="104">
        <v>11496.161216730037</v>
      </c>
      <c r="AL276" s="118">
        <v>10047059</v>
      </c>
      <c r="AM276" s="118">
        <v>3425</v>
      </c>
      <c r="AN276" s="118">
        <v>118369</v>
      </c>
      <c r="AO276" s="118">
        <v>576</v>
      </c>
      <c r="AP276" s="118">
        <f t="shared" si="4"/>
        <v>360</v>
      </c>
    </row>
    <row r="277" spans="1:42" ht="12.75">
      <c r="A277" s="106">
        <v>2018</v>
      </c>
      <c r="B277" s="106">
        <v>-201645</v>
      </c>
      <c r="C277" s="106">
        <v>0</v>
      </c>
      <c r="D277" s="106">
        <v>201645</v>
      </c>
      <c r="E277" s="106" t="s">
        <v>623</v>
      </c>
      <c r="F277" s="106" t="s">
        <v>624</v>
      </c>
      <c r="G277" s="106" t="s">
        <v>82</v>
      </c>
      <c r="H277" s="106">
        <v>5</v>
      </c>
      <c r="I277" s="106" t="s">
        <v>3639</v>
      </c>
      <c r="J277" s="106">
        <v>47500</v>
      </c>
      <c r="K277" s="106">
        <v>34061</v>
      </c>
      <c r="L277" s="106">
        <v>13235</v>
      </c>
      <c r="M277" s="106">
        <v>0.15</v>
      </c>
      <c r="N277" s="106">
        <v>0.71</v>
      </c>
      <c r="O277" s="106">
        <v>0.83</v>
      </c>
      <c r="P277" s="106">
        <v>31673</v>
      </c>
      <c r="Q277" s="106">
        <v>16397.558556050484</v>
      </c>
      <c r="R277" s="106">
        <v>0.37526270180766097</v>
      </c>
      <c r="S277" s="106">
        <v>85091.208611729773</v>
      </c>
      <c r="T277" s="106">
        <v>91118.025612472164</v>
      </c>
      <c r="U277" s="106">
        <v>40520.96659303287</v>
      </c>
      <c r="V277" s="106">
        <v>0.67369205849917269</v>
      </c>
      <c r="W277" s="106">
        <v>104275.71035562514</v>
      </c>
      <c r="X277" s="110">
        <v>0.47481665431433939</v>
      </c>
      <c r="Y277" s="106">
        <v>122.49209350292197</v>
      </c>
      <c r="Z277" s="106">
        <v>5.5565486421450672</v>
      </c>
      <c r="AA277" s="106">
        <v>125728.17045969544</v>
      </c>
      <c r="AB277" s="106">
        <v>1838.1326946261349</v>
      </c>
      <c r="AC277" s="106">
        <v>0.79536669971712437</v>
      </c>
      <c r="AD277" s="106">
        <v>31.615839781520254</v>
      </c>
      <c r="AE277" s="106">
        <v>68.399942412899506</v>
      </c>
      <c r="AF277" s="106">
        <v>4.8615261968563958E-2</v>
      </c>
      <c r="AG277" s="106">
        <v>47074</v>
      </c>
      <c r="AH277" s="106">
        <v>71479.711117297702</v>
      </c>
      <c r="AI277" s="106">
        <v>85247.688381588712</v>
      </c>
      <c r="AJ277" s="106">
        <v>100815.98162583519</v>
      </c>
      <c r="AK277" s="104">
        <v>83381.408221974765</v>
      </c>
      <c r="AL277" s="119">
        <v>2575022</v>
      </c>
      <c r="AM277" s="118">
        <v>5150</v>
      </c>
      <c r="AN277" s="118">
        <v>237553</v>
      </c>
      <c r="AO277" s="118">
        <v>1181</v>
      </c>
      <c r="AP277" s="118">
        <f t="shared" si="4"/>
        <v>426</v>
      </c>
    </row>
    <row r="278" spans="1:42" ht="12.75">
      <c r="A278" s="106">
        <v>2018</v>
      </c>
      <c r="B278" s="106">
        <v>-240505</v>
      </c>
      <c r="C278" s="106">
        <v>0</v>
      </c>
      <c r="D278" s="106">
        <v>240505</v>
      </c>
      <c r="E278" s="106" t="s">
        <v>625</v>
      </c>
      <c r="F278" s="106" t="s">
        <v>626</v>
      </c>
      <c r="G278" s="106" t="s">
        <v>627</v>
      </c>
      <c r="H278" s="106">
        <v>4</v>
      </c>
      <c r="I278" s="106" t="s">
        <v>24</v>
      </c>
      <c r="J278" s="106">
        <v>3024</v>
      </c>
      <c r="K278" s="106">
        <v>6438</v>
      </c>
      <c r="L278" s="106">
        <v>5969</v>
      </c>
      <c r="M278" s="106">
        <v>0.37</v>
      </c>
      <c r="N278" s="106">
        <v>0.26</v>
      </c>
      <c r="O278" s="106">
        <v>0.3</v>
      </c>
      <c r="P278" s="106">
        <v>3545</v>
      </c>
      <c r="Q278" s="106">
        <v>1058.5345192714951</v>
      </c>
      <c r="R278" s="106">
        <v>0.28047626198045061</v>
      </c>
      <c r="S278" s="106">
        <v>22748.933926302416</v>
      </c>
      <c r="T278" s="106">
        <v>24668.568826768318</v>
      </c>
      <c r="U278" s="106">
        <v>19725.328527111418</v>
      </c>
      <c r="V278" s="106">
        <v>0.13766698324449309</v>
      </c>
      <c r="W278" s="106">
        <v>84683.64291129644</v>
      </c>
      <c r="X278" s="110">
        <v>0.63926824489701173</v>
      </c>
      <c r="Y278" s="106">
        <v>374.16549295774644</v>
      </c>
      <c r="Z278" s="106">
        <v>12.47007042253521</v>
      </c>
      <c r="AA278" s="106">
        <v>58287.234859211581</v>
      </c>
      <c r="AB278" s="106">
        <v>657.39957444044569</v>
      </c>
      <c r="AC278" s="106">
        <v>1.715641516389351</v>
      </c>
      <c r="AD278" s="106">
        <v>36.567505720823803</v>
      </c>
      <c r="AE278" s="106">
        <v>88.663329161451813</v>
      </c>
      <c r="AF278" s="106">
        <v>-7.0065061026666113E-3</v>
      </c>
      <c r="AG278" s="106">
        <v>2256</v>
      </c>
      <c r="AH278" s="106">
        <v>21852.959339263023</v>
      </c>
      <c r="AI278" s="106">
        <v>21852.959339263023</v>
      </c>
      <c r="AJ278" s="106">
        <v>23399.357899195256</v>
      </c>
      <c r="AK278" s="104">
        <v>21538.114781872089</v>
      </c>
      <c r="AL278" s="118">
        <v>34579259</v>
      </c>
      <c r="AM278" s="118">
        <v>3409</v>
      </c>
      <c r="AN278" s="118">
        <v>70842</v>
      </c>
      <c r="AO278" s="118">
        <v>611</v>
      </c>
      <c r="AP278" s="118">
        <f t="shared" si="4"/>
        <v>768</v>
      </c>
    </row>
    <row r="279" spans="1:42" ht="12.75">
      <c r="A279" s="106">
        <v>2018</v>
      </c>
      <c r="B279" s="106">
        <v>-230834</v>
      </c>
      <c r="C279" s="106">
        <v>0</v>
      </c>
      <c r="D279" s="106">
        <v>230834</v>
      </c>
      <c r="E279" s="106" t="s">
        <v>4053</v>
      </c>
      <c r="F279" s="106" t="s">
        <v>4054</v>
      </c>
      <c r="G279" s="106" t="s">
        <v>345</v>
      </c>
      <c r="H279" s="106">
        <v>3</v>
      </c>
      <c r="I279" s="104" t="s">
        <v>26</v>
      </c>
      <c r="J279" s="106">
        <v>11970</v>
      </c>
      <c r="K279" s="106">
        <v>16554</v>
      </c>
      <c r="L279" s="106">
        <v>12560</v>
      </c>
      <c r="M279" s="106">
        <v>0.4</v>
      </c>
      <c r="N279" s="106">
        <v>0.77</v>
      </c>
      <c r="O279" s="106">
        <v>0.8</v>
      </c>
      <c r="P279" s="106">
        <v>5508</v>
      </c>
      <c r="Q279" s="106">
        <v>2854.1639516552809</v>
      </c>
      <c r="R279" s="106">
        <v>0.16777473998111425</v>
      </c>
      <c r="S279" s="106">
        <v>24364.354177614292</v>
      </c>
      <c r="T279" s="106">
        <v>25543.299001576459</v>
      </c>
      <c r="U279" s="106">
        <v>19401.833514850656</v>
      </c>
      <c r="V279" s="106">
        <v>0.72971027597238058</v>
      </c>
      <c r="W279" s="106">
        <v>90733.31170212767</v>
      </c>
      <c r="X279" s="110">
        <v>0.58486763061363789</v>
      </c>
      <c r="Y279" s="106">
        <v>462.1574585635359</v>
      </c>
      <c r="Z279" s="106">
        <v>15.770718232044198</v>
      </c>
      <c r="AA279" s="106">
        <v>88329.399949188504</v>
      </c>
      <c r="AB279" s="106">
        <v>662.07056464864161</v>
      </c>
      <c r="AC279" s="106">
        <v>1.1321258839924759</v>
      </c>
      <c r="AD279" s="106">
        <v>22.879036672140121</v>
      </c>
      <c r="AE279" s="106">
        <v>133.41387559808612</v>
      </c>
      <c r="AF279" s="106"/>
      <c r="AG279" s="106">
        <v>10872</v>
      </c>
      <c r="AH279" s="106">
        <v>24423.877036258538</v>
      </c>
      <c r="AI279" s="106">
        <v>25046.169732002101</v>
      </c>
      <c r="AJ279" s="106">
        <v>24720.692590646348</v>
      </c>
      <c r="AK279" s="104">
        <v>21525.142932212297</v>
      </c>
      <c r="AL279" s="119">
        <v>5464514</v>
      </c>
      <c r="AM279" s="118">
        <v>1855</v>
      </c>
      <c r="AN279" s="118">
        <v>55767</v>
      </c>
      <c r="AO279" s="118">
        <v>372</v>
      </c>
      <c r="AP279" s="118">
        <f t="shared" si="4"/>
        <v>1098</v>
      </c>
    </row>
    <row r="280" spans="1:42" ht="12.75">
      <c r="A280" s="106">
        <v>2018</v>
      </c>
      <c r="B280" s="106">
        <v>-198215</v>
      </c>
      <c r="C280" s="106">
        <v>0</v>
      </c>
      <c r="D280" s="106">
        <v>198215</v>
      </c>
      <c r="E280" s="106" t="s">
        <v>628</v>
      </c>
      <c r="F280" s="106" t="s">
        <v>629</v>
      </c>
      <c r="G280" s="106" t="s">
        <v>90</v>
      </c>
      <c r="H280" s="106">
        <v>7</v>
      </c>
      <c r="I280" s="106" t="s">
        <v>3641</v>
      </c>
      <c r="J280" s="106">
        <v>29920</v>
      </c>
      <c r="K280" s="106">
        <v>18609</v>
      </c>
      <c r="L280" s="106">
        <v>16694</v>
      </c>
      <c r="M280" s="106">
        <v>0.45</v>
      </c>
      <c r="N280" s="106">
        <v>0.67</v>
      </c>
      <c r="O280" s="106">
        <v>1</v>
      </c>
      <c r="P280" s="106">
        <v>19783</v>
      </c>
      <c r="Q280" s="106">
        <v>17346.248456790123</v>
      </c>
      <c r="R280" s="106">
        <v>0.64966777722108948</v>
      </c>
      <c r="S280" s="106">
        <v>48349.408950617282</v>
      </c>
      <c r="T280" s="106">
        <v>44516.564814814818</v>
      </c>
      <c r="U280" s="106">
        <v>24123.797468184297</v>
      </c>
      <c r="V280" s="106">
        <v>0.38774717893883398</v>
      </c>
      <c r="W280" s="106">
        <v>66428.222627737225</v>
      </c>
      <c r="X280" s="110">
        <v>0.31548342699731624</v>
      </c>
      <c r="Y280" s="106">
        <v>397.88395904436857</v>
      </c>
      <c r="Z280" s="106">
        <v>13.26962457337884</v>
      </c>
      <c r="AA280" s="106">
        <v>97701.379746146413</v>
      </c>
      <c r="AB280" s="106">
        <v>804.54044052410836</v>
      </c>
      <c r="AC280" s="106">
        <v>1.0235269989003839</v>
      </c>
      <c r="AD280" s="106">
        <v>24.65331278890601</v>
      </c>
      <c r="AE280" s="106">
        <v>121.4375</v>
      </c>
      <c r="AF280" s="106">
        <v>9.6153286705457544E-2</v>
      </c>
      <c r="AG280" s="106">
        <v>29920</v>
      </c>
      <c r="AH280" s="106">
        <v>20443.110339506173</v>
      </c>
      <c r="AI280" s="106">
        <v>35227.353395061727</v>
      </c>
      <c r="AJ280" s="106">
        <v>52797.474537037036</v>
      </c>
      <c r="AK280" s="104">
        <v>41476.199074074073</v>
      </c>
      <c r="AL280" s="118"/>
      <c r="AM280" s="118">
        <v>1322</v>
      </c>
      <c r="AN280" s="118">
        <v>38860</v>
      </c>
      <c r="AO280" s="118">
        <v>312</v>
      </c>
      <c r="AP280" s="118">
        <f t="shared" si="4"/>
        <v>0</v>
      </c>
    </row>
    <row r="281" spans="1:42" ht="12.75">
      <c r="A281" s="106">
        <v>2018</v>
      </c>
      <c r="B281" s="106">
        <v>-198233</v>
      </c>
      <c r="C281" s="106">
        <v>0</v>
      </c>
      <c r="D281" s="106">
        <v>198233</v>
      </c>
      <c r="E281" s="106" t="s">
        <v>630</v>
      </c>
      <c r="F281" s="106" t="s">
        <v>631</v>
      </c>
      <c r="G281" s="106" t="s">
        <v>90</v>
      </c>
      <c r="H281" s="106">
        <v>4</v>
      </c>
      <c r="I281" s="106" t="s">
        <v>24</v>
      </c>
      <c r="J281" s="106">
        <v>2281</v>
      </c>
      <c r="K281" s="106">
        <v>8067</v>
      </c>
      <c r="L281" s="106">
        <v>5950</v>
      </c>
      <c r="M281" s="106">
        <v>0.56999999999999995</v>
      </c>
      <c r="N281" s="106">
        <v>0.09</v>
      </c>
      <c r="O281" s="106">
        <v>0.08</v>
      </c>
      <c r="P281" s="107">
        <v>1109</v>
      </c>
      <c r="Q281" s="106">
        <v>41.637721755368815</v>
      </c>
      <c r="R281" s="106">
        <v>1.7669546124776989E-2</v>
      </c>
      <c r="S281" s="106">
        <v>12696.550264550264</v>
      </c>
      <c r="T281" s="106">
        <v>13958.07500778089</v>
      </c>
      <c r="U281" s="106">
        <v>11083.465919701213</v>
      </c>
      <c r="V281" s="106">
        <v>0.20885437762572065</v>
      </c>
      <c r="W281" s="106">
        <v>53862.403846153844</v>
      </c>
      <c r="X281" s="110">
        <v>0.64534694901888734</v>
      </c>
      <c r="Y281" s="106">
        <v>335.11008111239863</v>
      </c>
      <c r="Z281" s="106">
        <v>11.16917728852839</v>
      </c>
      <c r="AA281" s="106">
        <v>24593.353591160219</v>
      </c>
      <c r="AB281" s="106">
        <v>369.41053941908712</v>
      </c>
      <c r="AC281" s="106">
        <v>4.066139236738489</v>
      </c>
      <c r="AD281" s="106">
        <v>52.011494252873561</v>
      </c>
      <c r="AE281" s="106">
        <v>66.574585635359114</v>
      </c>
      <c r="AF281" s="106">
        <v>0.2039652435525415</v>
      </c>
      <c r="AG281" s="106">
        <v>2128</v>
      </c>
      <c r="AH281" s="106">
        <v>11765.203548085901</v>
      </c>
      <c r="AI281" s="106">
        <v>11881.394024276377</v>
      </c>
      <c r="AJ281" s="106">
        <v>12715.724556489262</v>
      </c>
      <c r="AK281" s="104">
        <v>11949.234982882042</v>
      </c>
      <c r="AL281" s="119">
        <v>25218155</v>
      </c>
      <c r="AM281" s="118">
        <v>4827</v>
      </c>
      <c r="AN281" s="118">
        <v>96400</v>
      </c>
      <c r="AO281" s="118">
        <v>726</v>
      </c>
      <c r="AP281" s="118">
        <f t="shared" si="4"/>
        <v>153</v>
      </c>
    </row>
    <row r="282" spans="1:42" ht="12.75">
      <c r="A282" s="106">
        <v>2018</v>
      </c>
      <c r="B282" s="106">
        <v>-131283</v>
      </c>
      <c r="C282" s="106">
        <v>0</v>
      </c>
      <c r="D282" s="106">
        <v>131283</v>
      </c>
      <c r="E282" s="106" t="s">
        <v>632</v>
      </c>
      <c r="F282" s="106" t="s">
        <v>155</v>
      </c>
      <c r="G282" s="106" t="s">
        <v>156</v>
      </c>
      <c r="H282" s="106">
        <v>5</v>
      </c>
      <c r="I282" s="106" t="s">
        <v>3639</v>
      </c>
      <c r="J282" s="106">
        <v>44060</v>
      </c>
      <c r="K282" s="106">
        <v>36080</v>
      </c>
      <c r="L282" s="106">
        <v>31035</v>
      </c>
      <c r="M282" s="106">
        <v>0.12</v>
      </c>
      <c r="N282" s="106">
        <v>0.61</v>
      </c>
      <c r="O282" s="106">
        <v>0.95</v>
      </c>
      <c r="P282" s="106">
        <v>24817</v>
      </c>
      <c r="Q282" s="106">
        <v>16541.864960776988</v>
      </c>
      <c r="R282" s="106">
        <v>0.40892082367604893</v>
      </c>
      <c r="S282" s="106">
        <v>46031.918939110947</v>
      </c>
      <c r="T282" s="106">
        <v>42316.959282779229</v>
      </c>
      <c r="U282" s="106">
        <v>32214.557941358398</v>
      </c>
      <c r="V282" s="106">
        <v>0.7422303819719589</v>
      </c>
      <c r="W282" s="106">
        <v>88265.657503879396</v>
      </c>
      <c r="X282" s="110">
        <v>0.58580154481054003</v>
      </c>
      <c r="Y282" s="106">
        <v>237.52313769751694</v>
      </c>
      <c r="Z282" s="106">
        <v>9.064334085778782</v>
      </c>
      <c r="AA282" s="106">
        <v>112143.52614956623</v>
      </c>
      <c r="AB282" s="106">
        <v>1229.368719345623</v>
      </c>
      <c r="AC282" s="106">
        <v>0.89171442555346103</v>
      </c>
      <c r="AD282" s="106">
        <v>31.374949000407998</v>
      </c>
      <c r="AE282" s="106">
        <v>91.220416124837456</v>
      </c>
      <c r="AF282" s="106">
        <v>9.5856126494360608E-2</v>
      </c>
      <c r="AG282" s="106">
        <v>43300</v>
      </c>
      <c r="AH282" s="106">
        <v>34889.075831154274</v>
      </c>
      <c r="AI282" s="106">
        <v>46146.824430332461</v>
      </c>
      <c r="AJ282" s="106">
        <v>51638.027642883826</v>
      </c>
      <c r="AK282" s="104">
        <v>36799.032312289877</v>
      </c>
      <c r="AL282" s="118"/>
      <c r="AM282" s="118">
        <v>3315</v>
      </c>
      <c r="AN282" s="118">
        <v>140297</v>
      </c>
      <c r="AO282" s="118">
        <v>723</v>
      </c>
      <c r="AP282" s="118">
        <f t="shared" si="4"/>
        <v>760</v>
      </c>
    </row>
    <row r="283" spans="1:42" ht="12.75">
      <c r="A283" s="106">
        <v>2018</v>
      </c>
      <c r="B283" s="106">
        <v>-189839</v>
      </c>
      <c r="C283" s="106">
        <v>0</v>
      </c>
      <c r="D283" s="106">
        <v>189839</v>
      </c>
      <c r="E283" s="106" t="s">
        <v>633</v>
      </c>
      <c r="F283" s="106" t="s">
        <v>236</v>
      </c>
      <c r="G283" s="106" t="s">
        <v>69</v>
      </c>
      <c r="H283" s="106">
        <v>4</v>
      </c>
      <c r="I283" s="106" t="s">
        <v>24</v>
      </c>
      <c r="J283" s="106">
        <v>5116</v>
      </c>
      <c r="K283" s="106">
        <v>5009</v>
      </c>
      <c r="L283" s="106">
        <v>3132</v>
      </c>
      <c r="M283" s="106">
        <v>0.67</v>
      </c>
      <c r="N283" s="106">
        <v>0.46</v>
      </c>
      <c r="O283" s="106">
        <v>7.0000000000000007E-2</v>
      </c>
      <c r="P283" s="106">
        <v>2478</v>
      </c>
      <c r="Q283" s="106">
        <v>139.81744186046512</v>
      </c>
      <c r="R283" s="106">
        <v>2.7648420686990006E-2</v>
      </c>
      <c r="S283" s="106">
        <v>13306.39534883721</v>
      </c>
      <c r="T283" s="106">
        <v>13733.049224806202</v>
      </c>
      <c r="U283" s="106">
        <v>11967.470658931936</v>
      </c>
      <c r="V283" s="106">
        <v>0.41087713666959791</v>
      </c>
      <c r="W283" s="106">
        <v>91164.88038942976</v>
      </c>
      <c r="X283" s="110">
        <v>0.61666389181058634</v>
      </c>
      <c r="Y283" s="106">
        <v>910.68235294117642</v>
      </c>
      <c r="Z283" s="106">
        <v>30.352941176470587</v>
      </c>
      <c r="AA283" s="106">
        <v>64459.445302806671</v>
      </c>
      <c r="AB283" s="106">
        <v>398.8744612965636</v>
      </c>
      <c r="AC283" s="106">
        <v>1.5513630241500982</v>
      </c>
      <c r="AD283" s="106">
        <v>20.619888075764099</v>
      </c>
      <c r="AE283" s="106">
        <v>161.60334029227556</v>
      </c>
      <c r="AF283" s="106">
        <v>-8.0215225819109448E-2</v>
      </c>
      <c r="AG283" s="106">
        <v>4544</v>
      </c>
      <c r="AH283" s="106">
        <v>12682.998062015504</v>
      </c>
      <c r="AI283" s="106">
        <v>12682.998062015504</v>
      </c>
      <c r="AJ283" s="106">
        <v>13309.618604651163</v>
      </c>
      <c r="AK283" s="104">
        <v>13733.049224806202</v>
      </c>
      <c r="AL283" s="119">
        <v>15388719</v>
      </c>
      <c r="AM283" s="118">
        <v>3784</v>
      </c>
      <c r="AN283" s="118">
        <v>77408</v>
      </c>
      <c r="AO283" s="118">
        <v>470</v>
      </c>
      <c r="AP283" s="118">
        <f t="shared" si="4"/>
        <v>572</v>
      </c>
    </row>
    <row r="284" spans="1:42" ht="12.75">
      <c r="A284" s="106">
        <v>2018</v>
      </c>
      <c r="B284" s="106">
        <v>-189848</v>
      </c>
      <c r="C284" s="106">
        <v>0</v>
      </c>
      <c r="D284" s="106">
        <v>189848</v>
      </c>
      <c r="E284" s="106" t="s">
        <v>634</v>
      </c>
      <c r="F284" s="106" t="s">
        <v>635</v>
      </c>
      <c r="G284" s="106" t="s">
        <v>69</v>
      </c>
      <c r="H284" s="106">
        <v>7</v>
      </c>
      <c r="I284" s="106" t="s">
        <v>3641</v>
      </c>
      <c r="J284" s="106">
        <v>33656</v>
      </c>
      <c r="K284" s="106">
        <v>17588</v>
      </c>
      <c r="L284" s="106">
        <v>37372</v>
      </c>
      <c r="M284" s="106">
        <v>0.59</v>
      </c>
      <c r="N284" s="106">
        <v>0.87</v>
      </c>
      <c r="O284" s="106">
        <v>1</v>
      </c>
      <c r="P284" s="106">
        <v>25078</v>
      </c>
      <c r="Q284" s="106">
        <v>19679.136255924172</v>
      </c>
      <c r="R284" s="106">
        <v>0.66616762492254067</v>
      </c>
      <c r="S284" s="106">
        <v>24727.592417061613</v>
      </c>
      <c r="T284" s="106">
        <v>27474.548578199054</v>
      </c>
      <c r="U284" s="106">
        <v>21208.949052132702</v>
      </c>
      <c r="V284" s="106">
        <v>0.4649773666474622</v>
      </c>
      <c r="W284" s="106">
        <v>62064.193693693691</v>
      </c>
      <c r="X284" s="110">
        <v>0.59418417364213727</v>
      </c>
      <c r="Y284" s="106">
        <v>460.14545454545453</v>
      </c>
      <c r="Z284" s="106">
        <v>15.345454545454546</v>
      </c>
      <c r="AA284" s="106">
        <v>75528.915611814344</v>
      </c>
      <c r="AB284" s="106">
        <v>707.30018176070803</v>
      </c>
      <c r="AC284" s="106">
        <v>1.3239962362753404</v>
      </c>
      <c r="AD284" s="106">
        <v>30.229591836734691</v>
      </c>
      <c r="AE284" s="106">
        <v>106.78481012658227</v>
      </c>
      <c r="AF284" s="106">
        <v>-5.9079542089391347E-2</v>
      </c>
      <c r="AG284" s="106">
        <v>33068</v>
      </c>
      <c r="AH284" s="106">
        <v>23836.746445497629</v>
      </c>
      <c r="AI284" s="106">
        <v>25207.028436018958</v>
      </c>
      <c r="AJ284" s="106">
        <v>24742.018957345972</v>
      </c>
      <c r="AK284" s="104">
        <v>21208.949052132702</v>
      </c>
      <c r="AL284" s="118"/>
      <c r="AM284" s="118">
        <v>893</v>
      </c>
      <c r="AN284" s="118">
        <v>25308</v>
      </c>
      <c r="AO284" s="118">
        <v>217</v>
      </c>
      <c r="AP284" s="118">
        <f t="shared" si="4"/>
        <v>588</v>
      </c>
    </row>
    <row r="285" spans="1:42" ht="12.75">
      <c r="A285" s="106">
        <v>2018</v>
      </c>
      <c r="B285" s="106">
        <v>-162104</v>
      </c>
      <c r="C285" s="106">
        <v>0</v>
      </c>
      <c r="D285" s="106">
        <v>162104</v>
      </c>
      <c r="E285" s="106" t="s">
        <v>636</v>
      </c>
      <c r="F285" s="106" t="s">
        <v>637</v>
      </c>
      <c r="G285" s="106" t="s">
        <v>124</v>
      </c>
      <c r="H285" s="106">
        <v>4</v>
      </c>
      <c r="I285" s="106" t="s">
        <v>24</v>
      </c>
      <c r="J285" s="106">
        <v>4005</v>
      </c>
      <c r="K285" s="106">
        <v>7904</v>
      </c>
      <c r="L285" s="106">
        <v>8104</v>
      </c>
      <c r="M285" s="106">
        <v>0.45</v>
      </c>
      <c r="N285" s="106">
        <v>0.23</v>
      </c>
      <c r="O285" s="106">
        <v>0.33</v>
      </c>
      <c r="P285" s="106">
        <v>1190</v>
      </c>
      <c r="Q285" s="106">
        <v>228.48735475051265</v>
      </c>
      <c r="R285" s="106">
        <v>3.9399019305904871E-2</v>
      </c>
      <c r="S285" s="106">
        <v>21693.906356801093</v>
      </c>
      <c r="T285" s="106">
        <v>23738.510594668489</v>
      </c>
      <c r="U285" s="106">
        <v>20485.164725126011</v>
      </c>
      <c r="V285" s="106">
        <v>0.27194452714799455</v>
      </c>
      <c r="W285" s="106">
        <v>63966.118990384617</v>
      </c>
      <c r="X285" s="110">
        <v>0.51080398904203494</v>
      </c>
      <c r="Y285" s="106">
        <v>341.88311688311694</v>
      </c>
      <c r="Z285" s="106">
        <v>11.400000000000002</v>
      </c>
      <c r="AA285" s="106">
        <v>54990.451363044689</v>
      </c>
      <c r="AB285" s="106">
        <v>683.07227334152378</v>
      </c>
      <c r="AC285" s="106">
        <v>1.8184975304131281</v>
      </c>
      <c r="AD285" s="106">
        <v>38.790035587188612</v>
      </c>
      <c r="AE285" s="106">
        <v>80.504587155963307</v>
      </c>
      <c r="AF285" s="106">
        <v>-2.5909258014265555E-2</v>
      </c>
      <c r="AG285" s="106">
        <v>3270</v>
      </c>
      <c r="AH285" s="106">
        <v>21056.213260423785</v>
      </c>
      <c r="AI285" s="106">
        <v>21188.326725905674</v>
      </c>
      <c r="AJ285" s="106">
        <v>21738.52084757348</v>
      </c>
      <c r="AK285" s="104">
        <v>21628.23991797676</v>
      </c>
      <c r="AL285" s="119">
        <v>16273762</v>
      </c>
      <c r="AM285" s="118">
        <v>2468</v>
      </c>
      <c r="AN285" s="118">
        <v>43875</v>
      </c>
      <c r="AO285" s="118">
        <v>468</v>
      </c>
      <c r="AP285" s="118">
        <f t="shared" si="4"/>
        <v>735</v>
      </c>
    </row>
    <row r="286" spans="1:42" ht="12.75">
      <c r="A286" s="106">
        <v>2018</v>
      </c>
      <c r="B286" s="106">
        <v>-211468</v>
      </c>
      <c r="C286" s="106">
        <v>0</v>
      </c>
      <c r="D286" s="106">
        <v>211468</v>
      </c>
      <c r="E286" s="106" t="s">
        <v>638</v>
      </c>
      <c r="F286" s="106" t="s">
        <v>639</v>
      </c>
      <c r="G286" s="106" t="s">
        <v>104</v>
      </c>
      <c r="H286" s="106">
        <v>7</v>
      </c>
      <c r="I286" s="106" t="s">
        <v>3641</v>
      </c>
      <c r="J286" s="106">
        <v>38092</v>
      </c>
      <c r="K286" s="106">
        <v>22136</v>
      </c>
      <c r="L286" s="106">
        <v>16907</v>
      </c>
      <c r="M286" s="106">
        <v>0.46</v>
      </c>
      <c r="N286" s="106">
        <v>0.87</v>
      </c>
      <c r="O286" s="106">
        <v>0.99</v>
      </c>
      <c r="P286" s="106">
        <v>23542</v>
      </c>
      <c r="Q286" s="106">
        <v>9658.9087476400255</v>
      </c>
      <c r="R286" s="106">
        <v>0.34575249933814151</v>
      </c>
      <c r="S286" s="106">
        <v>25501.701699181875</v>
      </c>
      <c r="T286" s="106">
        <v>22909.039018250471</v>
      </c>
      <c r="U286" s="106">
        <v>19028.531916867065</v>
      </c>
      <c r="V286" s="106">
        <v>0.96050476592536072</v>
      </c>
      <c r="W286" s="106">
        <v>70569.057954545453</v>
      </c>
      <c r="X286" s="110">
        <v>0.56864990151902639</v>
      </c>
      <c r="Y286" s="106">
        <v>376.02949061662196</v>
      </c>
      <c r="Z286" s="106">
        <v>12.780160857908847</v>
      </c>
      <c r="AA286" s="106">
        <v>66162.663492126405</v>
      </c>
      <c r="AB286" s="106">
        <v>646.72507038910373</v>
      </c>
      <c r="AC286" s="106">
        <v>1.5114264559784594</v>
      </c>
      <c r="AD286" s="106">
        <v>36.327503974562795</v>
      </c>
      <c r="AE286" s="106">
        <v>102.30415754923413</v>
      </c>
      <c r="AF286" s="106">
        <v>0.11464966284200293</v>
      </c>
      <c r="AG286" s="106">
        <v>37492</v>
      </c>
      <c r="AH286" s="106">
        <v>23389.44996853367</v>
      </c>
      <c r="AI286" s="106">
        <v>25538.854625550663</v>
      </c>
      <c r="AJ286" s="106">
        <v>27040.72057898049</v>
      </c>
      <c r="AK286" s="104">
        <v>20655.215229704216</v>
      </c>
      <c r="AM286" s="118">
        <v>1433</v>
      </c>
      <c r="AN286" s="118">
        <v>46753</v>
      </c>
      <c r="AO286" s="118">
        <v>312</v>
      </c>
      <c r="AP286" s="118">
        <f t="shared" si="4"/>
        <v>600</v>
      </c>
    </row>
    <row r="287" spans="1:42" ht="12.75">
      <c r="A287" s="106">
        <v>2018</v>
      </c>
      <c r="B287" s="106">
        <v>-223773</v>
      </c>
      <c r="C287" s="106">
        <v>0</v>
      </c>
      <c r="D287" s="106">
        <v>223773</v>
      </c>
      <c r="E287" s="106" t="s">
        <v>640</v>
      </c>
      <c r="F287" s="106" t="s">
        <v>177</v>
      </c>
      <c r="G287" s="106" t="s">
        <v>60</v>
      </c>
      <c r="H287" s="106">
        <v>4</v>
      </c>
      <c r="I287" s="106" t="s">
        <v>24</v>
      </c>
      <c r="J287" s="106">
        <v>1770</v>
      </c>
      <c r="K287" s="106">
        <v>7895</v>
      </c>
      <c r="L287" s="106">
        <v>7063</v>
      </c>
      <c r="M287" s="106">
        <v>0.57999999999999996</v>
      </c>
      <c r="N287" s="106">
        <v>0.26</v>
      </c>
      <c r="O287" s="106">
        <v>0.06</v>
      </c>
      <c r="P287" s="106">
        <v>911</v>
      </c>
      <c r="Q287" s="106">
        <v>112.61156069364162</v>
      </c>
      <c r="R287" s="106">
        <v>6.0499560952893085E-2</v>
      </c>
      <c r="S287" s="106">
        <v>11193.43260115607</v>
      </c>
      <c r="T287" s="106">
        <v>10083.311445086705</v>
      </c>
      <c r="U287" s="106">
        <v>8654.3133755043436</v>
      </c>
      <c r="V287" s="106">
        <v>0.20206687485493982</v>
      </c>
      <c r="W287" s="106">
        <v>71478.819407008079</v>
      </c>
      <c r="X287" s="110">
        <v>0.60808177476882652</v>
      </c>
      <c r="Y287" s="106">
        <v>1013.71875</v>
      </c>
      <c r="Z287" s="106">
        <v>33.7890625</v>
      </c>
      <c r="AA287" s="106">
        <v>23437.636411431613</v>
      </c>
      <c r="AB287" s="106">
        <v>288.46377315157901</v>
      </c>
      <c r="AC287" s="106">
        <v>4.2666418338679151</v>
      </c>
      <c r="AD287" s="106">
        <v>48.467374810318667</v>
      </c>
      <c r="AE287" s="106">
        <v>81.249843456480903</v>
      </c>
      <c r="AF287" s="106">
        <v>9.9173077834845774E-2</v>
      </c>
      <c r="AG287" s="106">
        <v>1770</v>
      </c>
      <c r="AH287" s="106">
        <v>10137.138034682081</v>
      </c>
      <c r="AI287" s="106">
        <v>10149.161156069364</v>
      </c>
      <c r="AJ287" s="106">
        <v>11197.127630057803</v>
      </c>
      <c r="AK287" s="104">
        <v>9863.2436994219661</v>
      </c>
      <c r="AL287" s="119">
        <v>32861652</v>
      </c>
      <c r="AM287" s="118">
        <v>7443</v>
      </c>
      <c r="AN287" s="118">
        <v>129756</v>
      </c>
      <c r="AO287" s="118">
        <v>681</v>
      </c>
      <c r="AP287" s="118">
        <f t="shared" si="4"/>
        <v>0</v>
      </c>
    </row>
    <row r="288" spans="1:42" ht="12.75">
      <c r="A288" s="106">
        <v>2018</v>
      </c>
      <c r="B288" s="106">
        <v>-201654</v>
      </c>
      <c r="C288" s="106">
        <v>0</v>
      </c>
      <c r="D288" s="106">
        <v>201654</v>
      </c>
      <c r="E288" s="106" t="s">
        <v>641</v>
      </c>
      <c r="F288" s="106" t="s">
        <v>642</v>
      </c>
      <c r="G288" s="106" t="s">
        <v>82</v>
      </c>
      <c r="H288" s="106">
        <v>7</v>
      </c>
      <c r="I288" s="106" t="s">
        <v>3641</v>
      </c>
      <c r="J288" s="106">
        <v>29156</v>
      </c>
      <c r="K288" s="106">
        <v>23360</v>
      </c>
      <c r="L288" s="106">
        <v>16108</v>
      </c>
      <c r="M288" s="106">
        <v>0.24</v>
      </c>
      <c r="N288" s="106">
        <v>0.51</v>
      </c>
      <c r="O288" s="106">
        <v>1</v>
      </c>
      <c r="P288" s="106">
        <v>14262</v>
      </c>
      <c r="Q288" s="106">
        <v>8553.1211072664355</v>
      </c>
      <c r="R288" s="106">
        <v>0.31697791090191624</v>
      </c>
      <c r="S288" s="106">
        <v>24531.873569337236</v>
      </c>
      <c r="T288" s="106">
        <v>22668.817141336174</v>
      </c>
      <c r="U288" s="106">
        <v>19431.925472451425</v>
      </c>
      <c r="V288" s="106">
        <v>0.94845020687687254</v>
      </c>
      <c r="W288" s="106">
        <v>78615.713141025641</v>
      </c>
      <c r="X288" s="110">
        <v>0.57600187049532225</v>
      </c>
      <c r="Y288" s="106">
        <v>411.52056555269928</v>
      </c>
      <c r="Z288" s="106">
        <v>14.487146529562983</v>
      </c>
      <c r="AA288" s="106">
        <v>91143.250936329583</v>
      </c>
      <c r="AB288" s="106">
        <v>684.08039654800837</v>
      </c>
      <c r="AC288" s="106">
        <v>1.0971739429160532</v>
      </c>
      <c r="AD288" s="106">
        <v>22.659123055162659</v>
      </c>
      <c r="AE288" s="106">
        <v>133.23470661672908</v>
      </c>
      <c r="AF288" s="106">
        <v>6.0267879085988116E-2</v>
      </c>
      <c r="AG288" s="106">
        <v>28956</v>
      </c>
      <c r="AH288" s="106">
        <v>24635.457013574662</v>
      </c>
      <c r="AI288" s="106">
        <v>25871.04285334043</v>
      </c>
      <c r="AJ288" s="106">
        <v>25204.641203087569</v>
      </c>
      <c r="AK288" s="104">
        <v>19431.925472451425</v>
      </c>
      <c r="AL288" s="118"/>
      <c r="AM288" s="118">
        <v>3535</v>
      </c>
      <c r="AN288" s="118">
        <v>106721</v>
      </c>
      <c r="AO288" s="118">
        <v>702</v>
      </c>
      <c r="AP288" s="118">
        <f t="shared" si="4"/>
        <v>200</v>
      </c>
    </row>
    <row r="289" spans="1:42" ht="12.75">
      <c r="A289" s="106">
        <v>2018</v>
      </c>
      <c r="B289" s="106">
        <v>-158477</v>
      </c>
      <c r="C289" s="106">
        <v>0</v>
      </c>
      <c r="D289" s="106">
        <v>158477</v>
      </c>
      <c r="E289" s="106" t="s">
        <v>644</v>
      </c>
      <c r="F289" s="106" t="s">
        <v>645</v>
      </c>
      <c r="G289" s="106" t="s">
        <v>306</v>
      </c>
      <c r="H289" s="106">
        <v>7</v>
      </c>
      <c r="I289" s="106" t="s">
        <v>3641</v>
      </c>
      <c r="J289" s="106">
        <v>35900</v>
      </c>
      <c r="K289" s="106">
        <v>25897</v>
      </c>
      <c r="L289" s="106">
        <v>22988</v>
      </c>
      <c r="M289" s="106">
        <v>0.33</v>
      </c>
      <c r="N289" s="106">
        <v>0.69</v>
      </c>
      <c r="O289" s="106">
        <v>1</v>
      </c>
      <c r="P289" s="106">
        <v>21969</v>
      </c>
      <c r="Q289" s="106">
        <v>18591.664516129033</v>
      </c>
      <c r="R289" s="106">
        <v>0.6000270685020499</v>
      </c>
      <c r="S289" s="106">
        <v>28551.032258064515</v>
      </c>
      <c r="T289" s="106">
        <v>40110.6</v>
      </c>
      <c r="U289" s="106">
        <v>33451.823469495044</v>
      </c>
      <c r="V289" s="106">
        <v>0.37047442787660373</v>
      </c>
      <c r="W289" s="106">
        <v>68691.845238095237</v>
      </c>
      <c r="X289" s="110">
        <v>0.46404876001726197</v>
      </c>
      <c r="Y289" s="106">
        <v>285.60621761658035</v>
      </c>
      <c r="Z289" s="106">
        <v>9.6373056994818658</v>
      </c>
      <c r="AA289" s="106">
        <v>153630.59667471799</v>
      </c>
      <c r="AB289" s="106">
        <v>1128.7760178016181</v>
      </c>
      <c r="AC289" s="106">
        <v>0.65091200688187112</v>
      </c>
      <c r="AD289" s="106">
        <v>24.545454545454547</v>
      </c>
      <c r="AE289" s="106">
        <v>136.1037037037037</v>
      </c>
      <c r="AF289" s="106">
        <v>1.5160921450200841E-2</v>
      </c>
      <c r="AG289" s="106">
        <v>35900</v>
      </c>
      <c r="AH289" s="106">
        <v>21634.674193548388</v>
      </c>
      <c r="AI289" s="106">
        <v>28550.879032258064</v>
      </c>
      <c r="AJ289" s="106">
        <v>43790.761290322582</v>
      </c>
      <c r="AK289" s="104">
        <v>33903.269354838711</v>
      </c>
      <c r="AL289" s="118"/>
      <c r="AM289" s="118">
        <v>533</v>
      </c>
      <c r="AN289" s="118">
        <v>18374</v>
      </c>
      <c r="AO289" s="118">
        <v>103</v>
      </c>
      <c r="AP289" s="118">
        <f t="shared" si="4"/>
        <v>0</v>
      </c>
    </row>
    <row r="290" spans="1:42" ht="12.75">
      <c r="A290" s="106">
        <v>2018</v>
      </c>
      <c r="B290" s="106">
        <v>-183974</v>
      </c>
      <c r="C290" s="106">
        <v>0</v>
      </c>
      <c r="D290" s="106">
        <v>183974</v>
      </c>
      <c r="E290" s="106" t="s">
        <v>4055</v>
      </c>
      <c r="F290" s="106" t="s">
        <v>643</v>
      </c>
      <c r="G290" s="106" t="s">
        <v>234</v>
      </c>
      <c r="H290" s="106">
        <v>6</v>
      </c>
      <c r="I290" s="106" t="s">
        <v>3640</v>
      </c>
      <c r="J290" s="106">
        <v>32580</v>
      </c>
      <c r="K290" s="106">
        <v>22257</v>
      </c>
      <c r="L290" s="106">
        <v>13586</v>
      </c>
      <c r="M290" s="106">
        <v>0.46</v>
      </c>
      <c r="N290" s="106">
        <v>0.74</v>
      </c>
      <c r="O290" s="106">
        <v>1</v>
      </c>
      <c r="P290" s="106">
        <v>18383</v>
      </c>
      <c r="Q290" s="106">
        <v>11923.621558289396</v>
      </c>
      <c r="R290" s="106">
        <v>0.43155117030586149</v>
      </c>
      <c r="S290" s="106">
        <v>24479.570591681313</v>
      </c>
      <c r="T290" s="106">
        <v>25058.193907439952</v>
      </c>
      <c r="U290" s="106">
        <v>22053.01145634483</v>
      </c>
      <c r="V290" s="106">
        <v>0.71219571852435726</v>
      </c>
      <c r="W290" s="106">
        <v>77379.338896020534</v>
      </c>
      <c r="X290" s="110">
        <v>0.46974041935471728</v>
      </c>
      <c r="Y290" s="106">
        <v>390.94148936170211</v>
      </c>
      <c r="Z290" s="106">
        <v>13.619680851063828</v>
      </c>
      <c r="AA290" s="106">
        <v>68320.309538984802</v>
      </c>
      <c r="AB290" s="106">
        <v>768.28626792890782</v>
      </c>
      <c r="AC290" s="106">
        <v>1.4636936026019935</v>
      </c>
      <c r="AD290" s="106">
        <v>36.930294906166225</v>
      </c>
      <c r="AE290" s="106">
        <v>88.92558983666062</v>
      </c>
      <c r="AF290" s="106">
        <v>1.0270880927191034E-2</v>
      </c>
      <c r="AG290" s="106">
        <v>31156</v>
      </c>
      <c r="AH290" s="106">
        <v>21922.91388400703</v>
      </c>
      <c r="AI290" s="106">
        <v>24479.570591681313</v>
      </c>
      <c r="AJ290" s="106">
        <v>25341.347978910369</v>
      </c>
      <c r="AK290" s="104">
        <v>22157.550673696544</v>
      </c>
      <c r="AL290" s="119">
        <v>58461</v>
      </c>
      <c r="AM290" s="118">
        <v>1369</v>
      </c>
      <c r="AN290" s="118">
        <v>48998</v>
      </c>
      <c r="AO290" s="118">
        <v>381</v>
      </c>
      <c r="AP290" s="118">
        <f t="shared" si="4"/>
        <v>1424</v>
      </c>
    </row>
    <row r="291" spans="1:42" ht="12.75">
      <c r="A291" s="106">
        <v>2018</v>
      </c>
      <c r="B291" s="106">
        <v>-100760</v>
      </c>
      <c r="C291" s="106">
        <v>0</v>
      </c>
      <c r="D291" s="106">
        <v>100760</v>
      </c>
      <c r="E291" s="106" t="s">
        <v>646</v>
      </c>
      <c r="F291" s="106" t="s">
        <v>647</v>
      </c>
      <c r="G291" s="106" t="s">
        <v>85</v>
      </c>
      <c r="H291" s="106">
        <v>4</v>
      </c>
      <c r="I291" s="106" t="s">
        <v>24</v>
      </c>
      <c r="J291" s="106">
        <v>4440</v>
      </c>
      <c r="K291" s="106">
        <v>2968</v>
      </c>
      <c r="L291" s="106">
        <v>2228</v>
      </c>
      <c r="M291" s="106">
        <v>0.57999999999999996</v>
      </c>
      <c r="N291" s="106">
        <v>0.17</v>
      </c>
      <c r="O291" s="106">
        <v>0.3</v>
      </c>
      <c r="P291" s="106">
        <v>5476</v>
      </c>
      <c r="Q291" s="106">
        <v>869.30225330225335</v>
      </c>
      <c r="R291" s="106">
        <v>0.1898012162429473</v>
      </c>
      <c r="S291" s="106">
        <v>15110.358197358197</v>
      </c>
      <c r="T291" s="106">
        <v>14500.682983682984</v>
      </c>
      <c r="U291" s="106">
        <v>12980.232126950763</v>
      </c>
      <c r="V291" s="106">
        <v>0.28587813626691116</v>
      </c>
      <c r="W291" s="106">
        <v>68123.8125</v>
      </c>
      <c r="X291" s="110">
        <v>0.58405254764143411</v>
      </c>
      <c r="Y291" s="106">
        <v>472.93469387755101</v>
      </c>
      <c r="Z291" s="106">
        <v>15.759183673469387</v>
      </c>
      <c r="AA291" s="106">
        <v>38403.583327323293</v>
      </c>
      <c r="AB291" s="106">
        <v>432.52877164864543</v>
      </c>
      <c r="AC291" s="106">
        <v>2.6039236794044744</v>
      </c>
      <c r="AD291" s="106">
        <v>35.365853658536587</v>
      </c>
      <c r="AE291" s="106">
        <v>88.788505747126436</v>
      </c>
      <c r="AF291" s="106">
        <v>0.14630452549203182</v>
      </c>
      <c r="AG291" s="106">
        <v>3570</v>
      </c>
      <c r="AH291" s="106">
        <v>13982.034965034965</v>
      </c>
      <c r="AI291" s="106">
        <v>14366.861693861694</v>
      </c>
      <c r="AJ291" s="106">
        <v>15117.020979020979</v>
      </c>
      <c r="AK291" s="104">
        <v>14480.887334887335</v>
      </c>
      <c r="AL291" s="118">
        <v>8423240</v>
      </c>
      <c r="AM291" s="118">
        <v>1835</v>
      </c>
      <c r="AN291" s="118">
        <v>38623</v>
      </c>
      <c r="AO291" s="118">
        <v>206</v>
      </c>
      <c r="AP291" s="118">
        <f t="shared" si="4"/>
        <v>870</v>
      </c>
    </row>
    <row r="292" spans="1:42" ht="12.75">
      <c r="A292" s="106">
        <v>2018</v>
      </c>
      <c r="B292" s="106">
        <v>-104346</v>
      </c>
      <c r="C292" s="106">
        <v>0</v>
      </c>
      <c r="D292" s="106">
        <v>104346</v>
      </c>
      <c r="E292" s="106" t="s">
        <v>648</v>
      </c>
      <c r="F292" s="106" t="s">
        <v>649</v>
      </c>
      <c r="G292" s="106" t="s">
        <v>147</v>
      </c>
      <c r="H292" s="106">
        <v>4</v>
      </c>
      <c r="I292" s="106" t="s">
        <v>24</v>
      </c>
      <c r="J292" s="106">
        <v>2580</v>
      </c>
      <c r="K292" s="106">
        <v>5028</v>
      </c>
      <c r="L292" s="106">
        <v>4180</v>
      </c>
      <c r="M292" s="106">
        <v>0.53</v>
      </c>
      <c r="N292" s="106">
        <v>0.1</v>
      </c>
      <c r="O292" s="106">
        <v>0.21</v>
      </c>
      <c r="P292" s="106">
        <v>3548</v>
      </c>
      <c r="Q292" s="106">
        <v>439.81309615880383</v>
      </c>
      <c r="R292" s="106">
        <v>0.15242045597797113</v>
      </c>
      <c r="S292" s="106">
        <v>21418.825986078886</v>
      </c>
      <c r="T292" s="106">
        <v>19808.817736530033</v>
      </c>
      <c r="U292" s="106">
        <v>16096.066906383559</v>
      </c>
      <c r="V292" s="106">
        <v>0.151944714892668</v>
      </c>
      <c r="W292" s="106">
        <v>72971.203809523809</v>
      </c>
      <c r="X292" s="110">
        <v>0.49857727393713175</v>
      </c>
      <c r="Y292" s="106">
        <v>622.35294117647061</v>
      </c>
      <c r="Z292" s="106">
        <v>20.743315508021389</v>
      </c>
      <c r="AA292" s="106">
        <v>48893.22124499752</v>
      </c>
      <c r="AB292" s="106">
        <v>536.48946150422603</v>
      </c>
      <c r="AC292" s="106">
        <v>2.0452733007488524</v>
      </c>
      <c r="AD292" s="106">
        <v>42.298774428618749</v>
      </c>
      <c r="AE292" s="106">
        <v>91.135473766640558</v>
      </c>
      <c r="AF292" s="106">
        <v>6.5254706283477765E-2</v>
      </c>
      <c r="AG292" s="106">
        <v>2580</v>
      </c>
      <c r="AH292" s="106">
        <v>19957.841453982986</v>
      </c>
      <c r="AI292" s="106">
        <v>19957.841453982986</v>
      </c>
      <c r="AJ292" s="106">
        <v>21624.901263212167</v>
      </c>
      <c r="AK292" s="104">
        <v>17840.438515081205</v>
      </c>
      <c r="AL292" s="118">
        <v>60324875</v>
      </c>
      <c r="AM292" s="118">
        <v>5405</v>
      </c>
      <c r="AN292" s="118">
        <v>116380</v>
      </c>
      <c r="AO292" s="118">
        <v>541</v>
      </c>
      <c r="AP292" s="118">
        <f t="shared" si="4"/>
        <v>0</v>
      </c>
    </row>
    <row r="293" spans="1:42" ht="12.75">
      <c r="A293" s="106">
        <v>2018</v>
      </c>
      <c r="B293" s="106">
        <v>-106713</v>
      </c>
      <c r="C293" s="106">
        <v>0</v>
      </c>
      <c r="D293" s="106">
        <v>106713</v>
      </c>
      <c r="E293" s="106" t="s">
        <v>650</v>
      </c>
      <c r="F293" s="106" t="s">
        <v>651</v>
      </c>
      <c r="G293" s="106" t="s">
        <v>200</v>
      </c>
      <c r="H293" s="106">
        <v>7</v>
      </c>
      <c r="I293" s="106" t="s">
        <v>3641</v>
      </c>
      <c r="J293" s="106">
        <v>15750</v>
      </c>
      <c r="K293" s="106">
        <v>16517</v>
      </c>
      <c r="L293" s="106">
        <v>16565</v>
      </c>
      <c r="M293" s="106">
        <v>0.56000000000000005</v>
      </c>
      <c r="N293" s="106">
        <v>0.73</v>
      </c>
      <c r="O293" s="106">
        <v>0.96</v>
      </c>
      <c r="P293" s="106">
        <v>5998</v>
      </c>
      <c r="Q293" s="106">
        <v>4592.6015151515148</v>
      </c>
      <c r="R293" s="106">
        <v>0.31733447238506229</v>
      </c>
      <c r="S293" s="106">
        <v>14420.466666666667</v>
      </c>
      <c r="T293" s="106">
        <v>17044.610606060607</v>
      </c>
      <c r="U293" s="106">
        <v>11734.825757575758</v>
      </c>
      <c r="V293" s="106">
        <v>0.84192390301595166</v>
      </c>
      <c r="W293" s="106">
        <v>44398.880597014926</v>
      </c>
      <c r="X293" s="110">
        <v>0.52886618475243619</v>
      </c>
      <c r="Y293" s="106">
        <v>353.76785714285717</v>
      </c>
      <c r="Z293" s="106">
        <v>11.785714285714286</v>
      </c>
      <c r="AA293" s="106">
        <v>56123.079710144928</v>
      </c>
      <c r="AB293" s="106">
        <v>390.94366765938116</v>
      </c>
      <c r="AC293" s="106">
        <v>1.7817981571300656</v>
      </c>
      <c r="AD293" s="106">
        <v>21.036585365853657</v>
      </c>
      <c r="AE293" s="106">
        <v>143.55797101449275</v>
      </c>
      <c r="AF293" s="106">
        <v>-8.6680719072636456E-2</v>
      </c>
      <c r="AG293" s="106">
        <v>14250</v>
      </c>
      <c r="AH293" s="106">
        <v>12578.992424242424</v>
      </c>
      <c r="AI293" s="106">
        <v>14420.466666666667</v>
      </c>
      <c r="AJ293" s="106">
        <v>14507.595454545455</v>
      </c>
      <c r="AK293" s="104">
        <v>11734.825757575758</v>
      </c>
      <c r="AM293" s="118">
        <v>745</v>
      </c>
      <c r="AN293" s="118">
        <v>19811</v>
      </c>
      <c r="AO293" s="118">
        <v>138</v>
      </c>
      <c r="AP293" s="118">
        <f t="shared" si="4"/>
        <v>1500</v>
      </c>
    </row>
    <row r="294" spans="1:42" ht="12.75">
      <c r="A294" s="106">
        <v>2018</v>
      </c>
      <c r="B294" s="106">
        <v>-198251</v>
      </c>
      <c r="C294" s="106">
        <v>0</v>
      </c>
      <c r="D294" s="106">
        <v>198251</v>
      </c>
      <c r="E294" s="106" t="s">
        <v>652</v>
      </c>
      <c r="F294" s="106" t="s">
        <v>653</v>
      </c>
      <c r="G294" s="106" t="s">
        <v>90</v>
      </c>
      <c r="H294" s="106">
        <v>4</v>
      </c>
      <c r="I294" s="106" t="s">
        <v>24</v>
      </c>
      <c r="J294" s="106">
        <v>2544</v>
      </c>
      <c r="K294" s="106">
        <v>6281</v>
      </c>
      <c r="L294" s="106">
        <v>4174</v>
      </c>
      <c r="M294" s="106">
        <v>0.55000000000000004</v>
      </c>
      <c r="N294" s="106">
        <v>0</v>
      </c>
      <c r="O294" s="106">
        <v>0.12</v>
      </c>
      <c r="P294" s="106">
        <v>1291</v>
      </c>
      <c r="Q294" s="106">
        <v>63.793820558526441</v>
      </c>
      <c r="R294" s="106">
        <v>2.9520415939127423E-2</v>
      </c>
      <c r="S294" s="106">
        <v>14497.673796791443</v>
      </c>
      <c r="T294" s="106">
        <v>16332.267379679144</v>
      </c>
      <c r="U294" s="106">
        <v>11451.437794659189</v>
      </c>
      <c r="V294" s="106">
        <v>0.1831397113693298</v>
      </c>
      <c r="W294" s="106">
        <v>76404.588705077011</v>
      </c>
      <c r="X294" s="110">
        <v>0.81211869987804508</v>
      </c>
      <c r="Y294" s="106">
        <v>456.97285067873304</v>
      </c>
      <c r="Z294" s="106">
        <v>15.23076923076923</v>
      </c>
      <c r="AA294" s="106">
        <v>26437.269970386031</v>
      </c>
      <c r="AB294" s="106">
        <v>381.67301657398019</v>
      </c>
      <c r="AC294" s="106">
        <v>3.7825388215960269</v>
      </c>
      <c r="AD294" s="106">
        <v>48.778855804616924</v>
      </c>
      <c r="AE294" s="106">
        <v>69.266803840877913</v>
      </c>
      <c r="AF294" s="106">
        <v>0.29106007448416837</v>
      </c>
      <c r="AG294" s="106">
        <v>2432</v>
      </c>
      <c r="AH294" s="106">
        <v>13292.355317884731</v>
      </c>
      <c r="AI294" s="106">
        <v>13292.355317884731</v>
      </c>
      <c r="AJ294" s="106">
        <v>14503.587344028521</v>
      </c>
      <c r="AK294" s="104">
        <v>13944.035056446821</v>
      </c>
      <c r="AL294" s="119">
        <v>30858341</v>
      </c>
      <c r="AM294" s="118">
        <v>5187</v>
      </c>
      <c r="AN294" s="118">
        <v>100991</v>
      </c>
      <c r="AO294" s="118">
        <v>598</v>
      </c>
      <c r="AP294" s="118">
        <f t="shared" si="4"/>
        <v>112</v>
      </c>
    </row>
    <row r="295" spans="1:42" ht="12.75">
      <c r="A295" s="106">
        <v>2018</v>
      </c>
      <c r="B295" s="106">
        <v>-218858</v>
      </c>
      <c r="C295" s="106">
        <v>0</v>
      </c>
      <c r="D295" s="106">
        <v>218858</v>
      </c>
      <c r="E295" s="106" t="s">
        <v>654</v>
      </c>
      <c r="F295" s="106" t="s">
        <v>655</v>
      </c>
      <c r="G295" s="106" t="s">
        <v>79</v>
      </c>
      <c r="H295" s="106">
        <v>4</v>
      </c>
      <c r="I295" s="106" t="s">
        <v>24</v>
      </c>
      <c r="J295" s="106">
        <v>4998</v>
      </c>
      <c r="K295" s="106">
        <v>5416</v>
      </c>
      <c r="L295" s="106">
        <v>5102</v>
      </c>
      <c r="M295" s="106">
        <v>0.67</v>
      </c>
      <c r="N295" s="106">
        <v>0.2</v>
      </c>
      <c r="O295" s="106">
        <v>0.03</v>
      </c>
      <c r="P295" s="106">
        <v>881</v>
      </c>
      <c r="Q295" s="106">
        <v>1.5396458814472671</v>
      </c>
      <c r="R295" s="106">
        <v>2.8503100531646958E-4</v>
      </c>
      <c r="S295" s="106">
        <v>14366.992686682062</v>
      </c>
      <c r="T295" s="106">
        <v>15239.083140877598</v>
      </c>
      <c r="U295" s="106">
        <v>12660.731716705157</v>
      </c>
      <c r="V295" s="106">
        <v>0.4265266079302199</v>
      </c>
      <c r="W295" s="106">
        <v>74532.354085603118</v>
      </c>
      <c r="X295" s="110">
        <v>0.48381572158900815</v>
      </c>
      <c r="Y295" s="106">
        <v>601.12596401028281</v>
      </c>
      <c r="Z295" s="106">
        <v>20.03598971722365</v>
      </c>
      <c r="AA295" s="106">
        <v>49761.847201210287</v>
      </c>
      <c r="AB295" s="106">
        <v>421.99190465193851</v>
      </c>
      <c r="AC295" s="106">
        <v>2.0095717025064102</v>
      </c>
      <c r="AD295" s="106">
        <v>31.223429381199814</v>
      </c>
      <c r="AE295" s="106">
        <v>117.92133131618759</v>
      </c>
      <c r="AF295" s="106">
        <v>-4.1292881296360093E-2</v>
      </c>
      <c r="AG295" s="106">
        <v>4998</v>
      </c>
      <c r="AH295" s="106">
        <v>14556.876443418014</v>
      </c>
      <c r="AI295" s="106">
        <v>14556.876443418014</v>
      </c>
      <c r="AJ295" s="106">
        <v>14442.894149345651</v>
      </c>
      <c r="AK295" s="104">
        <v>14465.254041570439</v>
      </c>
      <c r="AL295" s="118">
        <v>14514060</v>
      </c>
      <c r="AM295" s="118">
        <v>3720</v>
      </c>
      <c r="AN295" s="118">
        <v>77946</v>
      </c>
      <c r="AO295" s="118">
        <v>369</v>
      </c>
      <c r="AP295" s="118">
        <f t="shared" si="4"/>
        <v>0</v>
      </c>
    </row>
    <row r="296" spans="1:42" ht="12.75">
      <c r="A296" s="106">
        <v>2018</v>
      </c>
      <c r="B296" s="106">
        <v>-154855</v>
      </c>
      <c r="C296" s="106">
        <v>0</v>
      </c>
      <c r="D296" s="106">
        <v>154855</v>
      </c>
      <c r="E296" s="106" t="s">
        <v>656</v>
      </c>
      <c r="F296" s="106" t="s">
        <v>657</v>
      </c>
      <c r="G296" s="106" t="s">
        <v>129</v>
      </c>
      <c r="H296" s="106">
        <v>7</v>
      </c>
      <c r="I296" s="106" t="s">
        <v>3641</v>
      </c>
      <c r="J296" s="106">
        <v>18240</v>
      </c>
      <c r="K296" s="106">
        <v>13184</v>
      </c>
      <c r="L296" s="106">
        <v>12178</v>
      </c>
      <c r="M296" s="106">
        <v>0.57999999999999996</v>
      </c>
      <c r="N296" s="106">
        <v>0.71</v>
      </c>
      <c r="O296" s="106">
        <v>0.78</v>
      </c>
      <c r="P296" s="106">
        <v>13761</v>
      </c>
      <c r="Q296" s="106">
        <v>6882.2638888888887</v>
      </c>
      <c r="R296" s="106">
        <v>0.36465021879837323</v>
      </c>
      <c r="S296" s="106">
        <v>18931.968055555557</v>
      </c>
      <c r="T296" s="106">
        <v>20874.575000000001</v>
      </c>
      <c r="U296" s="106">
        <v>16436.838888888888</v>
      </c>
      <c r="V296" s="106">
        <v>0.72954053749859304</v>
      </c>
      <c r="W296" s="106">
        <v>52302.157407407409</v>
      </c>
      <c r="X296" s="110">
        <v>0.37583153722224816</v>
      </c>
      <c r="Y296" s="106">
        <v>483.3582089552238</v>
      </c>
      <c r="Z296" s="106">
        <v>16.119402985074625</v>
      </c>
      <c r="AA296" s="106">
        <v>61960.858638743455</v>
      </c>
      <c r="AB296" s="106">
        <v>548.14840203798053</v>
      </c>
      <c r="AC296" s="106">
        <v>1.6139221146537028</v>
      </c>
      <c r="AD296" s="106">
        <v>24.393358876117496</v>
      </c>
      <c r="AE296" s="106">
        <v>113.03664921465969</v>
      </c>
      <c r="AF296" s="106">
        <v>-0.15960286950189304</v>
      </c>
      <c r="AG296" s="106">
        <v>17240</v>
      </c>
      <c r="AH296" s="106">
        <v>17596.87777777778</v>
      </c>
      <c r="AI296" s="106">
        <v>18931.968055555557</v>
      </c>
      <c r="AJ296" s="106">
        <v>19103.640277777777</v>
      </c>
      <c r="AK296" s="104">
        <v>16436.838888888888</v>
      </c>
      <c r="AL296" s="118"/>
      <c r="AM296" s="118">
        <v>865</v>
      </c>
      <c r="AN296" s="118">
        <v>21590</v>
      </c>
      <c r="AO296" s="118">
        <v>191</v>
      </c>
      <c r="AP296" s="118">
        <f t="shared" si="4"/>
        <v>1000</v>
      </c>
    </row>
    <row r="297" spans="1:42" ht="12.75">
      <c r="A297" s="106">
        <v>2018</v>
      </c>
      <c r="B297" s="106">
        <v>-153108</v>
      </c>
      <c r="C297" s="106">
        <v>0</v>
      </c>
      <c r="D297" s="106">
        <v>153108</v>
      </c>
      <c r="E297" s="106" t="s">
        <v>658</v>
      </c>
      <c r="F297" s="106" t="s">
        <v>659</v>
      </c>
      <c r="G297" s="106" t="s">
        <v>447</v>
      </c>
      <c r="H297" s="106">
        <v>7</v>
      </c>
      <c r="I297" s="106" t="s">
        <v>3641</v>
      </c>
      <c r="J297" s="106">
        <v>35930</v>
      </c>
      <c r="K297" s="106">
        <v>22753</v>
      </c>
      <c r="L297" s="106">
        <v>17053</v>
      </c>
      <c r="M297" s="106">
        <v>0.34</v>
      </c>
      <c r="N297" s="106">
        <v>0.84</v>
      </c>
      <c r="O297" s="106">
        <v>1</v>
      </c>
      <c r="P297" s="106">
        <v>23219</v>
      </c>
      <c r="Q297" s="106">
        <v>21328.114189756507</v>
      </c>
      <c r="R297" s="106">
        <v>0.59258517586191239</v>
      </c>
      <c r="S297" s="106">
        <v>32401.580184718725</v>
      </c>
      <c r="T297" s="106">
        <v>38570.88581024349</v>
      </c>
      <c r="U297" s="106">
        <v>28508.554108187305</v>
      </c>
      <c r="V297" s="106">
        <v>0.51435540755969877</v>
      </c>
      <c r="W297" s="106">
        <v>60501.712871287127</v>
      </c>
      <c r="X297" s="110">
        <v>0.5320808895917698</v>
      </c>
      <c r="Y297" s="106">
        <v>320.88323353293413</v>
      </c>
      <c r="Z297" s="106">
        <v>10.697604790419161</v>
      </c>
      <c r="AA297" s="106">
        <v>108132.76414920727</v>
      </c>
      <c r="AB297" s="106">
        <v>950.41813695874271</v>
      </c>
      <c r="AC297" s="106">
        <v>0.92478908485142153</v>
      </c>
      <c r="AD297" s="106">
        <v>25.88623248145095</v>
      </c>
      <c r="AE297" s="106">
        <v>113.77388535031847</v>
      </c>
      <c r="AF297" s="106">
        <v>-2.047248263794339E-3</v>
      </c>
      <c r="AG297" s="106">
        <v>35930</v>
      </c>
      <c r="AH297" s="106">
        <v>27665.231738035265</v>
      </c>
      <c r="AI297" s="106">
        <v>32401.580184718725</v>
      </c>
      <c r="AJ297" s="106">
        <v>38376.301427371953</v>
      </c>
      <c r="AK297" s="104">
        <v>30334.30898404702</v>
      </c>
      <c r="AL297" s="118"/>
      <c r="AM297" s="118">
        <v>1237</v>
      </c>
      <c r="AN297" s="118">
        <v>35725</v>
      </c>
      <c r="AO297" s="118">
        <v>314</v>
      </c>
      <c r="AP297" s="118">
        <f t="shared" si="4"/>
        <v>0</v>
      </c>
    </row>
    <row r="298" spans="1:42" ht="12.75">
      <c r="A298" s="106">
        <v>2018</v>
      </c>
      <c r="B298" s="106">
        <v>-180902</v>
      </c>
      <c r="C298" s="106">
        <v>0</v>
      </c>
      <c r="D298" s="106">
        <v>180902</v>
      </c>
      <c r="E298" s="106" t="s">
        <v>660</v>
      </c>
      <c r="F298" s="106" t="s">
        <v>661</v>
      </c>
      <c r="G298" s="106" t="s">
        <v>323</v>
      </c>
      <c r="H298" s="106">
        <v>4</v>
      </c>
      <c r="I298" s="106" t="s">
        <v>24</v>
      </c>
      <c r="J298" s="106">
        <v>3000</v>
      </c>
      <c r="K298" s="106">
        <v>8220</v>
      </c>
      <c r="L298" s="106">
        <v>6640</v>
      </c>
      <c r="M298" s="106">
        <v>0.52</v>
      </c>
      <c r="N298" s="106">
        <v>0.34</v>
      </c>
      <c r="O298" s="106">
        <v>0.35</v>
      </c>
      <c r="P298" s="106">
        <v>827</v>
      </c>
      <c r="Q298" s="106">
        <v>153.20620592383639</v>
      </c>
      <c r="R298" s="106">
        <v>4.9601559877894802E-2</v>
      </c>
      <c r="S298" s="106">
        <v>23497.168406205925</v>
      </c>
      <c r="T298" s="106">
        <v>22550.689139633287</v>
      </c>
      <c r="U298" s="106">
        <v>19949.551480959097</v>
      </c>
      <c r="V298" s="106">
        <v>0.1471477419205228</v>
      </c>
      <c r="W298" s="106">
        <v>75597.50802434975</v>
      </c>
      <c r="X298" s="110">
        <v>0.56959782176603535</v>
      </c>
      <c r="Y298" s="106">
        <v>437.06301369863019</v>
      </c>
      <c r="Z298" s="106">
        <v>14.568493150684933</v>
      </c>
      <c r="AA298" s="106">
        <v>34066.069364161849</v>
      </c>
      <c r="AB298" s="106">
        <v>664.97254400481415</v>
      </c>
      <c r="AC298" s="106">
        <v>2.9354722122770611</v>
      </c>
      <c r="AD298" s="106">
        <v>62.737987307343616</v>
      </c>
      <c r="AE298" s="106">
        <v>51.229287090558763</v>
      </c>
      <c r="AF298" s="106">
        <v>0.1128464113313144</v>
      </c>
      <c r="AG298" s="106">
        <v>2640</v>
      </c>
      <c r="AH298" s="106">
        <v>21178.771791255291</v>
      </c>
      <c r="AI298" s="106">
        <v>22871.29647390691</v>
      </c>
      <c r="AJ298" s="106">
        <v>23683.911706629056</v>
      </c>
      <c r="AK298" s="104">
        <v>20833.947813822284</v>
      </c>
      <c r="AL298" s="118">
        <v>51215056</v>
      </c>
      <c r="AM298" s="118">
        <v>6082</v>
      </c>
      <c r="AN298" s="118">
        <v>106352</v>
      </c>
      <c r="AO298" s="118">
        <v>621</v>
      </c>
      <c r="AP298" s="118">
        <f t="shared" si="4"/>
        <v>360</v>
      </c>
    </row>
    <row r="299" spans="1:42" ht="12.75">
      <c r="A299" s="106">
        <v>2018</v>
      </c>
      <c r="B299" s="106">
        <v>-128771</v>
      </c>
      <c r="C299" s="106">
        <v>0</v>
      </c>
      <c r="D299" s="106">
        <v>128771</v>
      </c>
      <c r="E299" s="106" t="s">
        <v>662</v>
      </c>
      <c r="F299" s="106" t="s">
        <v>663</v>
      </c>
      <c r="G299" s="106" t="s">
        <v>99</v>
      </c>
      <c r="H299" s="106">
        <v>2</v>
      </c>
      <c r="I299" s="106" t="s">
        <v>25</v>
      </c>
      <c r="J299" s="106">
        <v>10225</v>
      </c>
      <c r="K299" s="106">
        <v>15469</v>
      </c>
      <c r="L299" s="106">
        <v>12674</v>
      </c>
      <c r="M299" s="106">
        <v>0.4</v>
      </c>
      <c r="N299" s="106">
        <v>0.64</v>
      </c>
      <c r="O299" s="106">
        <v>0.61</v>
      </c>
      <c r="P299" s="106">
        <v>3566</v>
      </c>
      <c r="Q299" s="106">
        <v>2120.8378680203045</v>
      </c>
      <c r="R299" s="106">
        <v>0.20368623351342494</v>
      </c>
      <c r="S299" s="106">
        <v>23755.350862944164</v>
      </c>
      <c r="T299" s="106">
        <v>26348.867411167514</v>
      </c>
      <c r="U299" s="106">
        <v>21161.390025649162</v>
      </c>
      <c r="V299" s="106">
        <v>0.39181929944954419</v>
      </c>
      <c r="W299" s="106">
        <v>137922.32804385459</v>
      </c>
      <c r="X299" s="110">
        <v>0.61396512158620842</v>
      </c>
      <c r="Y299" s="106">
        <v>468.17550574084203</v>
      </c>
      <c r="Z299" s="106">
        <v>16.156369600874797</v>
      </c>
      <c r="AA299" s="106">
        <v>81326.450157098807</v>
      </c>
      <c r="AB299" s="106">
        <v>730.26297687582723</v>
      </c>
      <c r="AC299" s="106">
        <v>1.2296122578426745</v>
      </c>
      <c r="AD299" s="106">
        <v>26.570599212108647</v>
      </c>
      <c r="AE299" s="106">
        <v>111.36597737026922</v>
      </c>
      <c r="AF299" s="106">
        <v>6.0010218110527758E-2</v>
      </c>
      <c r="AG299" s="106">
        <v>5424</v>
      </c>
      <c r="AH299" s="106">
        <v>20987.559492385786</v>
      </c>
      <c r="AI299" s="106">
        <v>21304.205989847716</v>
      </c>
      <c r="AJ299" s="106">
        <v>23870.658883248732</v>
      </c>
      <c r="AK299" s="104">
        <v>25209.312081218275</v>
      </c>
      <c r="AL299" s="118">
        <v>78050460</v>
      </c>
      <c r="AM299" s="118">
        <v>9554</v>
      </c>
      <c r="AN299" s="118">
        <v>285431</v>
      </c>
      <c r="AO299" s="118">
        <v>1861</v>
      </c>
      <c r="AP299" s="118">
        <f t="shared" si="4"/>
        <v>4801</v>
      </c>
    </row>
    <row r="300" spans="1:42" ht="12.75">
      <c r="A300" s="106">
        <v>2018</v>
      </c>
      <c r="B300" s="106">
        <v>-483045</v>
      </c>
      <c r="C300" s="106">
        <v>0</v>
      </c>
      <c r="D300" s="106">
        <v>483045</v>
      </c>
      <c r="E300" s="106" t="s">
        <v>664</v>
      </c>
      <c r="F300" s="106" t="s">
        <v>665</v>
      </c>
      <c r="G300" s="106" t="s">
        <v>63</v>
      </c>
      <c r="H300" s="106">
        <v>4</v>
      </c>
      <c r="I300" s="106" t="s">
        <v>24</v>
      </c>
      <c r="J300" s="106">
        <v>2774</v>
      </c>
      <c r="K300" s="106">
        <v>2325</v>
      </c>
      <c r="L300" s="106">
        <v>1576</v>
      </c>
      <c r="M300" s="106">
        <v>0.72</v>
      </c>
      <c r="N300" s="106">
        <v>0.28000000000000003</v>
      </c>
      <c r="O300" s="106">
        <v>0.03</v>
      </c>
      <c r="P300" s="106">
        <v>2068</v>
      </c>
      <c r="Q300" s="106"/>
      <c r="R300" s="106"/>
      <c r="S300" s="106">
        <v>11906.624267187777</v>
      </c>
      <c r="T300" s="106">
        <v>11943.57257061645</v>
      </c>
      <c r="U300" s="106">
        <v>9420.8627471438958</v>
      </c>
      <c r="V300" s="106">
        <v>0.33870135149965602</v>
      </c>
      <c r="W300" s="106">
        <v>56314.503607503604</v>
      </c>
      <c r="X300" s="110">
        <v>0.58048097905753016</v>
      </c>
      <c r="Y300" s="106">
        <v>494.26536585365852</v>
      </c>
      <c r="Z300" s="106">
        <v>16.47512195121951</v>
      </c>
      <c r="AA300" s="106">
        <v>10866.81073845758</v>
      </c>
      <c r="AB300" s="106">
        <v>314.02132005917423</v>
      </c>
      <c r="AC300" s="106">
        <v>9.2023319819218514</v>
      </c>
      <c r="AD300" s="106">
        <v>116.1904761904762</v>
      </c>
      <c r="AE300" s="106">
        <v>34.605327868852456</v>
      </c>
      <c r="AF300" s="106">
        <v>0.33194352517771852</v>
      </c>
      <c r="AG300" s="106">
        <v>2136</v>
      </c>
      <c r="AH300" s="106">
        <v>9557.8310534730863</v>
      </c>
      <c r="AI300" s="106">
        <v>9767.7486232012798</v>
      </c>
      <c r="AJ300" s="106">
        <v>11906.645052407177</v>
      </c>
      <c r="AK300" s="104">
        <v>11943.57257061645</v>
      </c>
      <c r="AL300" s="119">
        <v>23913462</v>
      </c>
      <c r="AM300" s="118">
        <v>8045</v>
      </c>
      <c r="AN300" s="118">
        <v>168874</v>
      </c>
      <c r="AO300" s="118">
        <v>687</v>
      </c>
      <c r="AP300" s="118">
        <f t="shared" si="4"/>
        <v>638</v>
      </c>
    </row>
    <row r="301" spans="1:42" ht="12.75">
      <c r="A301" s="106">
        <v>2018</v>
      </c>
      <c r="B301" s="106">
        <v>-173203</v>
      </c>
      <c r="C301" s="106">
        <v>0</v>
      </c>
      <c r="D301" s="106">
        <v>173203</v>
      </c>
      <c r="E301" s="106" t="s">
        <v>666</v>
      </c>
      <c r="F301" s="106" t="s">
        <v>667</v>
      </c>
      <c r="G301" s="106" t="s">
        <v>113</v>
      </c>
      <c r="H301" s="106">
        <v>4</v>
      </c>
      <c r="I301" s="106" t="s">
        <v>24</v>
      </c>
      <c r="J301" s="106">
        <v>5494</v>
      </c>
      <c r="K301" s="106">
        <v>12173</v>
      </c>
      <c r="L301" s="106">
        <v>11244</v>
      </c>
      <c r="M301" s="106">
        <v>0.53</v>
      </c>
      <c r="N301" s="106">
        <v>0.51</v>
      </c>
      <c r="O301" s="106">
        <v>0.16</v>
      </c>
      <c r="P301" s="106">
        <v>878</v>
      </c>
      <c r="Q301" s="106">
        <v>4.2935206869633102</v>
      </c>
      <c r="R301" s="106">
        <v>9.1529372607755037E-4</v>
      </c>
      <c r="S301" s="106">
        <v>14142.466822794691</v>
      </c>
      <c r="T301" s="106">
        <v>15384.855581576892</v>
      </c>
      <c r="U301" s="106">
        <v>12277.436566112639</v>
      </c>
      <c r="V301" s="106">
        <v>0.38172243567417358</v>
      </c>
      <c r="W301" s="106">
        <v>127339.01192504259</v>
      </c>
      <c r="X301" s="110">
        <v>0.63212908463568096</v>
      </c>
      <c r="Y301" s="106">
        <v>876.80988593155894</v>
      </c>
      <c r="Z301" s="106">
        <v>29.224334600760454</v>
      </c>
      <c r="AA301" s="106">
        <v>45852.467175481892</v>
      </c>
      <c r="AB301" s="106">
        <v>409.21061681060246</v>
      </c>
      <c r="AC301" s="106">
        <v>2.1809077277628308</v>
      </c>
      <c r="AD301" s="106">
        <v>29.826086956521742</v>
      </c>
      <c r="AE301" s="106">
        <v>112.05102040816327</v>
      </c>
      <c r="AF301" s="106">
        <v>-0.12247683653209795</v>
      </c>
      <c r="AG301" s="106">
        <v>4773</v>
      </c>
      <c r="AH301" s="106">
        <v>14008.587041373927</v>
      </c>
      <c r="AI301" s="106">
        <v>14498.438719750195</v>
      </c>
      <c r="AJ301" s="106">
        <v>14223.263075722092</v>
      </c>
      <c r="AK301" s="104">
        <v>12870.80405932865</v>
      </c>
      <c r="AL301" s="118">
        <v>16195000</v>
      </c>
      <c r="AM301" s="118">
        <v>3784</v>
      </c>
      <c r="AN301" s="118">
        <v>76867</v>
      </c>
      <c r="AO301" s="118">
        <v>437</v>
      </c>
      <c r="AP301" s="118">
        <f t="shared" si="4"/>
        <v>721</v>
      </c>
    </row>
    <row r="302" spans="1:42" ht="12.75">
      <c r="A302" s="106">
        <v>2018</v>
      </c>
      <c r="B302" s="106">
        <v>-161077</v>
      </c>
      <c r="C302" s="106">
        <v>0</v>
      </c>
      <c r="D302" s="106">
        <v>161077</v>
      </c>
      <c r="E302" s="106" t="s">
        <v>668</v>
      </c>
      <c r="F302" s="106" t="s">
        <v>236</v>
      </c>
      <c r="G302" s="106" t="s">
        <v>301</v>
      </c>
      <c r="H302" s="106">
        <v>4</v>
      </c>
      <c r="I302" s="106" t="s">
        <v>24</v>
      </c>
      <c r="J302" s="106">
        <v>3660</v>
      </c>
      <c r="K302" s="106">
        <v>9324</v>
      </c>
      <c r="L302" s="106">
        <v>8270</v>
      </c>
      <c r="M302" s="106">
        <v>0.67</v>
      </c>
      <c r="N302" s="106">
        <v>0.47</v>
      </c>
      <c r="O302" s="106">
        <v>0.34</v>
      </c>
      <c r="P302" s="106">
        <v>1577</v>
      </c>
      <c r="Q302" s="106">
        <v>620.70348139255702</v>
      </c>
      <c r="R302" s="106">
        <v>0.50262371511839288</v>
      </c>
      <c r="S302" s="106">
        <v>11429.866146458584</v>
      </c>
      <c r="T302" s="106">
        <v>11044.715486194478</v>
      </c>
      <c r="U302" s="106">
        <v>9963.3151260504201</v>
      </c>
      <c r="V302" s="106">
        <v>6.1648485624002533E-2</v>
      </c>
      <c r="W302" s="106">
        <v>71185.157057654083</v>
      </c>
      <c r="X302" s="110">
        <v>0.64864436263022474</v>
      </c>
      <c r="Y302" s="106">
        <v>506.57432432432438</v>
      </c>
      <c r="Z302" s="106">
        <v>16.885135135135137</v>
      </c>
      <c r="AA302" s="106">
        <v>34871.602941176468</v>
      </c>
      <c r="AB302" s="106">
        <v>332.09721499739908</v>
      </c>
      <c r="AC302" s="106">
        <v>2.8676628421322086</v>
      </c>
      <c r="AD302" s="106">
        <v>26.847151720248171</v>
      </c>
      <c r="AE302" s="106">
        <v>105.00420168067227</v>
      </c>
      <c r="AF302" s="106">
        <v>2.9659772394782478E-2</v>
      </c>
      <c r="AG302" s="106">
        <v>2760</v>
      </c>
      <c r="AH302" s="106">
        <v>11470.152460984395</v>
      </c>
      <c r="AI302" s="106">
        <v>11471.915366146459</v>
      </c>
      <c r="AJ302" s="106">
        <v>11445.40756302521</v>
      </c>
      <c r="AK302" s="104">
        <v>10007.34093637455</v>
      </c>
      <c r="AL302" s="118">
        <v>7988943</v>
      </c>
      <c r="AM302" s="118">
        <v>2945</v>
      </c>
      <c r="AN302" s="118">
        <v>49982</v>
      </c>
      <c r="AO302" s="118">
        <v>438</v>
      </c>
      <c r="AP302" s="118">
        <f t="shared" si="4"/>
        <v>900</v>
      </c>
    </row>
    <row r="303" spans="1:42" ht="12.75">
      <c r="A303" s="106">
        <v>2018</v>
      </c>
      <c r="B303" s="106">
        <v>2005</v>
      </c>
      <c r="C303" s="106">
        <v>1</v>
      </c>
      <c r="D303" s="106">
        <v>176947</v>
      </c>
      <c r="E303" s="106" t="s">
        <v>3839</v>
      </c>
      <c r="F303" s="106" t="s">
        <v>669</v>
      </c>
      <c r="G303" s="106" t="s">
        <v>264</v>
      </c>
      <c r="H303" s="106">
        <v>7</v>
      </c>
      <c r="I303" s="106" t="s">
        <v>3641</v>
      </c>
      <c r="J303" s="106">
        <v>23770</v>
      </c>
      <c r="K303" s="106">
        <v>20525</v>
      </c>
      <c r="L303" s="106">
        <v>15937</v>
      </c>
      <c r="M303" s="106">
        <v>0.41</v>
      </c>
      <c r="N303" s="106">
        <v>0.71</v>
      </c>
      <c r="O303" s="106">
        <v>0.99</v>
      </c>
      <c r="P303" s="106">
        <v>14201</v>
      </c>
      <c r="Q303" s="106">
        <v>4019.3602613602616</v>
      </c>
      <c r="R303" s="106">
        <v>0.34384401398996262</v>
      </c>
      <c r="S303" s="106">
        <v>12376.014553014553</v>
      </c>
      <c r="T303" s="106">
        <v>10497.468963468964</v>
      </c>
      <c r="U303" s="106">
        <v>9274.4463914463922</v>
      </c>
      <c r="V303" s="106">
        <v>0.82701724635565288</v>
      </c>
      <c r="W303" s="106">
        <v>57675.301533219761</v>
      </c>
      <c r="X303" s="110">
        <v>0.63857071858978098</v>
      </c>
      <c r="Y303" s="106">
        <v>557.88805970149247</v>
      </c>
      <c r="Z303" s="106">
        <v>18.845149253731343</v>
      </c>
      <c r="AA303" s="106">
        <v>32060.637577002053</v>
      </c>
      <c r="AB303" s="106">
        <v>313.28565552389745</v>
      </c>
      <c r="AC303" s="106">
        <v>3.1190895614544067</v>
      </c>
      <c r="AD303" s="106">
        <v>29.337349397590362</v>
      </c>
      <c r="AE303" s="106">
        <v>102.33675564681725</v>
      </c>
      <c r="AF303" s="106">
        <v>8.4242533163950528E-2</v>
      </c>
      <c r="AG303" s="106">
        <v>23000</v>
      </c>
      <c r="AH303" s="106">
        <v>9405.8749628749629</v>
      </c>
      <c r="AI303" s="106">
        <v>12376.014553014553</v>
      </c>
      <c r="AJ303" s="106">
        <v>13196.876447876448</v>
      </c>
      <c r="AK303" s="104">
        <v>9274.4463914463922</v>
      </c>
      <c r="AL303" s="118"/>
      <c r="AM303" s="118">
        <v>4727</v>
      </c>
      <c r="AN303" s="118">
        <v>99676</v>
      </c>
      <c r="AO303" s="118">
        <v>873</v>
      </c>
      <c r="AP303" s="118">
        <f t="shared" si="4"/>
        <v>770</v>
      </c>
    </row>
    <row r="304" spans="1:42" ht="12.75">
      <c r="A304" s="106">
        <v>2018</v>
      </c>
      <c r="B304" s="106">
        <v>-169248</v>
      </c>
      <c r="C304" s="106">
        <v>0</v>
      </c>
      <c r="D304" s="106">
        <v>169248</v>
      </c>
      <c r="E304" s="106" t="s">
        <v>670</v>
      </c>
      <c r="F304" s="106" t="s">
        <v>671</v>
      </c>
      <c r="G304" s="106" t="s">
        <v>74</v>
      </c>
      <c r="H304" s="106">
        <v>1</v>
      </c>
      <c r="I304" s="106" t="s">
        <v>23</v>
      </c>
      <c r="J304" s="106">
        <v>12093</v>
      </c>
      <c r="K304" s="106">
        <v>14372</v>
      </c>
      <c r="L304" s="106">
        <v>11375</v>
      </c>
      <c r="M304" s="106">
        <v>0.36</v>
      </c>
      <c r="N304" s="106">
        <v>0.79</v>
      </c>
      <c r="O304" s="106">
        <v>0.86</v>
      </c>
      <c r="P304" s="106">
        <v>7495</v>
      </c>
      <c r="Q304" s="106">
        <v>3012.3098780124965</v>
      </c>
      <c r="R304" s="106">
        <v>0.22179048514561142</v>
      </c>
      <c r="S304" s="106">
        <v>22320.57552315779</v>
      </c>
      <c r="T304" s="106">
        <v>23136.563473172668</v>
      </c>
      <c r="U304" s="106">
        <v>14142.413295860635</v>
      </c>
      <c r="V304" s="106">
        <v>0.7473598222273925</v>
      </c>
      <c r="W304" s="106">
        <v>107979.51693149257</v>
      </c>
      <c r="X304" s="110">
        <v>0.59231075403358113</v>
      </c>
      <c r="Y304" s="106">
        <v>593.00209205020917</v>
      </c>
      <c r="Z304" s="106">
        <v>21.094142259414227</v>
      </c>
      <c r="AA304" s="106">
        <v>48751.437012705224</v>
      </c>
      <c r="AB304" s="106">
        <v>503.07086931669147</v>
      </c>
      <c r="AC304" s="106">
        <v>2.0512215870465269</v>
      </c>
      <c r="AD304" s="106">
        <v>29.885057471264371</v>
      </c>
      <c r="AE304" s="106">
        <v>96.907692307692301</v>
      </c>
      <c r="AF304" s="106">
        <v>3.3004541151704474E-2</v>
      </c>
      <c r="AG304" s="106">
        <v>12093</v>
      </c>
      <c r="AH304" s="106">
        <v>21128.419815531091</v>
      </c>
      <c r="AI304" s="106">
        <v>21519.259446593274</v>
      </c>
      <c r="AJ304" s="106">
        <v>23783.912079738173</v>
      </c>
      <c r="AK304" s="104">
        <v>17556.453238123573</v>
      </c>
      <c r="AL304" s="118">
        <v>87117685</v>
      </c>
      <c r="AM304" s="118">
        <v>17804</v>
      </c>
      <c r="AN304" s="118">
        <v>566910</v>
      </c>
      <c r="AO304" s="118">
        <v>3777</v>
      </c>
      <c r="AP304" s="118">
        <f t="shared" si="4"/>
        <v>0</v>
      </c>
    </row>
    <row r="305" spans="1:42" ht="12.75">
      <c r="A305" s="106">
        <v>2018</v>
      </c>
      <c r="B305" s="106">
        <v>-187532</v>
      </c>
      <c r="C305" s="106">
        <v>0</v>
      </c>
      <c r="D305" s="106">
        <v>187532</v>
      </c>
      <c r="E305" s="106" t="s">
        <v>672</v>
      </c>
      <c r="F305" s="106" t="s">
        <v>673</v>
      </c>
      <c r="G305" s="106" t="s">
        <v>674</v>
      </c>
      <c r="H305" s="106">
        <v>4</v>
      </c>
      <c r="I305" s="106" t="s">
        <v>24</v>
      </c>
      <c r="J305" s="106">
        <v>1578</v>
      </c>
      <c r="K305" s="106">
        <v>4360</v>
      </c>
      <c r="L305" s="106">
        <v>2657</v>
      </c>
      <c r="M305" s="106">
        <v>0.56000000000000005</v>
      </c>
      <c r="N305" s="106">
        <v>0.11</v>
      </c>
      <c r="O305" s="106">
        <v>0.14000000000000001</v>
      </c>
      <c r="P305" s="106">
        <v>415</v>
      </c>
      <c r="Q305" s="106">
        <v>177.48828731519612</v>
      </c>
      <c r="R305" s="106">
        <v>9.1834091464468484E-2</v>
      </c>
      <c r="S305" s="106">
        <v>11848.768919192602</v>
      </c>
      <c r="T305" s="106">
        <v>13624.507122122461</v>
      </c>
      <c r="U305" s="106">
        <v>9292.712183596921</v>
      </c>
      <c r="V305" s="106">
        <v>0.18888108707936502</v>
      </c>
      <c r="W305" s="106">
        <v>106811.00478011472</v>
      </c>
      <c r="X305" s="110">
        <v>0.73811256519577584</v>
      </c>
      <c r="Y305" s="106">
        <v>814.38546120952969</v>
      </c>
      <c r="Z305" s="106">
        <v>27.146609651802081</v>
      </c>
      <c r="AA305" s="106">
        <v>14325.418417693953</v>
      </c>
      <c r="AB305" s="106">
        <v>309.76195213503036</v>
      </c>
      <c r="AC305" s="106">
        <v>6.9805988966078383</v>
      </c>
      <c r="AD305" s="106">
        <v>75.984501027993048</v>
      </c>
      <c r="AE305" s="106">
        <v>46.246539702362369</v>
      </c>
      <c r="AF305" s="106">
        <v>-0.22535741279136123</v>
      </c>
      <c r="AG305" s="106">
        <v>1296</v>
      </c>
      <c r="AH305" s="106">
        <v>11072.300141767366</v>
      </c>
      <c r="AI305" s="106">
        <v>11115.950718963073</v>
      </c>
      <c r="AJ305" s="106">
        <v>11924.678458111119</v>
      </c>
      <c r="AK305" s="104">
        <v>10352.200364544657</v>
      </c>
      <c r="AL305" s="118">
        <v>124309345</v>
      </c>
      <c r="AM305" s="118">
        <v>24442</v>
      </c>
      <c r="AN305" s="118">
        <v>444383</v>
      </c>
      <c r="AO305" s="118">
        <v>4598</v>
      </c>
      <c r="AP305" s="118">
        <f t="shared" si="4"/>
        <v>282</v>
      </c>
    </row>
    <row r="306" spans="1:42" ht="12.75">
      <c r="A306" s="106">
        <v>2018</v>
      </c>
      <c r="B306" s="106">
        <v>-201672</v>
      </c>
      <c r="C306" s="106">
        <v>0</v>
      </c>
      <c r="D306" s="106">
        <v>201672</v>
      </c>
      <c r="E306" s="106" t="s">
        <v>675</v>
      </c>
      <c r="F306" s="106" t="s">
        <v>676</v>
      </c>
      <c r="G306" s="106" t="s">
        <v>82</v>
      </c>
      <c r="H306" s="106">
        <v>4</v>
      </c>
      <c r="I306" s="106" t="s">
        <v>24</v>
      </c>
      <c r="J306" s="106">
        <v>4296</v>
      </c>
      <c r="K306" s="106">
        <v>9834</v>
      </c>
      <c r="L306" s="106">
        <v>9093</v>
      </c>
      <c r="M306" s="106">
        <v>0.59</v>
      </c>
      <c r="N306" s="106">
        <v>0.48</v>
      </c>
      <c r="O306" s="106">
        <v>0.23</v>
      </c>
      <c r="P306" s="106">
        <v>1837</v>
      </c>
      <c r="Q306" s="106">
        <v>447.357789423535</v>
      </c>
      <c r="R306" s="106">
        <v>9.0586885718136292E-2</v>
      </c>
      <c r="S306" s="106">
        <v>12681.474511672224</v>
      </c>
      <c r="T306" s="106">
        <v>8743.451643639828</v>
      </c>
      <c r="U306" s="106">
        <v>10985.717449861613</v>
      </c>
      <c r="V306" s="106">
        <v>0.40881089573304513</v>
      </c>
      <c r="W306" s="106">
        <v>30374.73932926829</v>
      </c>
      <c r="X306" s="110">
        <v>0.36190934153130594</v>
      </c>
      <c r="Y306" s="106">
        <v>545.89595375722547</v>
      </c>
      <c r="Z306" s="106">
        <v>18.199421965317921</v>
      </c>
      <c r="AA306" s="106">
        <v>38051.189648943116</v>
      </c>
      <c r="AB306" s="106">
        <v>366.24874407972567</v>
      </c>
      <c r="AC306" s="106">
        <v>2.6280387268464165</v>
      </c>
      <c r="AD306" s="106">
        <v>37.223587223587224</v>
      </c>
      <c r="AE306" s="106">
        <v>103.89438943894389</v>
      </c>
      <c r="AF306" s="106">
        <v>0.31346439411743837</v>
      </c>
      <c r="AG306" s="106">
        <v>4296</v>
      </c>
      <c r="AH306" s="106">
        <v>10763.540257265364</v>
      </c>
      <c r="AI306" s="106">
        <v>11280.06002858504</v>
      </c>
      <c r="AJ306" s="106">
        <v>12886.998094330633</v>
      </c>
      <c r="AK306" s="104">
        <v>12571.292043830395</v>
      </c>
      <c r="AL306" s="118">
        <v>12407303</v>
      </c>
      <c r="AM306" s="118">
        <v>3479</v>
      </c>
      <c r="AN306" s="118">
        <v>62960</v>
      </c>
      <c r="AO306" s="118">
        <v>465</v>
      </c>
      <c r="AP306" s="118">
        <f t="shared" si="4"/>
        <v>0</v>
      </c>
    </row>
    <row r="307" spans="1:42" ht="12.75">
      <c r="A307" s="106">
        <v>2018</v>
      </c>
      <c r="B307" s="106">
        <v>-208318</v>
      </c>
      <c r="C307" s="106">
        <v>0</v>
      </c>
      <c r="D307" s="106">
        <v>208318</v>
      </c>
      <c r="E307" s="106" t="s">
        <v>677</v>
      </c>
      <c r="F307" s="106" t="s">
        <v>678</v>
      </c>
      <c r="G307" s="106" t="s">
        <v>405</v>
      </c>
      <c r="H307" s="106">
        <v>4</v>
      </c>
      <c r="I307" s="106" t="s">
        <v>24</v>
      </c>
      <c r="J307" s="106">
        <v>3699</v>
      </c>
      <c r="K307" s="106">
        <v>9609</v>
      </c>
      <c r="L307" s="106">
        <v>8112</v>
      </c>
      <c r="M307" s="106">
        <v>0.46</v>
      </c>
      <c r="N307" s="106">
        <v>0.4</v>
      </c>
      <c r="O307" s="106">
        <v>0.11</v>
      </c>
      <c r="P307" s="106">
        <v>2454</v>
      </c>
      <c r="Q307" s="106">
        <v>293.58364976546795</v>
      </c>
      <c r="R307" s="106">
        <v>7.7828623712359046E-2</v>
      </c>
      <c r="S307" s="106">
        <v>15393.54902836721</v>
      </c>
      <c r="T307" s="106">
        <v>15568.346884074157</v>
      </c>
      <c r="U307" s="106">
        <v>12768.107051401223</v>
      </c>
      <c r="V307" s="106">
        <v>0.27244424415905538</v>
      </c>
      <c r="W307" s="106">
        <v>98206.227790432808</v>
      </c>
      <c r="X307" s="110">
        <v>0.61854878161301874</v>
      </c>
      <c r="Y307" s="106">
        <v>801.41930116472554</v>
      </c>
      <c r="Z307" s="106">
        <v>22.3477537437604</v>
      </c>
      <c r="AA307" s="106">
        <v>55336.704035937342</v>
      </c>
      <c r="AB307" s="106">
        <v>356.04147759355766</v>
      </c>
      <c r="AC307" s="106">
        <v>1.8071188326478018</v>
      </c>
      <c r="AD307" s="106">
        <v>31.05832832230908</v>
      </c>
      <c r="AE307" s="106">
        <v>155.42207163601162</v>
      </c>
      <c r="AF307" s="106">
        <v>-4.8150790623719148E-3</v>
      </c>
      <c r="AG307" s="106">
        <v>3420</v>
      </c>
      <c r="AH307" s="106">
        <v>14709.09090909091</v>
      </c>
      <c r="AI307" s="106">
        <v>14713.351798079071</v>
      </c>
      <c r="AJ307" s="106">
        <v>15504.41009604646</v>
      </c>
      <c r="AK307" s="104">
        <v>14371.3122626759</v>
      </c>
      <c r="AL307" s="118">
        <v>31247808</v>
      </c>
      <c r="AM307" s="118">
        <v>5205</v>
      </c>
      <c r="AN307" s="118">
        <v>160551</v>
      </c>
      <c r="AO307" s="118">
        <v>768</v>
      </c>
      <c r="AP307" s="118">
        <f t="shared" si="4"/>
        <v>279</v>
      </c>
    </row>
    <row r="308" spans="1:42" ht="12.75">
      <c r="A308" s="106">
        <v>2018</v>
      </c>
      <c r="B308" s="106">
        <v>-198260</v>
      </c>
      <c r="C308" s="106">
        <v>0</v>
      </c>
      <c r="D308" s="106">
        <v>198260</v>
      </c>
      <c r="E308" s="106" t="s">
        <v>679</v>
      </c>
      <c r="F308" s="106" t="s">
        <v>605</v>
      </c>
      <c r="G308" s="106" t="s">
        <v>90</v>
      </c>
      <c r="H308" s="106">
        <v>4</v>
      </c>
      <c r="I308" s="106" t="s">
        <v>24</v>
      </c>
      <c r="J308" s="106">
        <v>2792</v>
      </c>
      <c r="K308" s="106">
        <v>6682</v>
      </c>
      <c r="L308" s="106">
        <v>6290</v>
      </c>
      <c r="M308" s="106">
        <v>0.52</v>
      </c>
      <c r="N308" s="106">
        <v>0.01</v>
      </c>
      <c r="O308" s="106">
        <v>0.05</v>
      </c>
      <c r="P308" s="106">
        <v>2557</v>
      </c>
      <c r="Q308" s="106">
        <v>254.1773881655279</v>
      </c>
      <c r="R308" s="106">
        <v>9.5300074634213333E-2</v>
      </c>
      <c r="S308" s="106">
        <v>11735.012504834343</v>
      </c>
      <c r="T308" s="106">
        <v>12847.025074126595</v>
      </c>
      <c r="U308" s="106">
        <v>8736.4730565940445</v>
      </c>
      <c r="V308" s="106">
        <v>0.27619262937898365</v>
      </c>
      <c r="W308" s="106">
        <v>70278.74954990999</v>
      </c>
      <c r="X308" s="110">
        <v>0.58756991232301514</v>
      </c>
      <c r="Y308" s="106">
        <v>689.08455882352951</v>
      </c>
      <c r="Z308" s="106">
        <v>24.444327731092439</v>
      </c>
      <c r="AA308" s="106">
        <v>36056.835062516628</v>
      </c>
      <c r="AB308" s="106">
        <v>309.91437534727066</v>
      </c>
      <c r="AC308" s="106">
        <v>2.773399268865846</v>
      </c>
      <c r="AD308" s="106">
        <v>34.306835812722461</v>
      </c>
      <c r="AE308" s="106">
        <v>116.34450651769087</v>
      </c>
      <c r="AF308" s="106">
        <v>0.14884498701902313</v>
      </c>
      <c r="AG308" s="106">
        <v>2432</v>
      </c>
      <c r="AH308" s="106">
        <v>10291.392613123629</v>
      </c>
      <c r="AI308" s="106">
        <v>10383.238494263245</v>
      </c>
      <c r="AJ308" s="106">
        <v>11757.641420652313</v>
      </c>
      <c r="AK308" s="104">
        <v>10134.128593528427</v>
      </c>
      <c r="AL308" s="118">
        <v>99945274</v>
      </c>
      <c r="AM308" s="118">
        <v>19100</v>
      </c>
      <c r="AN308" s="118">
        <v>437339</v>
      </c>
      <c r="AO308" s="118">
        <v>2182</v>
      </c>
      <c r="AP308" s="118">
        <f t="shared" si="4"/>
        <v>360</v>
      </c>
    </row>
    <row r="309" spans="1:42">
      <c r="A309" s="106">
        <v>2018</v>
      </c>
      <c r="B309" s="106">
        <v>-201690</v>
      </c>
      <c r="C309" s="106">
        <v>0</v>
      </c>
      <c r="D309" s="106">
        <v>201690</v>
      </c>
      <c r="E309" s="106" t="s">
        <v>680</v>
      </c>
      <c r="F309" s="106" t="s">
        <v>681</v>
      </c>
      <c r="G309" s="106" t="s">
        <v>82</v>
      </c>
      <c r="H309" s="106">
        <v>3</v>
      </c>
      <c r="I309" s="104" t="s">
        <v>26</v>
      </c>
      <c r="J309" s="106">
        <v>6246</v>
      </c>
      <c r="K309" s="107">
        <v>9778</v>
      </c>
      <c r="L309" s="107">
        <v>10712</v>
      </c>
      <c r="M309" s="107">
        <v>0.98</v>
      </c>
      <c r="N309" s="107">
        <v>0.9</v>
      </c>
      <c r="O309" s="107">
        <v>0.98</v>
      </c>
      <c r="P309" s="107">
        <v>1231</v>
      </c>
      <c r="Q309" s="106">
        <v>1935.5425957690109</v>
      </c>
      <c r="R309" s="106">
        <v>0.35388608223880252</v>
      </c>
      <c r="S309" s="106">
        <v>33519.356203544885</v>
      </c>
      <c r="T309" s="106">
        <v>34678.383647798742</v>
      </c>
      <c r="U309" s="106">
        <v>16575.357088583449</v>
      </c>
      <c r="V309" s="106">
        <v>0.21319914234693718</v>
      </c>
      <c r="W309" s="107">
        <v>65652.720524017466</v>
      </c>
      <c r="X309" s="111">
        <v>0.4131314932100153</v>
      </c>
      <c r="Y309" s="107">
        <v>415.25065963060689</v>
      </c>
      <c r="Z309" s="106">
        <v>13.844327176781004</v>
      </c>
      <c r="AA309" s="106">
        <v>137394.7845873576</v>
      </c>
      <c r="AB309" s="106">
        <v>552.61722355952065</v>
      </c>
      <c r="AC309" s="106">
        <v>0.72782966471641108</v>
      </c>
      <c r="AD309" s="106">
        <v>12.126436781609195</v>
      </c>
      <c r="AE309" s="106">
        <v>248.62559241706163</v>
      </c>
      <c r="AF309" s="106">
        <v>8.128792066428453E-2</v>
      </c>
      <c r="AG309" s="106">
        <v>3926</v>
      </c>
      <c r="AH309" s="106">
        <v>33052.226415094337</v>
      </c>
      <c r="AI309" s="106">
        <v>33052.226415094337</v>
      </c>
      <c r="AJ309" s="106">
        <v>33557.922813036021</v>
      </c>
      <c r="AK309" s="104">
        <v>25711.495140080046</v>
      </c>
      <c r="AL309" s="118">
        <v>15965886</v>
      </c>
      <c r="AM309" s="118">
        <v>1784</v>
      </c>
      <c r="AN309" s="118">
        <v>52460</v>
      </c>
      <c r="AO309" s="118">
        <v>211</v>
      </c>
      <c r="AP309" s="118">
        <f t="shared" si="4"/>
        <v>2320</v>
      </c>
    </row>
    <row r="310" spans="1:42" ht="12.75">
      <c r="A310" s="106">
        <v>2018</v>
      </c>
      <c r="B310" s="106">
        <v>-223816</v>
      </c>
      <c r="C310" s="106">
        <v>0</v>
      </c>
      <c r="D310" s="106">
        <v>223816</v>
      </c>
      <c r="E310" s="106" t="s">
        <v>682</v>
      </c>
      <c r="F310" s="106" t="s">
        <v>683</v>
      </c>
      <c r="G310" s="106" t="s">
        <v>60</v>
      </c>
      <c r="H310" s="106">
        <v>4</v>
      </c>
      <c r="I310" s="106" t="s">
        <v>24</v>
      </c>
      <c r="J310" s="106">
        <v>2700</v>
      </c>
      <c r="K310" s="106">
        <v>5258</v>
      </c>
      <c r="L310" s="106">
        <v>3899</v>
      </c>
      <c r="M310" s="106">
        <v>0.56999999999999995</v>
      </c>
      <c r="N310" s="106">
        <v>0.15</v>
      </c>
      <c r="O310" s="106">
        <v>0.19</v>
      </c>
      <c r="P310" s="106">
        <v>1112</v>
      </c>
      <c r="Q310" s="106">
        <v>121.3319530710835</v>
      </c>
      <c r="R310" s="106">
        <v>2.9050390472542664E-2</v>
      </c>
      <c r="S310" s="106">
        <v>10937.803016858918</v>
      </c>
      <c r="T310" s="106">
        <v>10577.787341023366</v>
      </c>
      <c r="U310" s="106">
        <v>7582.9600619949215</v>
      </c>
      <c r="V310" s="106">
        <v>0.53478736382336056</v>
      </c>
      <c r="W310" s="106">
        <v>45050.829798953462</v>
      </c>
      <c r="X310" s="110">
        <v>0.50821389148751916</v>
      </c>
      <c r="Y310" s="106">
        <v>551.24275362318838</v>
      </c>
      <c r="Z310" s="106">
        <v>18.375</v>
      </c>
      <c r="AA310" s="106">
        <v>20748.304264584433</v>
      </c>
      <c r="AB310" s="106">
        <v>252.76865813351415</v>
      </c>
      <c r="AC310" s="106">
        <v>4.8196709824952482</v>
      </c>
      <c r="AD310" s="106">
        <v>48.142857142857146</v>
      </c>
      <c r="AE310" s="106">
        <v>82.08416509306717</v>
      </c>
      <c r="AF310" s="106">
        <v>2.459046850251102E-2</v>
      </c>
      <c r="AG310" s="106">
        <v>2700</v>
      </c>
      <c r="AH310" s="106">
        <v>9747.1599132406591</v>
      </c>
      <c r="AI310" s="106">
        <v>9747.1599132406591</v>
      </c>
      <c r="AJ310" s="106">
        <v>11081.423839100858</v>
      </c>
      <c r="AK310" s="104">
        <v>9237.8822833481227</v>
      </c>
      <c r="AL310" s="118">
        <v>35349815</v>
      </c>
      <c r="AM310" s="118">
        <v>15672</v>
      </c>
      <c r="AN310" s="118">
        <v>304286</v>
      </c>
      <c r="AO310" s="118">
        <v>2993</v>
      </c>
      <c r="AP310" s="118">
        <f t="shared" si="4"/>
        <v>0</v>
      </c>
    </row>
    <row r="311" spans="1:42" ht="12.75">
      <c r="A311" s="106">
        <v>2018</v>
      </c>
      <c r="B311" s="106">
        <v>-231697</v>
      </c>
      <c r="C311" s="106">
        <v>0</v>
      </c>
      <c r="D311" s="106">
        <v>231697</v>
      </c>
      <c r="E311" s="106" t="s">
        <v>684</v>
      </c>
      <c r="F311" s="106" t="s">
        <v>685</v>
      </c>
      <c r="G311" s="106" t="s">
        <v>261</v>
      </c>
      <c r="H311" s="106">
        <v>4</v>
      </c>
      <c r="I311" s="106" t="s">
        <v>24</v>
      </c>
      <c r="J311" s="106">
        <v>4726</v>
      </c>
      <c r="K311" s="106">
        <v>4650</v>
      </c>
      <c r="L311" s="106">
        <v>4204</v>
      </c>
      <c r="M311" s="106">
        <v>0.56000000000000005</v>
      </c>
      <c r="N311" s="106">
        <v>0.12</v>
      </c>
      <c r="O311" s="106">
        <v>0.13</v>
      </c>
      <c r="P311" s="106">
        <v>2513</v>
      </c>
      <c r="Q311" s="106">
        <v>42.884153909805541</v>
      </c>
      <c r="R311" s="106">
        <v>8.605041218704498E-3</v>
      </c>
      <c r="S311" s="106">
        <v>10141.280926768721</v>
      </c>
      <c r="T311" s="106">
        <v>9760.5006206040543</v>
      </c>
      <c r="U311" s="106">
        <v>8298.9239291253962</v>
      </c>
      <c r="V311" s="106">
        <v>0.5953451411602958</v>
      </c>
      <c r="W311" s="106">
        <v>60468.445714285721</v>
      </c>
      <c r="X311" s="110">
        <v>0.59807664999514643</v>
      </c>
      <c r="Y311" s="106">
        <v>592.82288828337869</v>
      </c>
      <c r="Z311" s="106">
        <v>19.757493188010898</v>
      </c>
      <c r="AA311" s="106">
        <v>16785.354926105509</v>
      </c>
      <c r="AB311" s="106">
        <v>276.58502436082955</v>
      </c>
      <c r="AC311" s="106">
        <v>5.9575743521797389</v>
      </c>
      <c r="AD311" s="106">
        <v>53.611484970838944</v>
      </c>
      <c r="AE311" s="106">
        <v>60.687866108786608</v>
      </c>
      <c r="AF311" s="106">
        <v>0.32939964407922484</v>
      </c>
      <c r="AG311" s="106">
        <v>4253</v>
      </c>
      <c r="AH311" s="106">
        <v>9592.0364087712042</v>
      </c>
      <c r="AI311" s="106">
        <v>9734.7335539925534</v>
      </c>
      <c r="AJ311" s="106">
        <v>10143.125362019033</v>
      </c>
      <c r="AK311" s="104">
        <v>9420.0049648324366</v>
      </c>
      <c r="AL311" s="118">
        <v>10093730</v>
      </c>
      <c r="AM311" s="118">
        <v>4128</v>
      </c>
      <c r="AN311" s="118">
        <v>72522</v>
      </c>
      <c r="AO311" s="118">
        <v>448</v>
      </c>
      <c r="AP311" s="118">
        <f t="shared" si="4"/>
        <v>473</v>
      </c>
    </row>
    <row r="312" spans="1:42" ht="12.75">
      <c r="A312" s="106">
        <v>2018</v>
      </c>
      <c r="B312" s="106">
        <v>-234827</v>
      </c>
      <c r="C312" s="106">
        <v>0</v>
      </c>
      <c r="D312" s="106">
        <v>234827</v>
      </c>
      <c r="E312" s="106" t="s">
        <v>686</v>
      </c>
      <c r="F312" s="106" t="s">
        <v>687</v>
      </c>
      <c r="G312" s="106" t="s">
        <v>182</v>
      </c>
      <c r="H312" s="106">
        <v>2</v>
      </c>
      <c r="I312" s="106" t="s">
        <v>25</v>
      </c>
      <c r="J312" s="106">
        <v>7903</v>
      </c>
      <c r="K312" s="106">
        <v>14647</v>
      </c>
      <c r="L312" s="106">
        <v>9810</v>
      </c>
      <c r="M312" s="106">
        <v>0.37</v>
      </c>
      <c r="N312" s="106">
        <v>0.59</v>
      </c>
      <c r="O312" s="106">
        <v>0.63</v>
      </c>
      <c r="P312" s="106">
        <v>3425</v>
      </c>
      <c r="Q312" s="106">
        <v>1806.2646335464831</v>
      </c>
      <c r="R312" s="106">
        <v>0.1922411544554225</v>
      </c>
      <c r="S312" s="106">
        <v>19843.751926545334</v>
      </c>
      <c r="T312" s="106">
        <v>20734.043859649122</v>
      </c>
      <c r="U312" s="106">
        <v>13448.143229069592</v>
      </c>
      <c r="V312" s="106">
        <v>0.56435764090249696</v>
      </c>
      <c r="W312" s="106">
        <v>92405.44015270604</v>
      </c>
      <c r="X312" s="110">
        <v>0.54232089614920165</v>
      </c>
      <c r="Y312" s="106">
        <v>929.39589275527658</v>
      </c>
      <c r="Z312" s="106">
        <v>20.875071306332</v>
      </c>
      <c r="AA312" s="106">
        <v>56663.368258442453</v>
      </c>
      <c r="AB312" s="106">
        <v>302.05744509193153</v>
      </c>
      <c r="AC312" s="106">
        <v>1.7648086069274691</v>
      </c>
      <c r="AD312" s="106">
        <v>24.743589743589745</v>
      </c>
      <c r="AE312" s="106">
        <v>187.59136442141624</v>
      </c>
      <c r="AF312" s="106">
        <v>4.2944863650403557E-2</v>
      </c>
      <c r="AG312" s="106">
        <v>6037</v>
      </c>
      <c r="AH312" s="106">
        <v>19964.113215281195</v>
      </c>
      <c r="AI312" s="106">
        <v>19964.113215281195</v>
      </c>
      <c r="AJ312" s="106">
        <v>20301.917855386127</v>
      </c>
      <c r="AK312" s="104">
        <v>15921.867191342842</v>
      </c>
      <c r="AL312" s="119">
        <v>59634499</v>
      </c>
      <c r="AM312" s="118">
        <v>12080</v>
      </c>
      <c r="AN312" s="118">
        <v>543077</v>
      </c>
      <c r="AO312" s="118">
        <v>2511</v>
      </c>
      <c r="AP312" s="118">
        <f t="shared" si="4"/>
        <v>1866</v>
      </c>
    </row>
    <row r="313" spans="1:42" ht="12.75">
      <c r="A313" s="106">
        <v>2018</v>
      </c>
      <c r="B313" s="106">
        <v>-240514</v>
      </c>
      <c r="C313" s="106">
        <v>0</v>
      </c>
      <c r="D313" s="106">
        <v>240514</v>
      </c>
      <c r="E313" s="106" t="s">
        <v>688</v>
      </c>
      <c r="F313" s="106" t="s">
        <v>689</v>
      </c>
      <c r="G313" s="106" t="s">
        <v>627</v>
      </c>
      <c r="H313" s="106">
        <v>4</v>
      </c>
      <c r="I313" s="106" t="s">
        <v>24</v>
      </c>
      <c r="J313" s="106">
        <v>3024</v>
      </c>
      <c r="K313" s="106">
        <v>4797</v>
      </c>
      <c r="L313" s="106">
        <v>5728</v>
      </c>
      <c r="M313" s="106">
        <v>0.46</v>
      </c>
      <c r="N313" s="106">
        <v>0.18</v>
      </c>
      <c r="O313" s="106">
        <v>0.74</v>
      </c>
      <c r="P313" s="106">
        <v>3346</v>
      </c>
      <c r="Q313" s="106">
        <v>1370.0164888457807</v>
      </c>
      <c r="R313" s="106">
        <v>0.31941767530086029</v>
      </c>
      <c r="S313" s="106">
        <v>26812.119301648883</v>
      </c>
      <c r="T313" s="106">
        <v>26004.864209505333</v>
      </c>
      <c r="U313" s="106">
        <v>16244.717247641038</v>
      </c>
      <c r="V313" s="106">
        <v>0.17969473762983687</v>
      </c>
      <c r="W313" s="106">
        <v>65996.401759530796</v>
      </c>
      <c r="X313" s="110">
        <v>0.55959022812079284</v>
      </c>
      <c r="Y313" s="106">
        <v>423.58904109589042</v>
      </c>
      <c r="Z313" s="106">
        <v>14.123287671232877</v>
      </c>
      <c r="AA313" s="106">
        <v>55274.928984547558</v>
      </c>
      <c r="AB313" s="106">
        <v>541.63066691410359</v>
      </c>
      <c r="AC313" s="106">
        <v>1.8091384618143176</v>
      </c>
      <c r="AD313" s="106">
        <v>28.666035950804165</v>
      </c>
      <c r="AE313" s="106">
        <v>102.05280528052805</v>
      </c>
      <c r="AF313" s="106">
        <v>3.8112504270164049E-2</v>
      </c>
      <c r="AG313" s="106">
        <v>2256</v>
      </c>
      <c r="AH313" s="106">
        <v>25219.137730358874</v>
      </c>
      <c r="AI313" s="106">
        <v>25295.330746847721</v>
      </c>
      <c r="AJ313" s="106">
        <v>27706.168768186228</v>
      </c>
      <c r="AK313" s="104">
        <v>19562.41028128031</v>
      </c>
      <c r="AL313" s="118">
        <v>16689970</v>
      </c>
      <c r="AM313" s="118">
        <v>1930</v>
      </c>
      <c r="AN313" s="118">
        <v>30922</v>
      </c>
      <c r="AO313" s="118">
        <v>238</v>
      </c>
      <c r="AP313" s="118">
        <f t="shared" si="4"/>
        <v>768</v>
      </c>
    </row>
    <row r="314" spans="1:42" ht="12.75">
      <c r="A314" s="106">
        <v>2018</v>
      </c>
      <c r="B314" s="106">
        <v>-234845</v>
      </c>
      <c r="C314" s="106">
        <v>0</v>
      </c>
      <c r="D314" s="106">
        <v>234845</v>
      </c>
      <c r="E314" s="106" t="s">
        <v>690</v>
      </c>
      <c r="F314" s="106" t="s">
        <v>691</v>
      </c>
      <c r="G314" s="106" t="s">
        <v>182</v>
      </c>
      <c r="H314" s="106">
        <v>4</v>
      </c>
      <c r="I314" s="106" t="s">
        <v>24</v>
      </c>
      <c r="J314" s="106">
        <v>4343</v>
      </c>
      <c r="K314" s="106">
        <v>8100</v>
      </c>
      <c r="L314" s="106">
        <v>5617</v>
      </c>
      <c r="M314" s="106">
        <v>0.44</v>
      </c>
      <c r="N314" s="106">
        <v>0.02</v>
      </c>
      <c r="O314" s="106">
        <v>0.18</v>
      </c>
      <c r="P314" s="106">
        <v>2082</v>
      </c>
      <c r="Q314" s="106">
        <v>1218.9951176209499</v>
      </c>
      <c r="R314" s="106">
        <v>0.32944869444488761</v>
      </c>
      <c r="S314" s="106">
        <v>16558.36928539725</v>
      </c>
      <c r="T314" s="106">
        <v>17520.615623612961</v>
      </c>
      <c r="U314" s="106">
        <v>14034.37017310253</v>
      </c>
      <c r="V314" s="106">
        <v>0.17678819445103322</v>
      </c>
      <c r="W314" s="106">
        <v>95395.264255910995</v>
      </c>
      <c r="X314" s="110">
        <v>0.5791937907805369</v>
      </c>
      <c r="Y314" s="106">
        <v>1174.5057915057916</v>
      </c>
      <c r="Z314" s="106">
        <v>26.096525096525099</v>
      </c>
      <c r="AA314" s="106">
        <v>25875.152209492637</v>
      </c>
      <c r="AB314" s="106">
        <v>311.83183266107159</v>
      </c>
      <c r="AC314" s="106">
        <v>3.86471156538023</v>
      </c>
      <c r="AD314" s="106">
        <v>53.9514348785872</v>
      </c>
      <c r="AE314" s="106">
        <v>82.977905073649751</v>
      </c>
      <c r="AF314" s="106">
        <v>-1.024325176581861E-2</v>
      </c>
      <c r="AG314" s="106">
        <v>3936</v>
      </c>
      <c r="AH314" s="106">
        <v>15368.510430537062</v>
      </c>
      <c r="AI314" s="106">
        <v>15368.510430537062</v>
      </c>
      <c r="AJ314" s="106">
        <v>16654.018197958278</v>
      </c>
      <c r="AK314" s="104">
        <v>16113.578783843765</v>
      </c>
      <c r="AL314" s="118">
        <v>12151392</v>
      </c>
      <c r="AM314" s="118">
        <v>3122</v>
      </c>
      <c r="AN314" s="118">
        <v>101399</v>
      </c>
      <c r="AO314" s="118">
        <v>531</v>
      </c>
      <c r="AP314" s="118">
        <f t="shared" si="4"/>
        <v>407</v>
      </c>
    </row>
    <row r="315" spans="1:42" ht="12.75">
      <c r="A315" s="106">
        <v>2018</v>
      </c>
      <c r="B315" s="106">
        <v>-156408</v>
      </c>
      <c r="C315" s="106">
        <v>0</v>
      </c>
      <c r="D315" s="106">
        <v>156408</v>
      </c>
      <c r="E315" s="106" t="s">
        <v>692</v>
      </c>
      <c r="F315" s="106" t="s">
        <v>260</v>
      </c>
      <c r="G315" s="106" t="s">
        <v>118</v>
      </c>
      <c r="H315" s="106">
        <v>7</v>
      </c>
      <c r="I315" s="106" t="s">
        <v>3641</v>
      </c>
      <c r="J315" s="106">
        <v>40500</v>
      </c>
      <c r="K315" s="106">
        <v>25051</v>
      </c>
      <c r="L315" s="106">
        <v>16429</v>
      </c>
      <c r="M315" s="106">
        <v>0.19</v>
      </c>
      <c r="N315" s="106">
        <v>0.5</v>
      </c>
      <c r="O315" s="106">
        <v>0.99</v>
      </c>
      <c r="P315" s="106">
        <v>25461</v>
      </c>
      <c r="Q315" s="106">
        <v>22660.147140864716</v>
      </c>
      <c r="R315" s="106">
        <v>0.54709312721083048</v>
      </c>
      <c r="S315" s="106">
        <v>37389.911436541144</v>
      </c>
      <c r="T315" s="106">
        <v>44493.912133891215</v>
      </c>
      <c r="U315" s="106">
        <v>38152.799163179916</v>
      </c>
      <c r="V315" s="106">
        <v>0.49168161701112501</v>
      </c>
      <c r="W315" s="106">
        <v>71960.488871834226</v>
      </c>
      <c r="X315" s="110">
        <v>0.48985497365615183</v>
      </c>
      <c r="Y315" s="106">
        <v>315.28860759493671</v>
      </c>
      <c r="Z315" s="106">
        <v>10.89113924050633</v>
      </c>
      <c r="AA315" s="106">
        <v>165791.25454545455</v>
      </c>
      <c r="AB315" s="106">
        <v>1317.9272517042855</v>
      </c>
      <c r="AC315" s="106">
        <v>0.60316812412191056</v>
      </c>
      <c r="AD315" s="106">
        <v>22.77432712215321</v>
      </c>
      <c r="AE315" s="106">
        <v>125.7969696969697</v>
      </c>
      <c r="AF315" s="106">
        <v>6.4597419998861871E-2</v>
      </c>
      <c r="AG315" s="106">
        <v>40500</v>
      </c>
      <c r="AH315" s="106">
        <v>29393.058577405856</v>
      </c>
      <c r="AI315" s="106">
        <v>37966.70641562064</v>
      </c>
      <c r="AJ315" s="106">
        <v>60085.972803347278</v>
      </c>
      <c r="AK315" s="104">
        <v>38152.799163179916</v>
      </c>
      <c r="AL315" s="118"/>
      <c r="AM315" s="118">
        <v>1450</v>
      </c>
      <c r="AN315" s="118">
        <v>41513</v>
      </c>
      <c r="AO315" s="118">
        <v>330</v>
      </c>
      <c r="AP315" s="118">
        <f t="shared" si="4"/>
        <v>0</v>
      </c>
    </row>
    <row r="316" spans="1:42" ht="12.75">
      <c r="A316" s="106">
        <v>2018</v>
      </c>
      <c r="B316" s="106">
        <v>-175315</v>
      </c>
      <c r="C316" s="106">
        <v>0</v>
      </c>
      <c r="D316" s="106">
        <v>175315</v>
      </c>
      <c r="E316" s="106" t="s">
        <v>693</v>
      </c>
      <c r="F316" s="106" t="s">
        <v>694</v>
      </c>
      <c r="G316" s="106" t="s">
        <v>113</v>
      </c>
      <c r="H316" s="106">
        <v>4</v>
      </c>
      <c r="I316" s="106" t="s">
        <v>24</v>
      </c>
      <c r="J316" s="106">
        <v>5417</v>
      </c>
      <c r="K316" s="106">
        <v>10600</v>
      </c>
      <c r="L316" s="106">
        <v>9553</v>
      </c>
      <c r="M316" s="106">
        <v>0.51</v>
      </c>
      <c r="N316" s="106">
        <v>0.32</v>
      </c>
      <c r="O316" s="106">
        <v>0.01</v>
      </c>
      <c r="P316" s="106">
        <v>1697</v>
      </c>
      <c r="Q316" s="106">
        <v>5.3484873809125855</v>
      </c>
      <c r="R316" s="106">
        <v>9.9645014635361528E-4</v>
      </c>
      <c r="S316" s="106">
        <v>12597.526324586328</v>
      </c>
      <c r="T316" s="106">
        <v>14222.965067691794</v>
      </c>
      <c r="U316" s="106">
        <v>11479.991910724761</v>
      </c>
      <c r="V316" s="106">
        <v>0.46709030124113088</v>
      </c>
      <c r="W316" s="106">
        <v>125309.15492957747</v>
      </c>
      <c r="X316" s="110">
        <v>0.69701278555983825</v>
      </c>
      <c r="Y316" s="106">
        <v>806.06586826347313</v>
      </c>
      <c r="Z316" s="106">
        <v>26.869760479041918</v>
      </c>
      <c r="AA316" s="106">
        <v>37635.502247597942</v>
      </c>
      <c r="AB316" s="106">
        <v>382.67918924174995</v>
      </c>
      <c r="AC316" s="106">
        <v>2.6570656435542168</v>
      </c>
      <c r="AD316" s="106">
        <v>34.093031944703903</v>
      </c>
      <c r="AE316" s="106">
        <v>98.347397260273979</v>
      </c>
      <c r="AF316" s="106">
        <v>-0.29226793744546614</v>
      </c>
      <c r="AG316" s="106">
        <v>4817</v>
      </c>
      <c r="AH316" s="106">
        <v>12560.922614073208</v>
      </c>
      <c r="AI316" s="106">
        <v>12771.352164465987</v>
      </c>
      <c r="AJ316" s="106">
        <v>12664.54955707839</v>
      </c>
      <c r="AK316" s="104">
        <v>12170.817315727896</v>
      </c>
      <c r="AL316" s="118">
        <v>28417000</v>
      </c>
      <c r="AM316" s="118">
        <v>8745</v>
      </c>
      <c r="AN316" s="118">
        <v>179484</v>
      </c>
      <c r="AO316" s="118">
        <v>1192</v>
      </c>
      <c r="AP316" s="118">
        <f t="shared" si="4"/>
        <v>600</v>
      </c>
    </row>
    <row r="317" spans="1:42" ht="12.75">
      <c r="A317" s="106">
        <v>2018</v>
      </c>
      <c r="B317" s="106">
        <v>-111887</v>
      </c>
      <c r="C317" s="106">
        <v>0</v>
      </c>
      <c r="D317" s="106">
        <v>111887</v>
      </c>
      <c r="E317" s="106" t="s">
        <v>695</v>
      </c>
      <c r="F317" s="106" t="s">
        <v>696</v>
      </c>
      <c r="G317" s="106" t="s">
        <v>121</v>
      </c>
      <c r="H317" s="106">
        <v>4</v>
      </c>
      <c r="I317" s="106" t="s">
        <v>24</v>
      </c>
      <c r="J317" s="106">
        <v>1346</v>
      </c>
      <c r="K317" s="106">
        <v>3561</v>
      </c>
      <c r="L317" s="106">
        <v>1001</v>
      </c>
      <c r="M317" s="106">
        <v>0.61</v>
      </c>
      <c r="N317" s="106">
        <v>0.02</v>
      </c>
      <c r="O317" s="106">
        <v>0.23</v>
      </c>
      <c r="P317" s="106">
        <v>170</v>
      </c>
      <c r="Q317" s="106"/>
      <c r="R317" s="106"/>
      <c r="S317" s="106">
        <v>13655.394063160966</v>
      </c>
      <c r="T317" s="106">
        <v>14534.476697542119</v>
      </c>
      <c r="U317" s="106">
        <v>12088.748875022935</v>
      </c>
      <c r="V317" s="106">
        <v>0.14645815084677768</v>
      </c>
      <c r="W317" s="106">
        <v>152653.39729299361</v>
      </c>
      <c r="X317" s="110">
        <v>0.64141088158345894</v>
      </c>
      <c r="Y317" s="106">
        <v>869.61522198731507</v>
      </c>
      <c r="Z317" s="106">
        <v>28.987315010570825</v>
      </c>
      <c r="AA317" s="106">
        <v>39360.920404996308</v>
      </c>
      <c r="AB317" s="106">
        <v>402.96025513808797</v>
      </c>
      <c r="AC317" s="106">
        <v>2.5405909966299065</v>
      </c>
      <c r="AD317" s="106">
        <v>40.001899876508027</v>
      </c>
      <c r="AE317" s="106">
        <v>97.679411066255042</v>
      </c>
      <c r="AF317" s="106">
        <v>-0.23320812144995304</v>
      </c>
      <c r="AG317" s="106">
        <v>1288</v>
      </c>
      <c r="AH317" s="106">
        <v>12174.084384800524</v>
      </c>
      <c r="AI317" s="106">
        <v>12174.084384800524</v>
      </c>
      <c r="AJ317" s="106">
        <v>13806.172853912916</v>
      </c>
      <c r="AK317" s="104">
        <v>14121.786084165999</v>
      </c>
      <c r="AL317" s="118">
        <v>90044310</v>
      </c>
      <c r="AM317" s="118">
        <v>17218</v>
      </c>
      <c r="AN317" s="118">
        <v>411328</v>
      </c>
      <c r="AO317" s="118">
        <v>1920</v>
      </c>
      <c r="AP317" s="118">
        <f t="shared" si="4"/>
        <v>58</v>
      </c>
    </row>
    <row r="318" spans="1:42" ht="12.75">
      <c r="A318" s="106">
        <v>2018</v>
      </c>
      <c r="B318" s="106">
        <v>-111896</v>
      </c>
      <c r="C318" s="106">
        <v>0</v>
      </c>
      <c r="D318" s="106">
        <v>111896</v>
      </c>
      <c r="E318" s="106" t="s">
        <v>4056</v>
      </c>
      <c r="F318" s="106" t="s">
        <v>4057</v>
      </c>
      <c r="G318" s="106" t="s">
        <v>121</v>
      </c>
      <c r="H318" s="106">
        <v>4</v>
      </c>
      <c r="I318" s="106" t="s">
        <v>24</v>
      </c>
      <c r="J318" s="106">
        <v>1290</v>
      </c>
      <c r="K318" s="106">
        <v>11565</v>
      </c>
      <c r="L318" s="106">
        <v>10130</v>
      </c>
      <c r="M318" s="106">
        <v>0.42</v>
      </c>
      <c r="N318" s="106">
        <v>0</v>
      </c>
      <c r="O318" s="106">
        <v>0.01</v>
      </c>
      <c r="P318" s="106">
        <v>1000</v>
      </c>
      <c r="Q318" s="106"/>
      <c r="R318" s="106"/>
      <c r="S318" s="106">
        <v>11544.446009389671</v>
      </c>
      <c r="T318" s="106">
        <v>14933.771126760563</v>
      </c>
      <c r="U318" s="106">
        <v>12820.875586854459</v>
      </c>
      <c r="V318" s="106">
        <v>0.12544120171773354</v>
      </c>
      <c r="W318" s="106">
        <v>130508.9604519774</v>
      </c>
      <c r="X318" s="110">
        <v>0.60517817335324497</v>
      </c>
      <c r="Y318" s="106">
        <v>966.41596638655471</v>
      </c>
      <c r="Z318" s="106">
        <v>32.218487394957982</v>
      </c>
      <c r="AA318" s="106">
        <v>54435.478405315618</v>
      </c>
      <c r="AB318" s="106">
        <v>427.42383492676311</v>
      </c>
      <c r="AC318" s="106">
        <v>1.8370372214866952</v>
      </c>
      <c r="AD318" s="106">
        <v>24.225352112676056</v>
      </c>
      <c r="AE318" s="106">
        <v>127.35714285714286</v>
      </c>
      <c r="AF318" s="106"/>
      <c r="AG318" s="106">
        <v>1288</v>
      </c>
      <c r="AH318" s="106">
        <v>11298.927621283256</v>
      </c>
      <c r="AI318" s="106">
        <v>11298.927621283256</v>
      </c>
      <c r="AJ318" s="106">
        <v>11686.570422535211</v>
      </c>
      <c r="AK318" s="104">
        <v>14206.877934272301</v>
      </c>
      <c r="AL318" s="119">
        <v>17430031</v>
      </c>
      <c r="AM318" s="118">
        <v>5725</v>
      </c>
      <c r="AN318" s="118">
        <v>76669</v>
      </c>
      <c r="AO318" s="118">
        <v>406</v>
      </c>
      <c r="AP318" s="118">
        <f t="shared" si="4"/>
        <v>2</v>
      </c>
    </row>
    <row r="319" spans="1:42" ht="12.75">
      <c r="A319" s="106">
        <v>2018</v>
      </c>
      <c r="B319" s="106">
        <v>-111920</v>
      </c>
      <c r="C319" s="106">
        <v>0</v>
      </c>
      <c r="D319" s="106">
        <v>111920</v>
      </c>
      <c r="E319" s="106" t="s">
        <v>697</v>
      </c>
      <c r="F319" s="106" t="s">
        <v>546</v>
      </c>
      <c r="G319" s="106" t="s">
        <v>121</v>
      </c>
      <c r="H319" s="106">
        <v>4</v>
      </c>
      <c r="I319" s="106" t="s">
        <v>24</v>
      </c>
      <c r="J319" s="106">
        <v>1138</v>
      </c>
      <c r="K319" s="106">
        <v>6531</v>
      </c>
      <c r="L319" s="106">
        <v>3734</v>
      </c>
      <c r="M319" s="106">
        <v>0.42</v>
      </c>
      <c r="N319" s="106">
        <v>0.01</v>
      </c>
      <c r="O319" s="106">
        <v>0</v>
      </c>
      <c r="P319" s="106"/>
      <c r="Q319" s="106">
        <v>1046.4546349870736</v>
      </c>
      <c r="R319" s="106">
        <v>0.57080001705614325</v>
      </c>
      <c r="S319" s="106">
        <v>16023.479502646805</v>
      </c>
      <c r="T319" s="106">
        <v>20942.23390373015</v>
      </c>
      <c r="U319" s="106">
        <v>9683.4685811938089</v>
      </c>
      <c r="V319" s="106">
        <v>8.1257821858090398E-2</v>
      </c>
      <c r="W319" s="106">
        <v>177848.9872881356</v>
      </c>
      <c r="X319" s="110">
        <v>0.49346225160872637</v>
      </c>
      <c r="Y319" s="106">
        <v>800.76341730558602</v>
      </c>
      <c r="Z319" s="106">
        <v>26.691128148959475</v>
      </c>
      <c r="AA319" s="106">
        <v>47072.899631979242</v>
      </c>
      <c r="AB319" s="106">
        <v>322.77036543045853</v>
      </c>
      <c r="AC319" s="106">
        <v>2.1243645660626447</v>
      </c>
      <c r="AD319" s="106">
        <v>23.347771412603045</v>
      </c>
      <c r="AE319" s="106">
        <v>145.84021543985637</v>
      </c>
      <c r="AF319" s="106">
        <v>9.8169418309859105E-2</v>
      </c>
      <c r="AG319" s="106">
        <v>0</v>
      </c>
      <c r="AH319" s="106">
        <v>14452.349378308507</v>
      </c>
      <c r="AI319" s="106">
        <v>14452.349378308507</v>
      </c>
      <c r="AJ319" s="106">
        <v>16191.159054536502</v>
      </c>
      <c r="AK319" s="104">
        <v>11401.104641142436</v>
      </c>
      <c r="AL319" s="119">
        <v>59233716</v>
      </c>
      <c r="AM319" s="118">
        <v>13670</v>
      </c>
      <c r="AN319" s="118">
        <v>243699</v>
      </c>
      <c r="AO319" s="118">
        <v>1135</v>
      </c>
      <c r="AP319" s="118">
        <f t="shared" si="4"/>
        <v>1138</v>
      </c>
    </row>
    <row r="320" spans="1:42" ht="12.75">
      <c r="A320" s="106">
        <v>2018</v>
      </c>
      <c r="B320" s="106">
        <v>-180948</v>
      </c>
      <c r="C320" s="106">
        <v>0</v>
      </c>
      <c r="D320" s="106">
        <v>180948</v>
      </c>
      <c r="E320" s="106" t="s">
        <v>698</v>
      </c>
      <c r="F320" s="106" t="s">
        <v>699</v>
      </c>
      <c r="G320" s="106" t="s">
        <v>323</v>
      </c>
      <c r="H320" s="106">
        <v>2</v>
      </c>
      <c r="I320" s="106" t="s">
        <v>25</v>
      </c>
      <c r="J320" s="106">
        <v>6602</v>
      </c>
      <c r="K320" s="106">
        <v>14073</v>
      </c>
      <c r="L320" s="106">
        <v>11364</v>
      </c>
      <c r="M320" s="106">
        <v>0.41</v>
      </c>
      <c r="N320" s="106">
        <v>0.6</v>
      </c>
      <c r="O320" s="106">
        <v>0.69</v>
      </c>
      <c r="P320" s="106">
        <v>4447</v>
      </c>
      <c r="Q320" s="106">
        <v>1272.6032863849766</v>
      </c>
      <c r="R320" s="106">
        <v>0.17589318361961087</v>
      </c>
      <c r="S320" s="106">
        <v>18514.057746478873</v>
      </c>
      <c r="T320" s="106">
        <v>19154.25399061033</v>
      </c>
      <c r="U320" s="106">
        <v>14726.715396810281</v>
      </c>
      <c r="V320" s="106">
        <v>0.40487563602962257</v>
      </c>
      <c r="W320" s="106">
        <v>78062.542586750787</v>
      </c>
      <c r="X320" s="110">
        <v>0.60653673545005671</v>
      </c>
      <c r="Y320" s="106">
        <v>569.93538461538469</v>
      </c>
      <c r="Z320" s="106">
        <v>19.661538461538463</v>
      </c>
      <c r="AA320" s="106">
        <v>50675.127294355247</v>
      </c>
      <c r="AB320" s="106">
        <v>508.03983925636749</v>
      </c>
      <c r="AC320" s="106">
        <v>1.9733546877767605</v>
      </c>
      <c r="AD320" s="106">
        <v>29.308712121212121</v>
      </c>
      <c r="AE320" s="106">
        <v>99.746365105008081</v>
      </c>
      <c r="AF320" s="106">
        <v>7.5387016426324685E-2</v>
      </c>
      <c r="AG320" s="106">
        <v>4816</v>
      </c>
      <c r="AH320" s="106">
        <v>18203.296244131456</v>
      </c>
      <c r="AI320" s="106">
        <v>18315.115962441316</v>
      </c>
      <c r="AJ320" s="106">
        <v>18637.245539906104</v>
      </c>
      <c r="AK320" s="104">
        <v>15768.219248826292</v>
      </c>
      <c r="AL320" s="118">
        <v>17393991</v>
      </c>
      <c r="AM320" s="118">
        <v>2155</v>
      </c>
      <c r="AN320" s="118">
        <v>61743</v>
      </c>
      <c r="AO320" s="118">
        <v>418</v>
      </c>
      <c r="AP320" s="118">
        <f t="shared" si="4"/>
        <v>1786</v>
      </c>
    </row>
    <row r="321" spans="1:42" ht="12.75">
      <c r="A321" s="106">
        <v>2018</v>
      </c>
      <c r="B321" s="106">
        <v>-111939</v>
      </c>
      <c r="C321" s="106">
        <v>0</v>
      </c>
      <c r="D321" s="106">
        <v>111939</v>
      </c>
      <c r="E321" s="106" t="s">
        <v>700</v>
      </c>
      <c r="F321" s="106" t="s">
        <v>701</v>
      </c>
      <c r="G321" s="106" t="s">
        <v>121</v>
      </c>
      <c r="H321" s="106">
        <v>4</v>
      </c>
      <c r="I321" s="106" t="s">
        <v>24</v>
      </c>
      <c r="J321" s="106">
        <v>1170</v>
      </c>
      <c r="K321" s="106">
        <v>11107</v>
      </c>
      <c r="L321" s="106">
        <v>8226</v>
      </c>
      <c r="M321" s="106">
        <v>0.47</v>
      </c>
      <c r="N321" s="106">
        <v>0</v>
      </c>
      <c r="O321" s="106">
        <v>0.05</v>
      </c>
      <c r="P321" s="106">
        <v>734</v>
      </c>
      <c r="Q321" s="106"/>
      <c r="R321" s="106"/>
      <c r="S321" s="106">
        <v>12991.570645821157</v>
      </c>
      <c r="T321" s="106">
        <v>13203.289669783751</v>
      </c>
      <c r="U321" s="106">
        <v>5894.1268472658903</v>
      </c>
      <c r="V321" s="106">
        <v>0.4628293078886323</v>
      </c>
      <c r="W321" s="106">
        <v>126937.50462962964</v>
      </c>
      <c r="X321" s="110">
        <v>0.60685027218650778</v>
      </c>
      <c r="Y321" s="106">
        <v>781.16804058338607</v>
      </c>
      <c r="Z321" s="106">
        <v>26.03931515535827</v>
      </c>
      <c r="AA321" s="106">
        <v>13052.711257947825</v>
      </c>
      <c r="AB321" s="106">
        <v>196.47376565353943</v>
      </c>
      <c r="AC321" s="106">
        <v>7.6612435549824784</v>
      </c>
      <c r="AD321" s="106">
        <v>53.575452890699495</v>
      </c>
      <c r="AE321" s="106">
        <v>66.434881087202712</v>
      </c>
      <c r="AF321" s="106">
        <v>-7.3791239485297378E-3</v>
      </c>
      <c r="AG321" s="106">
        <v>1104</v>
      </c>
      <c r="AH321" s="106">
        <v>13157.746054938632</v>
      </c>
      <c r="AI321" s="106">
        <v>13157.746054938632</v>
      </c>
      <c r="AJ321" s="106">
        <v>13102.323348918761</v>
      </c>
      <c r="AK321" s="104">
        <v>6080.4075102279367</v>
      </c>
      <c r="AL321" s="119">
        <v>90628557</v>
      </c>
      <c r="AM321" s="118">
        <v>22508</v>
      </c>
      <c r="AN321" s="118">
        <v>410634</v>
      </c>
      <c r="AO321" s="118">
        <v>3746</v>
      </c>
      <c r="AP321" s="118">
        <f t="shared" si="4"/>
        <v>66</v>
      </c>
    </row>
    <row r="322" spans="1:42" ht="12.75">
      <c r="A322" s="106">
        <v>2018</v>
      </c>
      <c r="B322" s="106">
        <v>-141486</v>
      </c>
      <c r="C322" s="106">
        <v>0</v>
      </c>
      <c r="D322" s="106">
        <v>141486</v>
      </c>
      <c r="E322" s="106" t="s">
        <v>702</v>
      </c>
      <c r="F322" s="106" t="s">
        <v>703</v>
      </c>
      <c r="G322" s="106" t="s">
        <v>453</v>
      </c>
      <c r="H322" s="106">
        <v>6</v>
      </c>
      <c r="I322" s="106" t="s">
        <v>3640</v>
      </c>
      <c r="J322" s="106">
        <v>24514</v>
      </c>
      <c r="K322" s="106">
        <v>22913</v>
      </c>
      <c r="L322" s="106">
        <v>24963</v>
      </c>
      <c r="M322" s="106">
        <v>0.46</v>
      </c>
      <c r="N322" s="106">
        <v>0.33</v>
      </c>
      <c r="O322" s="106">
        <v>0.8</v>
      </c>
      <c r="P322" s="106">
        <v>13415</v>
      </c>
      <c r="Q322" s="106">
        <v>6858.7080142930063</v>
      </c>
      <c r="R322" s="106">
        <v>0.29721801321077684</v>
      </c>
      <c r="S322" s="106">
        <v>25422.477284328739</v>
      </c>
      <c r="T322" s="106">
        <v>24369.374680959674</v>
      </c>
      <c r="U322" s="106">
        <v>21163.140377743748</v>
      </c>
      <c r="V322" s="106">
        <v>0.76631565297731286</v>
      </c>
      <c r="W322" s="106">
        <v>81634.456431535276</v>
      </c>
      <c r="X322" s="110">
        <v>0.54947819530555397</v>
      </c>
      <c r="Y322" s="106">
        <v>516.98641304347825</v>
      </c>
      <c r="Z322" s="106">
        <v>15.970108695652176</v>
      </c>
      <c r="AA322" s="106">
        <v>62437.638554216865</v>
      </c>
      <c r="AB322" s="106">
        <v>653.74571487140668</v>
      </c>
      <c r="AC322" s="106">
        <v>1.6015980475169056</v>
      </c>
      <c r="AD322" s="106">
        <v>31.73996175908222</v>
      </c>
      <c r="AE322" s="106">
        <v>95.507530120481931</v>
      </c>
      <c r="AF322" s="106">
        <v>5.3957758780774225E-2</v>
      </c>
      <c r="AG322" s="106">
        <v>24400</v>
      </c>
      <c r="AH322" s="106">
        <v>18715.719244512507</v>
      </c>
      <c r="AI322" s="106">
        <v>23532.316998468606</v>
      </c>
      <c r="AJ322" s="106">
        <v>26176.408371618174</v>
      </c>
      <c r="AK322" s="104">
        <v>21163.140377743748</v>
      </c>
      <c r="AM322" s="118">
        <v>1810</v>
      </c>
      <c r="AN322" s="118">
        <v>63417</v>
      </c>
      <c r="AO322" s="118">
        <v>415</v>
      </c>
      <c r="AP322" s="118">
        <f t="shared" si="4"/>
        <v>114</v>
      </c>
    </row>
    <row r="323" spans="1:42" ht="12.75">
      <c r="A323" s="106">
        <v>2018</v>
      </c>
      <c r="B323" s="106">
        <v>-230852</v>
      </c>
      <c r="C323" s="106">
        <v>0</v>
      </c>
      <c r="D323" s="106">
        <v>230852</v>
      </c>
      <c r="E323" s="106" t="s">
        <v>704</v>
      </c>
      <c r="F323" s="106" t="s">
        <v>487</v>
      </c>
      <c r="G323" s="106" t="s">
        <v>345</v>
      </c>
      <c r="H323" s="106">
        <v>6</v>
      </c>
      <c r="I323" s="106" t="s">
        <v>3640</v>
      </c>
      <c r="J323" s="106">
        <v>39818</v>
      </c>
      <c r="K323" s="106">
        <v>38577</v>
      </c>
      <c r="L323" s="106">
        <v>25847</v>
      </c>
      <c r="M323" s="106">
        <v>0.26</v>
      </c>
      <c r="N323" s="106">
        <v>0.68</v>
      </c>
      <c r="O323" s="106">
        <v>0.99</v>
      </c>
      <c r="P323" s="106">
        <v>17564</v>
      </c>
      <c r="Q323" s="106">
        <v>9217.850823045268</v>
      </c>
      <c r="R323" s="106">
        <v>0.33692246263283626</v>
      </c>
      <c r="S323" s="106">
        <v>24911.13477366255</v>
      </c>
      <c r="T323" s="106">
        <v>23870.570216049382</v>
      </c>
      <c r="U323" s="106">
        <v>20317.239711934155</v>
      </c>
      <c r="V323" s="106">
        <v>0.89289279862623505</v>
      </c>
      <c r="W323" s="106">
        <v>97119.176000000007</v>
      </c>
      <c r="X323" s="110">
        <v>0.52322193621838153</v>
      </c>
      <c r="Y323" s="106">
        <v>505.36119402985076</v>
      </c>
      <c r="Z323" s="106">
        <v>17.4089552238806</v>
      </c>
      <c r="AA323" s="106">
        <v>40200.217811704832</v>
      </c>
      <c r="AB323" s="106">
        <v>699.89924156506947</v>
      </c>
      <c r="AC323" s="106">
        <v>2.4875487110142882</v>
      </c>
      <c r="AD323" s="106">
        <v>56.094775906365967</v>
      </c>
      <c r="AE323" s="106">
        <v>57.437150127226467</v>
      </c>
      <c r="AF323" s="106">
        <v>4.4572886014281089E-2</v>
      </c>
      <c r="AG323" s="106">
        <v>39718</v>
      </c>
      <c r="AH323" s="106">
        <v>24167.135288065845</v>
      </c>
      <c r="AI323" s="106">
        <v>24993.931327160495</v>
      </c>
      <c r="AJ323" s="106">
        <v>25735.916409465022</v>
      </c>
      <c r="AK323" s="104">
        <v>20317.239711934155</v>
      </c>
      <c r="AL323" s="118"/>
      <c r="AM323" s="118">
        <v>3934</v>
      </c>
      <c r="AN323" s="118">
        <v>112864</v>
      </c>
      <c r="AO323" s="118">
        <v>835</v>
      </c>
      <c r="AP323" s="118">
        <f t="shared" si="4"/>
        <v>100</v>
      </c>
    </row>
    <row r="324" spans="1:42" ht="12.75">
      <c r="A324" s="106">
        <v>2018</v>
      </c>
      <c r="B324" s="106">
        <v>-364025</v>
      </c>
      <c r="C324" s="106">
        <v>0</v>
      </c>
      <c r="D324" s="106">
        <v>364025</v>
      </c>
      <c r="E324" s="106" t="s">
        <v>705</v>
      </c>
      <c r="F324" s="106" t="s">
        <v>706</v>
      </c>
      <c r="G324" s="106" t="s">
        <v>147</v>
      </c>
      <c r="H324" s="106">
        <v>4</v>
      </c>
      <c r="I324" s="106" t="s">
        <v>24</v>
      </c>
      <c r="J324" s="106">
        <v>2094</v>
      </c>
      <c r="K324" s="106">
        <v>8129</v>
      </c>
      <c r="L324" s="106">
        <v>6437</v>
      </c>
      <c r="M324" s="106">
        <v>0.33</v>
      </c>
      <c r="N324" s="106">
        <v>0.15</v>
      </c>
      <c r="O324" s="106">
        <v>0.26</v>
      </c>
      <c r="P324" s="106">
        <v>1905</v>
      </c>
      <c r="Q324" s="106">
        <v>277.61002645169418</v>
      </c>
      <c r="R324" s="106">
        <v>9.0537632535717241E-2</v>
      </c>
      <c r="S324" s="106">
        <v>9367.4189444514413</v>
      </c>
      <c r="T324" s="106">
        <v>7951.0808666078847</v>
      </c>
      <c r="U324" s="106">
        <v>7041.0079332905298</v>
      </c>
      <c r="V324" s="106">
        <v>0.39605537628987919</v>
      </c>
      <c r="W324" s="106">
        <v>69733.76878612717</v>
      </c>
      <c r="X324" s="110">
        <v>0.63705365744882447</v>
      </c>
      <c r="Y324" s="106">
        <v>822.22094361334882</v>
      </c>
      <c r="Z324" s="106">
        <v>27.407364787111625</v>
      </c>
      <c r="AA324" s="106">
        <v>21014.496985862224</v>
      </c>
      <c r="AB324" s="106">
        <v>234.70026444301766</v>
      </c>
      <c r="AC324" s="106">
        <v>4.7586197312872303</v>
      </c>
      <c r="AD324" s="106">
        <v>34.300451321727913</v>
      </c>
      <c r="AE324" s="106">
        <v>89.537593984962399</v>
      </c>
      <c r="AF324" s="106"/>
      <c r="AG324" s="106">
        <v>2064</v>
      </c>
      <c r="AH324" s="106">
        <v>8595.0623504219675</v>
      </c>
      <c r="AI324" s="106">
        <v>8672.1178989797208</v>
      </c>
      <c r="AJ324" s="106">
        <v>9367.4189444514413</v>
      </c>
      <c r="AK324" s="104">
        <v>7819.89242977705</v>
      </c>
      <c r="AL324" s="119">
        <v>44520044</v>
      </c>
      <c r="AM324" s="118">
        <v>14906</v>
      </c>
      <c r="AN324" s="118">
        <v>238170</v>
      </c>
      <c r="AO324" s="118">
        <v>1254</v>
      </c>
      <c r="AP324" s="118">
        <f t="shared" si="4"/>
        <v>30</v>
      </c>
    </row>
    <row r="325" spans="1:42" ht="12.75">
      <c r="A325" s="106">
        <v>2018</v>
      </c>
      <c r="B325" s="106">
        <v>-111948</v>
      </c>
      <c r="C325" s="106">
        <v>0</v>
      </c>
      <c r="D325" s="106">
        <v>111948</v>
      </c>
      <c r="E325" s="106" t="s">
        <v>4058</v>
      </c>
      <c r="F325" s="106" t="s">
        <v>707</v>
      </c>
      <c r="G325" s="106" t="s">
        <v>121</v>
      </c>
      <c r="H325" s="106">
        <v>6</v>
      </c>
      <c r="I325" s="106" t="s">
        <v>3640</v>
      </c>
      <c r="J325" s="106">
        <v>50594</v>
      </c>
      <c r="K325" s="106">
        <v>41463</v>
      </c>
      <c r="L325" s="106">
        <v>33301</v>
      </c>
      <c r="M325" s="106">
        <v>0.19</v>
      </c>
      <c r="N325" s="106">
        <v>0.63</v>
      </c>
      <c r="O325" s="106">
        <v>0.84</v>
      </c>
      <c r="P325" s="106">
        <v>24859</v>
      </c>
      <c r="Q325" s="106">
        <v>14813.212697389623</v>
      </c>
      <c r="R325" s="106">
        <v>0.32524362209267876</v>
      </c>
      <c r="S325" s="106">
        <v>40615.23020732624</v>
      </c>
      <c r="T325" s="106">
        <v>34153.54828660436</v>
      </c>
      <c r="U325" s="106">
        <v>28878.371294113142</v>
      </c>
      <c r="V325" s="106">
        <v>1.0641792147807032</v>
      </c>
      <c r="W325" s="106">
        <v>122992.32634989201</v>
      </c>
      <c r="X325" s="110">
        <v>0.5970337632853765</v>
      </c>
      <c r="Y325" s="106">
        <v>347.45598086124403</v>
      </c>
      <c r="Z325" s="106">
        <v>13.3622009569378</v>
      </c>
      <c r="AA325" s="106">
        <v>108137.07094806888</v>
      </c>
      <c r="AB325" s="106">
        <v>1110.5826976543071</v>
      </c>
      <c r="AC325" s="106">
        <v>0.92475225307354048</v>
      </c>
      <c r="AD325" s="106">
        <v>28.51571461344345</v>
      </c>
      <c r="AE325" s="106">
        <v>97.369670152855988</v>
      </c>
      <c r="AF325" s="106">
        <v>9.6277042962638504E-2</v>
      </c>
      <c r="AG325" s="106">
        <v>50210</v>
      </c>
      <c r="AH325" s="106">
        <v>37516.875281985172</v>
      </c>
      <c r="AI325" s="106">
        <v>40674.539370501669</v>
      </c>
      <c r="AJ325" s="106">
        <v>43828.247932108708</v>
      </c>
      <c r="AK325" s="104">
        <v>30718.161671500697</v>
      </c>
      <c r="AL325" s="118"/>
      <c r="AM325" s="118">
        <v>7020</v>
      </c>
      <c r="AN325" s="118">
        <v>242061</v>
      </c>
      <c r="AO325" s="118">
        <v>1603</v>
      </c>
      <c r="AP325" s="118">
        <f t="shared" si="4"/>
        <v>384</v>
      </c>
    </row>
    <row r="326" spans="1:42" ht="12.75">
      <c r="A326" s="106">
        <v>2018</v>
      </c>
      <c r="B326" s="106">
        <v>-217688</v>
      </c>
      <c r="C326" s="106">
        <v>0</v>
      </c>
      <c r="D326" s="106">
        <v>217688</v>
      </c>
      <c r="E326" s="106" t="s">
        <v>708</v>
      </c>
      <c r="F326" s="106" t="s">
        <v>620</v>
      </c>
      <c r="G326" s="106" t="s">
        <v>79</v>
      </c>
      <c r="H326" s="106">
        <v>6</v>
      </c>
      <c r="I326" s="106" t="s">
        <v>3640</v>
      </c>
      <c r="J326" s="106">
        <v>24840</v>
      </c>
      <c r="K326" s="106">
        <v>17013</v>
      </c>
      <c r="L326" s="106">
        <v>15406</v>
      </c>
      <c r="M326" s="106">
        <v>0.45</v>
      </c>
      <c r="N326" s="106">
        <v>0.72</v>
      </c>
      <c r="O326" s="106">
        <v>1</v>
      </c>
      <c r="P326" s="106">
        <v>13338</v>
      </c>
      <c r="Q326" s="106">
        <v>9402.6034534087521</v>
      </c>
      <c r="R326" s="106">
        <v>0.43020335648394087</v>
      </c>
      <c r="S326" s="106">
        <v>17803.511461744565</v>
      </c>
      <c r="T326" s="106">
        <v>17142.427805894611</v>
      </c>
      <c r="U326" s="106">
        <v>15917.551949985114</v>
      </c>
      <c r="V326" s="106">
        <v>0.78238035431798691</v>
      </c>
      <c r="W326" s="106">
        <v>63858.2</v>
      </c>
      <c r="X326" s="110">
        <v>0.52677838847829639</v>
      </c>
      <c r="Y326" s="106">
        <v>403.88979591836733</v>
      </c>
      <c r="Z326" s="106">
        <v>13.710204081632654</v>
      </c>
      <c r="AA326" s="106">
        <v>78397.44428152492</v>
      </c>
      <c r="AB326" s="106">
        <v>540.32780208785994</v>
      </c>
      <c r="AC326" s="106">
        <v>1.2755517850926412</v>
      </c>
      <c r="AD326" s="106">
        <v>21.971649484536083</v>
      </c>
      <c r="AE326" s="106">
        <v>145.09237536656892</v>
      </c>
      <c r="AF326" s="106">
        <v>3.7507720188687879E-2</v>
      </c>
      <c r="AG326" s="106">
        <v>24800</v>
      </c>
      <c r="AH326" s="106">
        <v>16815.585888657337</v>
      </c>
      <c r="AI326" s="106">
        <v>18074.91753498065</v>
      </c>
      <c r="AJ326" s="106">
        <v>18478.902054182792</v>
      </c>
      <c r="AK326" s="104">
        <v>15917.551949985114</v>
      </c>
      <c r="AL326" s="118"/>
      <c r="AM326" s="118">
        <v>3061</v>
      </c>
      <c r="AN326" s="118">
        <v>98953</v>
      </c>
      <c r="AO326" s="118">
        <v>538</v>
      </c>
      <c r="AP326" s="118">
        <f t="shared" ref="AP326:AP389" si="5">J326-AG326</f>
        <v>40</v>
      </c>
    </row>
    <row r="327" spans="1:42" ht="12.75">
      <c r="A327" s="106">
        <v>2018</v>
      </c>
      <c r="B327" s="106">
        <v>-128780</v>
      </c>
      <c r="C327" s="106">
        <v>0</v>
      </c>
      <c r="D327" s="106">
        <v>128780</v>
      </c>
      <c r="E327" s="106" t="s">
        <v>709</v>
      </c>
      <c r="F327" s="106" t="s">
        <v>663</v>
      </c>
      <c r="G327" s="106" t="s">
        <v>99</v>
      </c>
      <c r="H327" s="106">
        <v>3</v>
      </c>
      <c r="I327" s="104" t="s">
        <v>26</v>
      </c>
      <c r="J327" s="106">
        <v>7983</v>
      </c>
      <c r="K327" s="106"/>
      <c r="L327" s="106"/>
      <c r="M327" s="106"/>
      <c r="N327" s="106"/>
      <c r="O327" s="106"/>
      <c r="P327" s="106"/>
      <c r="Q327" s="106">
        <v>449.56264236902052</v>
      </c>
      <c r="R327" s="106">
        <v>3.6819406128079137E-2</v>
      </c>
      <c r="S327" s="106">
        <v>16519.586560364463</v>
      </c>
      <c r="T327" s="106">
        <v>19156.780182232345</v>
      </c>
      <c r="U327" s="106">
        <v>16869.913439635537</v>
      </c>
      <c r="V327" s="106">
        <v>0.69712122456012049</v>
      </c>
      <c r="W327" s="106">
        <v>96973.45890410959</v>
      </c>
      <c r="X327" s="110">
        <v>0.84176082586245982</v>
      </c>
      <c r="Y327" s="106">
        <v>407.34375</v>
      </c>
      <c r="Z327" s="106">
        <v>13.71875</v>
      </c>
      <c r="AA327" s="106">
        <v>25625.923875432527</v>
      </c>
      <c r="AB327" s="106">
        <v>568.15435366321447</v>
      </c>
      <c r="AC327" s="106">
        <v>3.9022983321928</v>
      </c>
      <c r="AD327" s="106">
        <v>74.197689345314515</v>
      </c>
      <c r="AE327" s="106">
        <v>45.103806228373699</v>
      </c>
      <c r="AF327" s="106">
        <v>0.25836593498279603</v>
      </c>
      <c r="AG327" s="106">
        <v>7152</v>
      </c>
      <c r="AH327" s="106">
        <v>16600.602505694762</v>
      </c>
      <c r="AI327" s="106">
        <v>16600.602505694762</v>
      </c>
      <c r="AJ327" s="106">
        <v>16553.247152619591</v>
      </c>
      <c r="AK327" s="104">
        <v>17132.473804100227</v>
      </c>
      <c r="AL327" s="118">
        <v>3728780</v>
      </c>
      <c r="AM327" s="118">
        <v>1416</v>
      </c>
      <c r="AN327" s="118">
        <v>26070</v>
      </c>
      <c r="AO327" s="118">
        <v>510</v>
      </c>
      <c r="AP327" s="118">
        <f t="shared" si="5"/>
        <v>831</v>
      </c>
    </row>
    <row r="328" spans="1:42" ht="12.75">
      <c r="A328" s="106">
        <v>2018</v>
      </c>
      <c r="B328" s="106">
        <v>-211556</v>
      </c>
      <c r="C328" s="106">
        <v>0</v>
      </c>
      <c r="D328" s="106">
        <v>211556</v>
      </c>
      <c r="E328" s="106" t="s">
        <v>710</v>
      </c>
      <c r="F328" s="106" t="s">
        <v>602</v>
      </c>
      <c r="G328" s="106" t="s">
        <v>104</v>
      </c>
      <c r="H328" s="106">
        <v>6</v>
      </c>
      <c r="I328" s="106" t="s">
        <v>3640</v>
      </c>
      <c r="J328" s="106">
        <v>36510</v>
      </c>
      <c r="K328" s="106">
        <v>25687</v>
      </c>
      <c r="L328" s="106">
        <v>16543</v>
      </c>
      <c r="M328" s="106">
        <v>0.35</v>
      </c>
      <c r="N328" s="106">
        <v>0.93</v>
      </c>
      <c r="O328" s="106">
        <v>1</v>
      </c>
      <c r="P328" s="106">
        <v>21108</v>
      </c>
      <c r="Q328" s="106">
        <v>7677.4045335658238</v>
      </c>
      <c r="R328" s="106">
        <v>0.29834478461496061</v>
      </c>
      <c r="S328" s="106">
        <v>24995.686137750654</v>
      </c>
      <c r="T328" s="106">
        <v>28465.72972972973</v>
      </c>
      <c r="U328" s="106">
        <v>24914.155442739135</v>
      </c>
      <c r="V328" s="106">
        <v>0.72472553313615662</v>
      </c>
      <c r="W328" s="106">
        <v>67152.969298245618</v>
      </c>
      <c r="X328" s="110">
        <v>0.46893681360281125</v>
      </c>
      <c r="Y328" s="106">
        <v>278.24352331606218</v>
      </c>
      <c r="Z328" s="106">
        <v>11.8860103626943</v>
      </c>
      <c r="AA328" s="106">
        <v>81881.192816108276</v>
      </c>
      <c r="AB328" s="106">
        <v>1064.2832086114518</v>
      </c>
      <c r="AC328" s="106">
        <v>1.2212816711718355</v>
      </c>
      <c r="AD328" s="106">
        <v>36.506276150627613</v>
      </c>
      <c r="AE328" s="106">
        <v>76.935530085959883</v>
      </c>
      <c r="AF328" s="106">
        <v>1.0941745094950318E-2</v>
      </c>
      <c r="AG328" s="106">
        <v>35220</v>
      </c>
      <c r="AH328" s="106">
        <v>22864.591543156061</v>
      </c>
      <c r="AI328" s="106">
        <v>25373.645161290322</v>
      </c>
      <c r="AJ328" s="106">
        <v>28338.087619877944</v>
      </c>
      <c r="AK328" s="104">
        <v>25777.002615518744</v>
      </c>
      <c r="AL328" s="118"/>
      <c r="AM328" s="118">
        <v>1208</v>
      </c>
      <c r="AN328" s="118">
        <v>53701</v>
      </c>
      <c r="AO328" s="118">
        <v>195</v>
      </c>
      <c r="AP328" s="118">
        <f t="shared" si="5"/>
        <v>1290</v>
      </c>
    </row>
    <row r="329" spans="1:42" ht="12.75">
      <c r="A329" s="106">
        <v>2018</v>
      </c>
      <c r="B329" s="106">
        <v>3002</v>
      </c>
      <c r="C329" s="106">
        <v>1</v>
      </c>
      <c r="D329" s="106">
        <v>140331</v>
      </c>
      <c r="E329" s="106" t="s">
        <v>3840</v>
      </c>
      <c r="F329" s="106" t="s">
        <v>711</v>
      </c>
      <c r="G329" s="106" t="s">
        <v>63</v>
      </c>
      <c r="H329" s="106">
        <v>4</v>
      </c>
      <c r="I329" s="106" t="s">
        <v>24</v>
      </c>
      <c r="J329" s="106">
        <v>2782</v>
      </c>
      <c r="K329" s="106">
        <v>3112</v>
      </c>
      <c r="L329" s="106">
        <v>1756</v>
      </c>
      <c r="M329" s="106">
        <v>0.54</v>
      </c>
      <c r="N329" s="106">
        <v>0.02</v>
      </c>
      <c r="O329" s="106">
        <v>0</v>
      </c>
      <c r="P329" s="106"/>
      <c r="Q329" s="106"/>
      <c r="R329" s="106"/>
      <c r="S329" s="106">
        <v>9208.8476944573831</v>
      </c>
      <c r="T329" s="106">
        <v>8919.3573979195771</v>
      </c>
      <c r="U329" s="106">
        <v>7761.8528178854212</v>
      </c>
      <c r="V329" s="106">
        <v>0.50658549787900942</v>
      </c>
      <c r="W329" s="106">
        <v>59638.186393805314</v>
      </c>
      <c r="X329" s="110">
        <v>0.62562592057895083</v>
      </c>
      <c r="Y329" s="106">
        <v>696.77884615384619</v>
      </c>
      <c r="Z329" s="106">
        <v>23.224759615384617</v>
      </c>
      <c r="AA329" s="106">
        <v>15795.922274881517</v>
      </c>
      <c r="AB329" s="106">
        <v>258.71503829434897</v>
      </c>
      <c r="AC329" s="106">
        <v>6.3307477879287095</v>
      </c>
      <c r="AD329" s="106">
        <v>60.400763358778633</v>
      </c>
      <c r="AE329" s="106">
        <v>61.055292259083728</v>
      </c>
      <c r="AF329" s="106">
        <v>4.1728921395251403E-2</v>
      </c>
      <c r="AG329" s="106">
        <v>2136</v>
      </c>
      <c r="AH329" s="106">
        <v>8018.6731873932622</v>
      </c>
      <c r="AI329" s="106">
        <v>8092.316099984474</v>
      </c>
      <c r="AJ329" s="106">
        <v>9208.8650830616371</v>
      </c>
      <c r="AK329" s="104">
        <v>8919.3573979195771</v>
      </c>
      <c r="AL329" s="118">
        <v>21495493</v>
      </c>
      <c r="AM329" s="118">
        <v>10201</v>
      </c>
      <c r="AN329" s="118">
        <v>193240</v>
      </c>
      <c r="AO329" s="118">
        <v>614</v>
      </c>
      <c r="AP329" s="118">
        <f t="shared" si="5"/>
        <v>646</v>
      </c>
    </row>
    <row r="330" spans="1:42" ht="12.75">
      <c r="A330" s="106">
        <v>2018</v>
      </c>
      <c r="B330" s="106">
        <v>-101028</v>
      </c>
      <c r="C330" s="106">
        <v>0</v>
      </c>
      <c r="D330" s="106">
        <v>101028</v>
      </c>
      <c r="E330" s="106" t="s">
        <v>712</v>
      </c>
      <c r="F330" s="106" t="s">
        <v>713</v>
      </c>
      <c r="G330" s="106" t="s">
        <v>85</v>
      </c>
      <c r="H330" s="106">
        <v>4</v>
      </c>
      <c r="I330" s="106" t="s">
        <v>24</v>
      </c>
      <c r="J330" s="106">
        <v>4314</v>
      </c>
      <c r="K330" s="106">
        <v>2882</v>
      </c>
      <c r="L330" s="106">
        <v>1016</v>
      </c>
      <c r="M330" s="106">
        <v>0.68</v>
      </c>
      <c r="N330" s="106">
        <v>0.13</v>
      </c>
      <c r="O330" s="106">
        <v>0.46</v>
      </c>
      <c r="P330" s="106">
        <v>4773</v>
      </c>
      <c r="Q330" s="106">
        <v>551.25495262704567</v>
      </c>
      <c r="R330" s="106">
        <v>0.1135731973025241</v>
      </c>
      <c r="S330" s="106">
        <v>13089.28165374677</v>
      </c>
      <c r="T330" s="106">
        <v>13499.965546942291</v>
      </c>
      <c r="U330" s="106">
        <v>8972.0887166236007</v>
      </c>
      <c r="V330" s="106">
        <v>0.47954125124380853</v>
      </c>
      <c r="W330" s="106">
        <v>68191.906976744183</v>
      </c>
      <c r="X330" s="110">
        <v>0.5612516955413801</v>
      </c>
      <c r="Y330" s="106">
        <v>552.61904761904759</v>
      </c>
      <c r="Z330" s="106">
        <v>18.428571428571427</v>
      </c>
      <c r="AA330" s="106">
        <v>36294.756097560974</v>
      </c>
      <c r="AB330" s="106">
        <v>299.19847766767197</v>
      </c>
      <c r="AC330" s="106">
        <v>2.7552189559064169</v>
      </c>
      <c r="AD330" s="106">
        <v>28.054740957966761</v>
      </c>
      <c r="AE330" s="106">
        <v>121.30662020905923</v>
      </c>
      <c r="AF330" s="106">
        <v>-6.2929945217476163E-2</v>
      </c>
      <c r="AG330" s="106">
        <v>3570</v>
      </c>
      <c r="AH330" s="106">
        <v>11162.240310077519</v>
      </c>
      <c r="AI330" s="106">
        <v>11183.103359173127</v>
      </c>
      <c r="AJ330" s="106">
        <v>13123.409991386736</v>
      </c>
      <c r="AK330" s="104">
        <v>11651.245478036175</v>
      </c>
      <c r="AL330" s="119">
        <v>6438401</v>
      </c>
      <c r="AM330" s="118">
        <v>1424</v>
      </c>
      <c r="AN330" s="118">
        <v>34815</v>
      </c>
      <c r="AO330" s="118">
        <v>229</v>
      </c>
      <c r="AP330" s="118">
        <f t="shared" si="5"/>
        <v>744</v>
      </c>
    </row>
    <row r="331" spans="1:42" ht="12.75">
      <c r="A331" s="106">
        <v>2018</v>
      </c>
      <c r="B331" s="106">
        <v>-219824</v>
      </c>
      <c r="C331" s="106">
        <v>0</v>
      </c>
      <c r="D331" s="106">
        <v>219824</v>
      </c>
      <c r="E331" s="106" t="s">
        <v>714</v>
      </c>
      <c r="F331" s="106" t="s">
        <v>715</v>
      </c>
      <c r="G331" s="106" t="s">
        <v>255</v>
      </c>
      <c r="H331" s="106">
        <v>4</v>
      </c>
      <c r="I331" s="106" t="s">
        <v>24</v>
      </c>
      <c r="J331" s="106">
        <v>4159</v>
      </c>
      <c r="K331" s="106">
        <v>6803</v>
      </c>
      <c r="L331" s="106">
        <v>6268</v>
      </c>
      <c r="M331" s="106">
        <v>0.56999999999999995</v>
      </c>
      <c r="N331" s="106">
        <v>0.15</v>
      </c>
      <c r="O331" s="106">
        <v>0.09</v>
      </c>
      <c r="P331" s="106">
        <v>5034</v>
      </c>
      <c r="Q331" s="106">
        <v>313.2166480862133</v>
      </c>
      <c r="R331" s="106">
        <v>5.4410065616189641E-2</v>
      </c>
      <c r="S331" s="106">
        <v>15746.161835748791</v>
      </c>
      <c r="T331" s="106">
        <v>15293.267558528429</v>
      </c>
      <c r="U331" s="106">
        <v>10311.112642936503</v>
      </c>
      <c r="V331" s="106">
        <v>0.52791365701277515</v>
      </c>
      <c r="W331" s="106">
        <v>67619.323706896554</v>
      </c>
      <c r="X331" s="110">
        <v>0.63532152977013301</v>
      </c>
      <c r="Y331" s="106">
        <v>462.15171755725191</v>
      </c>
      <c r="Z331" s="106">
        <v>15.406488549618322</v>
      </c>
      <c r="AA331" s="106">
        <v>37045.666384702439</v>
      </c>
      <c r="AB331" s="106">
        <v>343.73568858920532</v>
      </c>
      <c r="AC331" s="106">
        <v>2.6993710670917714</v>
      </c>
      <c r="AD331" s="106">
        <v>27.709951905290421</v>
      </c>
      <c r="AE331" s="106">
        <v>107.77369826435248</v>
      </c>
      <c r="AF331" s="106">
        <v>6.65769529676737E-2</v>
      </c>
      <c r="AG331" s="106">
        <v>3840</v>
      </c>
      <c r="AH331" s="106">
        <v>14912.159234485322</v>
      </c>
      <c r="AI331" s="106">
        <v>15039.717577108882</v>
      </c>
      <c r="AJ331" s="106">
        <v>15810.123560014865</v>
      </c>
      <c r="AK331" s="104">
        <v>13252.059085841694</v>
      </c>
      <c r="AL331" s="118">
        <v>31261381</v>
      </c>
      <c r="AM331" s="118">
        <v>8152</v>
      </c>
      <c r="AN331" s="118">
        <v>161445</v>
      </c>
      <c r="AO331" s="118">
        <v>1132</v>
      </c>
      <c r="AP331" s="118">
        <f t="shared" si="5"/>
        <v>319</v>
      </c>
    </row>
    <row r="332" spans="1:42" ht="12.75">
      <c r="A332" s="106">
        <v>2018</v>
      </c>
      <c r="B332" s="106">
        <v>-208390</v>
      </c>
      <c r="C332" s="106">
        <v>0</v>
      </c>
      <c r="D332" s="106">
        <v>208390</v>
      </c>
      <c r="E332" s="106" t="s">
        <v>716</v>
      </c>
      <c r="F332" s="106" t="s">
        <v>717</v>
      </c>
      <c r="G332" s="106" t="s">
        <v>405</v>
      </c>
      <c r="H332" s="106">
        <v>4</v>
      </c>
      <c r="I332" s="106" t="s">
        <v>24</v>
      </c>
      <c r="J332" s="106">
        <v>4500</v>
      </c>
      <c r="K332" s="106">
        <v>4295</v>
      </c>
      <c r="L332" s="106">
        <v>5107</v>
      </c>
      <c r="M332" s="106">
        <v>0.56000000000000005</v>
      </c>
      <c r="N332" s="106">
        <v>0.22</v>
      </c>
      <c r="O332" s="106">
        <v>0.06</v>
      </c>
      <c r="P332" s="106">
        <v>1803</v>
      </c>
      <c r="Q332" s="106">
        <v>424.85631617828119</v>
      </c>
      <c r="R332" s="106">
        <v>0.10626085108872718</v>
      </c>
      <c r="S332" s="106">
        <v>17352.538906673231</v>
      </c>
      <c r="T332" s="106">
        <v>16705.117951243537</v>
      </c>
      <c r="U332" s="106">
        <v>12283.924457918394</v>
      </c>
      <c r="V332" s="106">
        <v>0.29089913781031751</v>
      </c>
      <c r="W332" s="106">
        <v>97221.678423236517</v>
      </c>
      <c r="X332" s="110">
        <v>0.57563391107161133</v>
      </c>
      <c r="Y332" s="106">
        <v>583.6011976047904</v>
      </c>
      <c r="Z332" s="106">
        <v>24.317365269461078</v>
      </c>
      <c r="AA332" s="106">
        <v>43153.129086164881</v>
      </c>
      <c r="AB332" s="106">
        <v>511.84383995722004</v>
      </c>
      <c r="AC332" s="106">
        <v>2.317329058579451</v>
      </c>
      <c r="AD332" s="106">
        <v>35.094110503946567</v>
      </c>
      <c r="AE332" s="106">
        <v>84.30916955017301</v>
      </c>
      <c r="AF332" s="106">
        <v>5.1177612477016764E-2</v>
      </c>
      <c r="AG332" s="106">
        <v>3825</v>
      </c>
      <c r="AH332" s="106">
        <v>16271.858655503571</v>
      </c>
      <c r="AI332" s="106">
        <v>16271.858655503571</v>
      </c>
      <c r="AJ332" s="106">
        <v>17456.276409751292</v>
      </c>
      <c r="AK332" s="104">
        <v>15052.683452351637</v>
      </c>
      <c r="AL332" s="118">
        <v>74416067</v>
      </c>
      <c r="AM332" s="118">
        <v>10279</v>
      </c>
      <c r="AN332" s="118">
        <v>194922.8</v>
      </c>
      <c r="AO332" s="118">
        <v>1917</v>
      </c>
      <c r="AP332" s="118">
        <f t="shared" si="5"/>
        <v>675</v>
      </c>
    </row>
    <row r="333" spans="1:42" ht="12.75">
      <c r="A333" s="106">
        <v>2018</v>
      </c>
      <c r="B333" s="106">
        <v>-162168</v>
      </c>
      <c r="C333" s="106">
        <v>0</v>
      </c>
      <c r="D333" s="106">
        <v>162168</v>
      </c>
      <c r="E333" s="106" t="s">
        <v>718</v>
      </c>
      <c r="F333" s="106" t="s">
        <v>719</v>
      </c>
      <c r="G333" s="106" t="s">
        <v>124</v>
      </c>
      <c r="H333" s="106">
        <v>4</v>
      </c>
      <c r="I333" s="106" t="s">
        <v>24</v>
      </c>
      <c r="J333" s="106">
        <v>3818</v>
      </c>
      <c r="K333" s="106">
        <v>5428</v>
      </c>
      <c r="L333" s="106">
        <v>3872</v>
      </c>
      <c r="M333" s="106">
        <v>0.43</v>
      </c>
      <c r="N333" s="106">
        <v>0.02</v>
      </c>
      <c r="O333" s="106">
        <v>0.41</v>
      </c>
      <c r="P333" s="106">
        <v>1198</v>
      </c>
      <c r="Q333" s="106">
        <v>60.232853513971207</v>
      </c>
      <c r="R333" s="106">
        <v>9.6831110535159481E-3</v>
      </c>
      <c r="S333" s="106">
        <v>22823.03132938188</v>
      </c>
      <c r="T333" s="106">
        <v>26260.204064352245</v>
      </c>
      <c r="U333" s="106">
        <v>17373.00099620398</v>
      </c>
      <c r="V333" s="106">
        <v>0.35458296445710302</v>
      </c>
      <c r="W333" s="106">
        <v>64129.412571428569</v>
      </c>
      <c r="X333" s="110">
        <v>0.60310935620816375</v>
      </c>
      <c r="Y333" s="106">
        <v>423.29880478087648</v>
      </c>
      <c r="Z333" s="106">
        <v>14.115537848605577</v>
      </c>
      <c r="AA333" s="106">
        <v>62363.264974215504</v>
      </c>
      <c r="AB333" s="106">
        <v>579.32895235252147</v>
      </c>
      <c r="AC333" s="106">
        <v>1.6035080915238427</v>
      </c>
      <c r="AD333" s="106">
        <v>29.375</v>
      </c>
      <c r="AE333" s="106">
        <v>107.64741641337386</v>
      </c>
      <c r="AF333" s="106">
        <v>-3.7836677290996011E-2</v>
      </c>
      <c r="AG333" s="106">
        <v>2928</v>
      </c>
      <c r="AH333" s="106">
        <v>22583.163420829806</v>
      </c>
      <c r="AI333" s="106">
        <v>22583.163420829806</v>
      </c>
      <c r="AJ333" s="106">
        <v>22838.005080440304</v>
      </c>
      <c r="AK333" s="104">
        <v>18958.491109229468</v>
      </c>
      <c r="AL333" s="118">
        <v>12912886</v>
      </c>
      <c r="AM333" s="118">
        <v>2189</v>
      </c>
      <c r="AN333" s="118">
        <v>35416</v>
      </c>
      <c r="AO333" s="118">
        <v>266</v>
      </c>
      <c r="AP333" s="118">
        <f t="shared" si="5"/>
        <v>890</v>
      </c>
    </row>
    <row r="334" spans="1:42" ht="12.75">
      <c r="A334" s="106">
        <v>2018</v>
      </c>
      <c r="B334" s="106">
        <v>-211583</v>
      </c>
      <c r="C334" s="106">
        <v>0</v>
      </c>
      <c r="D334" s="106">
        <v>211583</v>
      </c>
      <c r="E334" s="106" t="s">
        <v>720</v>
      </c>
      <c r="F334" s="106" t="s">
        <v>721</v>
      </c>
      <c r="G334" s="106" t="s">
        <v>104</v>
      </c>
      <c r="H334" s="106">
        <v>6</v>
      </c>
      <c r="I334" s="106" t="s">
        <v>3640</v>
      </c>
      <c r="J334" s="106">
        <v>35180</v>
      </c>
      <c r="K334" s="106">
        <v>25248</v>
      </c>
      <c r="L334" s="106">
        <v>21785</v>
      </c>
      <c r="M334" s="106">
        <v>0.41</v>
      </c>
      <c r="N334" s="106">
        <v>0.92</v>
      </c>
      <c r="O334" s="106">
        <v>0.92</v>
      </c>
      <c r="P334" s="106">
        <v>21518</v>
      </c>
      <c r="Q334" s="106">
        <v>10410.427443837279</v>
      </c>
      <c r="R334" s="106">
        <v>0.39837605632199319</v>
      </c>
      <c r="S334" s="106">
        <v>22493.786885245903</v>
      </c>
      <c r="T334" s="106">
        <v>22412.093503339405</v>
      </c>
      <c r="U334" s="106">
        <v>18512.809350333941</v>
      </c>
      <c r="V334" s="106">
        <v>0.84923545445830395</v>
      </c>
      <c r="W334" s="106">
        <v>76552.432605905007</v>
      </c>
      <c r="X334" s="110">
        <v>0.53851669768668886</v>
      </c>
      <c r="Y334" s="106">
        <v>355.98399999999998</v>
      </c>
      <c r="Z334" s="106">
        <v>13.176</v>
      </c>
      <c r="AA334" s="106">
        <v>57421.086629001882</v>
      </c>
      <c r="AB334" s="106">
        <v>685.21275113488241</v>
      </c>
      <c r="AC334" s="106">
        <v>1.7415205087653745</v>
      </c>
      <c r="AD334" s="106">
        <v>34.683213585891579</v>
      </c>
      <c r="AE334" s="106">
        <v>83.80037664783427</v>
      </c>
      <c r="AF334" s="106">
        <v>2.0008156741096173E-2</v>
      </c>
      <c r="AG334" s="106">
        <v>34950</v>
      </c>
      <c r="AH334" s="106">
        <v>20231.560412871888</v>
      </c>
      <c r="AI334" s="106">
        <v>22493.786885245903</v>
      </c>
      <c r="AJ334" s="106">
        <v>22801.081967213115</v>
      </c>
      <c r="AK334" s="104">
        <v>18512.809350333941</v>
      </c>
      <c r="AL334" s="118"/>
      <c r="AM334" s="118">
        <v>1364</v>
      </c>
      <c r="AN334" s="118">
        <v>44498</v>
      </c>
      <c r="AO334" s="118">
        <v>337</v>
      </c>
      <c r="AP334" s="118">
        <f t="shared" si="5"/>
        <v>230</v>
      </c>
    </row>
    <row r="335" spans="1:42" ht="12.75">
      <c r="A335" s="106">
        <v>2018</v>
      </c>
      <c r="B335" s="106">
        <v>-211608</v>
      </c>
      <c r="C335" s="106">
        <v>0</v>
      </c>
      <c r="D335" s="106">
        <v>211608</v>
      </c>
      <c r="E335" s="106" t="s">
        <v>722</v>
      </c>
      <c r="F335" s="106" t="s">
        <v>723</v>
      </c>
      <c r="G335" s="106" t="s">
        <v>104</v>
      </c>
      <c r="H335" s="106">
        <v>3</v>
      </c>
      <c r="I335" s="104" t="s">
        <v>26</v>
      </c>
      <c r="J335" s="106">
        <v>12104</v>
      </c>
      <c r="K335" s="106">
        <v>14620</v>
      </c>
      <c r="L335" s="106">
        <v>14371</v>
      </c>
      <c r="M335" s="106">
        <v>0.72</v>
      </c>
      <c r="N335" s="106">
        <v>0.78</v>
      </c>
      <c r="O335" s="106">
        <v>0.23</v>
      </c>
      <c r="P335" s="106">
        <v>4100</v>
      </c>
      <c r="Q335" s="106">
        <v>2133.3846153846152</v>
      </c>
      <c r="R335" s="106">
        <v>0.1887786108563928</v>
      </c>
      <c r="S335" s="106">
        <v>45921.201741654571</v>
      </c>
      <c r="T335" s="106">
        <v>39678.060957910013</v>
      </c>
      <c r="U335" s="106">
        <v>36612.904017674184</v>
      </c>
      <c r="V335" s="106">
        <v>0.2503926571293173</v>
      </c>
      <c r="W335" s="106">
        <v>47713.952890792294</v>
      </c>
      <c r="X335" s="110">
        <v>0.27168856570721744</v>
      </c>
      <c r="Y335" s="106">
        <v>374.8170731707317</v>
      </c>
      <c r="Z335" s="106">
        <v>12.603658536585366</v>
      </c>
      <c r="AA335" s="106">
        <v>143331.19811464494</v>
      </c>
      <c r="AB335" s="106">
        <v>1231.1513356846028</v>
      </c>
      <c r="AC335" s="106">
        <v>0.69768481192778387</v>
      </c>
      <c r="AD335" s="106">
        <v>24.47844228094576</v>
      </c>
      <c r="AE335" s="106">
        <v>116.42045454545455</v>
      </c>
      <c r="AF335" s="106">
        <v>-9.9197214609042531E-2</v>
      </c>
      <c r="AG335" s="106">
        <v>9360</v>
      </c>
      <c r="AH335" s="106">
        <v>47213.191582002903</v>
      </c>
      <c r="AI335" s="106">
        <v>48333.680696661831</v>
      </c>
      <c r="AJ335" s="106">
        <v>46204.502177068214</v>
      </c>
      <c r="AK335" s="104">
        <v>41385.609579100143</v>
      </c>
      <c r="AL335" s="119">
        <v>12633506</v>
      </c>
      <c r="AM335" s="118">
        <v>723</v>
      </c>
      <c r="AN335" s="118">
        <v>20490</v>
      </c>
      <c r="AO335" s="118">
        <v>152</v>
      </c>
      <c r="AP335" s="118">
        <f t="shared" si="5"/>
        <v>2744</v>
      </c>
    </row>
    <row r="336" spans="1:42" ht="12.75">
      <c r="A336" s="106">
        <v>2018</v>
      </c>
      <c r="B336" s="106">
        <v>-144005</v>
      </c>
      <c r="C336" s="106">
        <v>0</v>
      </c>
      <c r="D336" s="106">
        <v>144005</v>
      </c>
      <c r="E336" s="106" t="s">
        <v>724</v>
      </c>
      <c r="F336" s="106" t="s">
        <v>725</v>
      </c>
      <c r="G336" s="106" t="s">
        <v>243</v>
      </c>
      <c r="H336" s="106">
        <v>2</v>
      </c>
      <c r="I336" s="106" t="s">
        <v>25</v>
      </c>
      <c r="J336" s="106">
        <v>10252</v>
      </c>
      <c r="K336" s="106">
        <v>11099</v>
      </c>
      <c r="L336" s="106">
        <v>9944</v>
      </c>
      <c r="M336" s="106">
        <v>0.79</v>
      </c>
      <c r="N336" s="106">
        <v>0.91</v>
      </c>
      <c r="O336" s="106">
        <v>0.52</v>
      </c>
      <c r="P336" s="106">
        <v>10755</v>
      </c>
      <c r="Q336" s="106">
        <v>2526.3588495575223</v>
      </c>
      <c r="R336" s="106">
        <v>0.19889967123002111</v>
      </c>
      <c r="S336" s="106">
        <v>63732.632300884958</v>
      </c>
      <c r="T336" s="106">
        <v>53629.518141592918</v>
      </c>
      <c r="U336" s="106">
        <v>41790.347885292016</v>
      </c>
      <c r="V336" s="106">
        <v>0.24348482368836261</v>
      </c>
      <c r="W336" s="106">
        <v>139527.68663101603</v>
      </c>
      <c r="X336" s="110">
        <v>0.71757683703956099</v>
      </c>
      <c r="Y336" s="106">
        <v>242.79471228615861</v>
      </c>
      <c r="Z336" s="106">
        <v>10.544323483670295</v>
      </c>
      <c r="AA336" s="106">
        <v>114065.44229560382</v>
      </c>
      <c r="AB336" s="106">
        <v>1814.9116282165292</v>
      </c>
      <c r="AC336" s="106">
        <v>0.87668971414538666</v>
      </c>
      <c r="AD336" s="106">
        <v>34.615384615384613</v>
      </c>
      <c r="AE336" s="106">
        <v>62.84903381642512</v>
      </c>
      <c r="AF336" s="106">
        <v>0.16473754768122753</v>
      </c>
      <c r="AG336" s="106">
        <v>7056</v>
      </c>
      <c r="AH336" s="106">
        <v>62116.59336283186</v>
      </c>
      <c r="AI336" s="106">
        <v>62116.59336283186</v>
      </c>
      <c r="AJ336" s="106">
        <v>63910.635840707968</v>
      </c>
      <c r="AK336" s="104">
        <v>49654.055309734511</v>
      </c>
      <c r="AL336" s="119">
        <v>58427275</v>
      </c>
      <c r="AM336" s="118">
        <v>2029</v>
      </c>
      <c r="AN336" s="118">
        <v>52039</v>
      </c>
      <c r="AO336" s="118">
        <v>446</v>
      </c>
      <c r="AP336" s="118">
        <f t="shared" si="5"/>
        <v>3196</v>
      </c>
    </row>
    <row r="337" spans="1:42" ht="12.75">
      <c r="A337" s="106">
        <v>2018</v>
      </c>
      <c r="B337" s="106">
        <v>-133021</v>
      </c>
      <c r="C337" s="106">
        <v>0</v>
      </c>
      <c r="D337" s="106">
        <v>133021</v>
      </c>
      <c r="E337" s="106" t="s">
        <v>726</v>
      </c>
      <c r="F337" s="106" t="s">
        <v>727</v>
      </c>
      <c r="G337" s="106" t="s">
        <v>258</v>
      </c>
      <c r="H337" s="106">
        <v>3</v>
      </c>
      <c r="I337" s="104" t="s">
        <v>26</v>
      </c>
      <c r="J337" s="106">
        <v>3120</v>
      </c>
      <c r="K337" s="106">
        <v>3099</v>
      </c>
      <c r="L337" s="106">
        <v>1151</v>
      </c>
      <c r="M337" s="106">
        <v>0.51</v>
      </c>
      <c r="N337" s="106">
        <v>0</v>
      </c>
      <c r="O337" s="106">
        <v>0.16</v>
      </c>
      <c r="P337" s="106">
        <v>3673</v>
      </c>
      <c r="Q337" s="106">
        <v>379.82093663911843</v>
      </c>
      <c r="R337" s="106">
        <v>0.16193136106905823</v>
      </c>
      <c r="S337" s="106">
        <v>13913.382231404959</v>
      </c>
      <c r="T337" s="106">
        <v>16031.103994490359</v>
      </c>
      <c r="U337" s="106">
        <v>13111.882526454472</v>
      </c>
      <c r="V337" s="106">
        <v>0.14992100123744612</v>
      </c>
      <c r="W337" s="106">
        <v>47778.25</v>
      </c>
      <c r="X337" s="110">
        <v>0.4926193110388925</v>
      </c>
      <c r="Y337" s="106">
        <v>475.91985185185183</v>
      </c>
      <c r="Z337" s="106">
        <v>16.133333333333333</v>
      </c>
      <c r="AA337" s="106">
        <v>36612.410439253639</v>
      </c>
      <c r="AB337" s="106">
        <v>444.48318472886098</v>
      </c>
      <c r="AC337" s="106">
        <v>2.7313142948049651</v>
      </c>
      <c r="AD337" s="106">
        <v>38.433111603843315</v>
      </c>
      <c r="AE337" s="106">
        <v>82.370743589743597</v>
      </c>
      <c r="AF337" s="106">
        <v>-2.6791112514578112E-2</v>
      </c>
      <c r="AG337" s="106">
        <v>2365</v>
      </c>
      <c r="AH337" s="106">
        <v>12121.805096418733</v>
      </c>
      <c r="AI337" s="106">
        <v>12131.923553719009</v>
      </c>
      <c r="AJ337" s="106">
        <v>13966.592975206611</v>
      </c>
      <c r="AK337" s="104">
        <v>15921.802341597797</v>
      </c>
      <c r="AL337" s="118">
        <v>12068946</v>
      </c>
      <c r="AM337" s="118">
        <v>2092</v>
      </c>
      <c r="AN337" s="118">
        <v>42832.786666666667</v>
      </c>
      <c r="AO337" s="118">
        <v>389</v>
      </c>
      <c r="AP337" s="118">
        <f t="shared" si="5"/>
        <v>755</v>
      </c>
    </row>
    <row r="338" spans="1:42" ht="12.75">
      <c r="A338" s="106">
        <v>2018</v>
      </c>
      <c r="B338" s="106">
        <v>-240116</v>
      </c>
      <c r="C338" s="106">
        <v>0</v>
      </c>
      <c r="D338" s="106">
        <v>240116</v>
      </c>
      <c r="E338" s="106" t="s">
        <v>728</v>
      </c>
      <c r="F338" s="106" t="s">
        <v>729</v>
      </c>
      <c r="G338" s="106" t="s">
        <v>139</v>
      </c>
      <c r="H338" s="106">
        <v>4</v>
      </c>
      <c r="I338" s="106" t="s">
        <v>24</v>
      </c>
      <c r="J338" s="106">
        <v>4304</v>
      </c>
      <c r="K338" s="106">
        <v>9307</v>
      </c>
      <c r="L338" s="106">
        <v>8593</v>
      </c>
      <c r="M338" s="106">
        <v>0.46</v>
      </c>
      <c r="N338" s="106">
        <v>0.5</v>
      </c>
      <c r="O338" s="106">
        <v>0.06</v>
      </c>
      <c r="P338" s="106">
        <v>1751</v>
      </c>
      <c r="Q338" s="106"/>
      <c r="R338" s="106"/>
      <c r="S338" s="106">
        <v>20061.5645</v>
      </c>
      <c r="T338" s="106">
        <v>20304.417750000001</v>
      </c>
      <c r="U338" s="106">
        <v>15452.9125</v>
      </c>
      <c r="V338" s="106">
        <v>0.28173334638373188</v>
      </c>
      <c r="W338" s="106">
        <v>91358.376098418274</v>
      </c>
      <c r="X338" s="110">
        <v>0.64004440609975133</v>
      </c>
      <c r="Y338" s="106">
        <v>397.81988950276241</v>
      </c>
      <c r="Z338" s="106">
        <v>13.259668508287293</v>
      </c>
      <c r="AA338" s="106">
        <v>23237.462406015038</v>
      </c>
      <c r="AB338" s="106">
        <v>515.05845394928713</v>
      </c>
      <c r="AC338" s="106">
        <v>4.3033958808735893</v>
      </c>
      <c r="AD338" s="106">
        <v>69.834602257810445</v>
      </c>
      <c r="AE338" s="106">
        <v>45.116165413533835</v>
      </c>
      <c r="AF338" s="106">
        <v>-1.0014033652166972E-2</v>
      </c>
      <c r="AG338" s="106">
        <v>3966</v>
      </c>
      <c r="AH338" s="106">
        <v>19237.056</v>
      </c>
      <c r="AI338" s="106">
        <v>19413.476750000002</v>
      </c>
      <c r="AJ338" s="106">
        <v>20149.47075</v>
      </c>
      <c r="AK338" s="104">
        <v>16599.349750000001</v>
      </c>
      <c r="AL338" s="118">
        <v>44183908</v>
      </c>
      <c r="AM338" s="118">
        <v>7134</v>
      </c>
      <c r="AN338" s="118">
        <v>120009</v>
      </c>
      <c r="AO338" s="118">
        <v>770</v>
      </c>
      <c r="AP338" s="118">
        <f t="shared" si="5"/>
        <v>338</v>
      </c>
    </row>
    <row r="339" spans="1:42" ht="12.75">
      <c r="A339" s="106">
        <v>2018</v>
      </c>
      <c r="B339" s="106">
        <v>-198303</v>
      </c>
      <c r="C339" s="106">
        <v>0</v>
      </c>
      <c r="D339" s="106">
        <v>198303</v>
      </c>
      <c r="E339" s="106" t="s">
        <v>730</v>
      </c>
      <c r="F339" s="106" t="s">
        <v>731</v>
      </c>
      <c r="G339" s="106" t="s">
        <v>90</v>
      </c>
      <c r="H339" s="106">
        <v>7</v>
      </c>
      <c r="I339" s="106" t="s">
        <v>3641</v>
      </c>
      <c r="J339" s="106">
        <v>24480</v>
      </c>
      <c r="K339" s="106">
        <v>17298</v>
      </c>
      <c r="L339" s="106">
        <v>16196</v>
      </c>
      <c r="M339" s="106">
        <v>0.8</v>
      </c>
      <c r="N339" s="106">
        <v>0.9</v>
      </c>
      <c r="O339" s="106">
        <v>1</v>
      </c>
      <c r="P339" s="106">
        <v>11864</v>
      </c>
      <c r="Q339" s="106">
        <v>11984.928906773977</v>
      </c>
      <c r="R339" s="106">
        <v>0.53088644776357075</v>
      </c>
      <c r="S339" s="106">
        <v>20492.9651240778</v>
      </c>
      <c r="T339" s="106">
        <v>19648.181086519115</v>
      </c>
      <c r="U339" s="106">
        <v>15267.129443326627</v>
      </c>
      <c r="V339" s="106">
        <v>0.69367239972780737</v>
      </c>
      <c r="W339" s="106">
        <v>74303.609281437122</v>
      </c>
      <c r="X339" s="110">
        <v>0.56476155092816838</v>
      </c>
      <c r="Y339" s="106">
        <v>667.2388059701492</v>
      </c>
      <c r="Z339" s="106">
        <v>22.253731343283583</v>
      </c>
      <c r="AA339" s="106">
        <v>97279.017094017094</v>
      </c>
      <c r="AB339" s="106">
        <v>509.18890504417851</v>
      </c>
      <c r="AC339" s="106">
        <v>1.0279709128162053</v>
      </c>
      <c r="AD339" s="106">
        <v>15.97269624573379</v>
      </c>
      <c r="AE339" s="106">
        <v>191.04700854700855</v>
      </c>
      <c r="AF339" s="106">
        <v>4.8021631232456306E-2</v>
      </c>
      <c r="AG339" s="106">
        <v>24480</v>
      </c>
      <c r="AH339" s="106">
        <v>18978.790744466802</v>
      </c>
      <c r="AI339" s="106">
        <v>20601.468812877265</v>
      </c>
      <c r="AJ339" s="106">
        <v>21258.894030851778</v>
      </c>
      <c r="AK339" s="104">
        <v>15267.129443326627</v>
      </c>
      <c r="AL339" s="118"/>
      <c r="AM339" s="118">
        <v>1498</v>
      </c>
      <c r="AN339" s="118">
        <v>44705</v>
      </c>
      <c r="AO339" s="118">
        <v>234</v>
      </c>
      <c r="AP339" s="118">
        <f t="shared" si="5"/>
        <v>0</v>
      </c>
    </row>
    <row r="340" spans="1:42" ht="12.75">
      <c r="A340" s="106">
        <v>2018</v>
      </c>
      <c r="B340" s="106">
        <v>-219833</v>
      </c>
      <c r="C340" s="106">
        <v>0</v>
      </c>
      <c r="D340" s="106">
        <v>219833</v>
      </c>
      <c r="E340" s="106" t="s">
        <v>732</v>
      </c>
      <c r="F340" s="106" t="s">
        <v>733</v>
      </c>
      <c r="G340" s="106" t="s">
        <v>255</v>
      </c>
      <c r="H340" s="106">
        <v>6</v>
      </c>
      <c r="I340" s="106" t="s">
        <v>3640</v>
      </c>
      <c r="J340" s="106">
        <v>31870</v>
      </c>
      <c r="K340" s="106">
        <v>18275</v>
      </c>
      <c r="L340" s="106">
        <v>8929</v>
      </c>
      <c r="M340" s="106">
        <v>0.38</v>
      </c>
      <c r="N340" s="106">
        <v>0.59</v>
      </c>
      <c r="O340" s="106">
        <v>0.99</v>
      </c>
      <c r="P340" s="106">
        <v>18829</v>
      </c>
      <c r="Q340" s="106">
        <v>13109.410382513661</v>
      </c>
      <c r="R340" s="106">
        <v>0.49731786652393351</v>
      </c>
      <c r="S340" s="106">
        <v>21530.845901639343</v>
      </c>
      <c r="T340" s="106">
        <v>21014.584699453553</v>
      </c>
      <c r="U340" s="106">
        <v>14922.869398907103</v>
      </c>
      <c r="V340" s="106">
        <v>0.88795346973770517</v>
      </c>
      <c r="W340" s="106">
        <v>77892.437931034481</v>
      </c>
      <c r="X340" s="110">
        <v>0.58738302750444726</v>
      </c>
      <c r="Y340" s="106">
        <v>414.52072538860108</v>
      </c>
      <c r="Z340" s="106">
        <v>14.222797927461141</v>
      </c>
      <c r="AA340" s="106">
        <v>53337.599609375</v>
      </c>
      <c r="AB340" s="106">
        <v>512.02495547014155</v>
      </c>
      <c r="AC340" s="106">
        <v>1.8748500257297531</v>
      </c>
      <c r="AD340" s="106">
        <v>28.828828828828829</v>
      </c>
      <c r="AE340" s="106">
        <v>104.169921875</v>
      </c>
      <c r="AF340" s="106">
        <v>6.050386668589431E-2</v>
      </c>
      <c r="AG340" s="106">
        <v>31000</v>
      </c>
      <c r="AH340" s="106">
        <v>17664.571584699454</v>
      </c>
      <c r="AI340" s="106">
        <v>21530.845901639343</v>
      </c>
      <c r="AJ340" s="106">
        <v>21637.561748633882</v>
      </c>
      <c r="AK340" s="104">
        <v>14922.869398907103</v>
      </c>
      <c r="AL340" s="118"/>
      <c r="AM340" s="118">
        <v>1791</v>
      </c>
      <c r="AN340" s="118">
        <v>53335</v>
      </c>
      <c r="AO340" s="118">
        <v>314</v>
      </c>
      <c r="AP340" s="118">
        <f t="shared" si="5"/>
        <v>870</v>
      </c>
    </row>
    <row r="341" spans="1:42" ht="12.75">
      <c r="A341" s="106">
        <v>2018</v>
      </c>
      <c r="B341" s="106">
        <v>-231712</v>
      </c>
      <c r="C341" s="106">
        <v>0</v>
      </c>
      <c r="D341" s="106">
        <v>231712</v>
      </c>
      <c r="E341" s="106" t="s">
        <v>734</v>
      </c>
      <c r="F341" s="106" t="s">
        <v>735</v>
      </c>
      <c r="G341" s="106" t="s">
        <v>261</v>
      </c>
      <c r="H341" s="106">
        <v>2</v>
      </c>
      <c r="I341" s="106" t="s">
        <v>25</v>
      </c>
      <c r="J341" s="106">
        <v>13654</v>
      </c>
      <c r="K341" s="106">
        <v>23331</v>
      </c>
      <c r="L341" s="106">
        <v>16825</v>
      </c>
      <c r="M341" s="106">
        <v>0.13</v>
      </c>
      <c r="N341" s="106">
        <v>0.5</v>
      </c>
      <c r="O341" s="106">
        <v>0.44</v>
      </c>
      <c r="P341" s="106">
        <v>3214</v>
      </c>
      <c r="Q341" s="106">
        <v>806.55429726996965</v>
      </c>
      <c r="R341" s="106">
        <v>8.6426406657181237E-2</v>
      </c>
      <c r="S341" s="106">
        <v>31485.214560161781</v>
      </c>
      <c r="T341" s="106">
        <v>31947.178968655207</v>
      </c>
      <c r="U341" s="106">
        <v>16177.892613344047</v>
      </c>
      <c r="V341" s="106">
        <v>0.52699772725633254</v>
      </c>
      <c r="W341" s="106">
        <v>71384.478557504874</v>
      </c>
      <c r="X341" s="110">
        <v>0.46360951596036937</v>
      </c>
      <c r="Y341" s="106">
        <v>440.21272365805169</v>
      </c>
      <c r="Z341" s="106">
        <v>14.746520874751491</v>
      </c>
      <c r="AA341" s="106">
        <v>64829.561566439472</v>
      </c>
      <c r="AB341" s="106">
        <v>541.93715517746011</v>
      </c>
      <c r="AC341" s="106">
        <v>1.5425061898269465</v>
      </c>
      <c r="AD341" s="106">
        <v>24.615998404149213</v>
      </c>
      <c r="AE341" s="106">
        <v>119.6256077795786</v>
      </c>
      <c r="AF341" s="106">
        <v>7.1928150470843624E-2</v>
      </c>
      <c r="AG341" s="106">
        <v>8236</v>
      </c>
      <c r="AH341" s="106">
        <v>32366.861476238624</v>
      </c>
      <c r="AI341" s="106">
        <v>32798.10778564206</v>
      </c>
      <c r="AJ341" s="106">
        <v>31564.831547017187</v>
      </c>
      <c r="AK341" s="104">
        <v>16975.295652173914</v>
      </c>
      <c r="AL341" s="118">
        <v>33939223</v>
      </c>
      <c r="AM341" s="118">
        <v>4954</v>
      </c>
      <c r="AN341" s="118">
        <v>147618</v>
      </c>
      <c r="AO341" s="118">
        <v>1138</v>
      </c>
      <c r="AP341" s="118">
        <f t="shared" si="5"/>
        <v>5418</v>
      </c>
    </row>
    <row r="342" spans="1:42" ht="12.75">
      <c r="A342" s="106">
        <v>2018</v>
      </c>
      <c r="B342" s="106">
        <v>-201928</v>
      </c>
      <c r="C342" s="106">
        <v>0</v>
      </c>
      <c r="D342" s="106">
        <v>201928</v>
      </c>
      <c r="E342" s="106" t="s">
        <v>736</v>
      </c>
      <c r="F342" s="106" t="s">
        <v>737</v>
      </c>
      <c r="G342" s="106" t="s">
        <v>82</v>
      </c>
      <c r="H342" s="106">
        <v>4</v>
      </c>
      <c r="I342" s="106" t="s">
        <v>24</v>
      </c>
      <c r="J342" s="106">
        <v>3825</v>
      </c>
      <c r="K342" s="106">
        <v>3478</v>
      </c>
      <c r="L342" s="106">
        <v>2917</v>
      </c>
      <c r="M342" s="106">
        <v>0.53</v>
      </c>
      <c r="N342" s="106">
        <v>0.51</v>
      </c>
      <c r="O342" s="106">
        <v>0.11</v>
      </c>
      <c r="P342" s="106">
        <v>3609</v>
      </c>
      <c r="Q342" s="106">
        <v>144.36620424536187</v>
      </c>
      <c r="R342" s="106">
        <v>2.6255421313483275E-2</v>
      </c>
      <c r="S342" s="106">
        <v>12398.701320407823</v>
      </c>
      <c r="T342" s="106">
        <v>7543.1617917432723</v>
      </c>
      <c r="U342" s="106">
        <v>10641.918185384673</v>
      </c>
      <c r="V342" s="106">
        <v>0.50312011759481323</v>
      </c>
      <c r="W342" s="106">
        <v>29309.989988876529</v>
      </c>
      <c r="X342" s="110">
        <v>0.38923481351523243</v>
      </c>
      <c r="Y342" s="106">
        <v>528.98722986247537</v>
      </c>
      <c r="Z342" s="106">
        <v>17.631630648330056</v>
      </c>
      <c r="AA342" s="106">
        <v>46171.571068278827</v>
      </c>
      <c r="AB342" s="106">
        <v>354.70491581286382</v>
      </c>
      <c r="AC342" s="106">
        <v>2.1658348998373773</v>
      </c>
      <c r="AD342" s="106">
        <v>30.733229329173167</v>
      </c>
      <c r="AE342" s="106">
        <v>130.16896301667876</v>
      </c>
      <c r="AF342" s="106">
        <v>-0.8789961525482608</v>
      </c>
      <c r="AG342" s="106">
        <v>3567</v>
      </c>
      <c r="AH342" s="106">
        <v>12369.124519471838</v>
      </c>
      <c r="AI342" s="106">
        <v>12369.124519471838</v>
      </c>
      <c r="AJ342" s="106">
        <v>12430.029750961055</v>
      </c>
      <c r="AK342" s="104">
        <v>12034.845562426875</v>
      </c>
      <c r="AL342" s="118">
        <v>29670931</v>
      </c>
      <c r="AM342" s="118">
        <v>8807</v>
      </c>
      <c r="AN342" s="118">
        <v>179503</v>
      </c>
      <c r="AO342" s="118">
        <v>1072</v>
      </c>
      <c r="AP342" s="118">
        <f t="shared" si="5"/>
        <v>258</v>
      </c>
    </row>
    <row r="343" spans="1:42" ht="12.75">
      <c r="A343" s="106">
        <v>2018</v>
      </c>
      <c r="B343" s="106">
        <v>-223898</v>
      </c>
      <c r="C343" s="106">
        <v>0</v>
      </c>
      <c r="D343" s="106">
        <v>223898</v>
      </c>
      <c r="E343" s="106" t="s">
        <v>738</v>
      </c>
      <c r="F343" s="106" t="s">
        <v>739</v>
      </c>
      <c r="G343" s="106" t="s">
        <v>60</v>
      </c>
      <c r="H343" s="106">
        <v>4</v>
      </c>
      <c r="I343" s="106" t="s">
        <v>24</v>
      </c>
      <c r="J343" s="106">
        <v>3810</v>
      </c>
      <c r="K343" s="106">
        <v>8879</v>
      </c>
      <c r="L343" s="106">
        <v>7866</v>
      </c>
      <c r="M343" s="106">
        <v>0.6</v>
      </c>
      <c r="N343" s="106">
        <v>0.21</v>
      </c>
      <c r="O343" s="106">
        <v>0.37</v>
      </c>
      <c r="P343" s="106">
        <v>2030</v>
      </c>
      <c r="Q343" s="106">
        <v>355.82457663916631</v>
      </c>
      <c r="R343" s="106">
        <v>8.6416382439714945E-2</v>
      </c>
      <c r="S343" s="106">
        <v>8564.3304385584015</v>
      </c>
      <c r="T343" s="106">
        <v>8617.283977420755</v>
      </c>
      <c r="U343" s="106">
        <v>6001.6791699136947</v>
      </c>
      <c r="V343" s="106">
        <v>0.62678037052281244</v>
      </c>
      <c r="W343" s="106">
        <v>58322.333333333336</v>
      </c>
      <c r="X343" s="110">
        <v>0.60833232345398391</v>
      </c>
      <c r="Y343" s="106">
        <v>609.49411764705883</v>
      </c>
      <c r="Z343" s="106">
        <v>20.320588235294117</v>
      </c>
      <c r="AA343" s="106">
        <v>17277.33391038905</v>
      </c>
      <c r="AB343" s="106">
        <v>200.0965187374955</v>
      </c>
      <c r="AC343" s="106">
        <v>5.787930042833108</v>
      </c>
      <c r="AD343" s="106">
        <v>38.778477944740672</v>
      </c>
      <c r="AE343" s="106">
        <v>86.344999999999999</v>
      </c>
      <c r="AF343" s="106">
        <v>5.4116612965997811E-2</v>
      </c>
      <c r="AG343" s="106">
        <v>3810</v>
      </c>
      <c r="AH343" s="106">
        <v>8376.451150673036</v>
      </c>
      <c r="AI343" s="106">
        <v>8476.045592705168</v>
      </c>
      <c r="AJ343" s="106">
        <v>8590.470256187582</v>
      </c>
      <c r="AK343" s="104">
        <v>6342.5544941380804</v>
      </c>
      <c r="AL343" s="119">
        <v>8171121</v>
      </c>
      <c r="AM343" s="118">
        <v>3279</v>
      </c>
      <c r="AN343" s="118">
        <v>69076</v>
      </c>
      <c r="AO343" s="118">
        <v>384</v>
      </c>
      <c r="AP343" s="118">
        <f t="shared" si="5"/>
        <v>0</v>
      </c>
    </row>
    <row r="344" spans="1:42" ht="12.75">
      <c r="A344" s="106">
        <v>2018</v>
      </c>
      <c r="B344" s="106">
        <v>-217864</v>
      </c>
      <c r="C344" s="106">
        <v>0</v>
      </c>
      <c r="D344" s="106">
        <v>217864</v>
      </c>
      <c r="E344" s="106" t="s">
        <v>740</v>
      </c>
      <c r="F344" s="106" t="s">
        <v>620</v>
      </c>
      <c r="G344" s="106" t="s">
        <v>79</v>
      </c>
      <c r="H344" s="106">
        <v>2</v>
      </c>
      <c r="I344" s="106" t="s">
        <v>25</v>
      </c>
      <c r="J344" s="106">
        <v>12056</v>
      </c>
      <c r="K344" s="106">
        <v>16396</v>
      </c>
      <c r="L344" s="106">
        <v>8760</v>
      </c>
      <c r="M344" s="106">
        <v>0.23</v>
      </c>
      <c r="N344" s="106">
        <v>0.56999999999999995</v>
      </c>
      <c r="O344" s="106">
        <v>0.45</v>
      </c>
      <c r="P344" s="106">
        <v>12535</v>
      </c>
      <c r="Q344" s="106">
        <v>3721.8554002541296</v>
      </c>
      <c r="R344" s="106">
        <v>0.24907005829808676</v>
      </c>
      <c r="S344" s="106">
        <v>30236.040914866582</v>
      </c>
      <c r="T344" s="106">
        <v>31551.484371029226</v>
      </c>
      <c r="U344" s="106">
        <v>21229.165173573492</v>
      </c>
      <c r="V344" s="106">
        <v>0.52857239590489125</v>
      </c>
      <c r="W344" s="106">
        <v>98289.798842257602</v>
      </c>
      <c r="X344" s="110">
        <v>0.54704362465490841</v>
      </c>
      <c r="Y344" s="106">
        <v>477.83263598326357</v>
      </c>
      <c r="Z344" s="106">
        <v>16.464435146443513</v>
      </c>
      <c r="AA344" s="106">
        <v>81658.616772249938</v>
      </c>
      <c r="AB344" s="106">
        <v>731.48250431701445</v>
      </c>
      <c r="AC344" s="106">
        <v>1.2246105059421362</v>
      </c>
      <c r="AD344" s="106">
        <v>32.862190812720847</v>
      </c>
      <c r="AE344" s="106">
        <v>111.63440860215054</v>
      </c>
      <c r="AF344" s="106">
        <v>9.3728188158295922E-2</v>
      </c>
      <c r="AG344" s="106">
        <v>75</v>
      </c>
      <c r="AH344" s="106">
        <v>27922.778398983482</v>
      </c>
      <c r="AI344" s="106">
        <v>30322.133163913597</v>
      </c>
      <c r="AJ344" s="106">
        <v>30282.555273189326</v>
      </c>
      <c r="AK344" s="104">
        <v>22858.789834815758</v>
      </c>
      <c r="AL344" s="119">
        <v>11028240</v>
      </c>
      <c r="AM344" s="118">
        <v>2837</v>
      </c>
      <c r="AN344" s="118">
        <v>114202</v>
      </c>
      <c r="AO344" s="118">
        <v>613</v>
      </c>
      <c r="AP344" s="118">
        <f t="shared" si="5"/>
        <v>11981</v>
      </c>
    </row>
    <row r="345" spans="1:42" ht="12.75">
      <c r="A345" s="106">
        <v>2018</v>
      </c>
      <c r="B345" s="106">
        <v>-112172</v>
      </c>
      <c r="C345" s="106">
        <v>0</v>
      </c>
      <c r="D345" s="106">
        <v>112172</v>
      </c>
      <c r="E345" s="106" t="s">
        <v>741</v>
      </c>
      <c r="F345" s="106" t="s">
        <v>742</v>
      </c>
      <c r="G345" s="106" t="s">
        <v>121</v>
      </c>
      <c r="H345" s="106">
        <v>4</v>
      </c>
      <c r="I345" s="106" t="s">
        <v>24</v>
      </c>
      <c r="J345" s="106">
        <v>1183</v>
      </c>
      <c r="K345" s="106">
        <v>5428</v>
      </c>
      <c r="L345" s="106">
        <v>2868</v>
      </c>
      <c r="M345" s="106">
        <v>0.46</v>
      </c>
      <c r="N345" s="106">
        <v>0.01</v>
      </c>
      <c r="O345" s="106">
        <v>0</v>
      </c>
      <c r="P345" s="106">
        <v>750</v>
      </c>
      <c r="Q345" s="106"/>
      <c r="R345" s="106"/>
      <c r="S345" s="106">
        <v>12544.92125748503</v>
      </c>
      <c r="T345" s="106">
        <v>13238.602295409182</v>
      </c>
      <c r="U345" s="106">
        <v>7520.5056924364044</v>
      </c>
      <c r="V345" s="106">
        <v>0.27810243667354534</v>
      </c>
      <c r="W345" s="106">
        <v>138124.41361256543</v>
      </c>
      <c r="X345" s="110">
        <v>0.59664391004969097</v>
      </c>
      <c r="Y345" s="106">
        <v>995.35761589403978</v>
      </c>
      <c r="Z345" s="106">
        <v>33.17880794701987</v>
      </c>
      <c r="AA345" s="106">
        <v>13661.252182417109</v>
      </c>
      <c r="AB345" s="106">
        <v>250.68519098002241</v>
      </c>
      <c r="AC345" s="106">
        <v>7.3199732107065767</v>
      </c>
      <c r="AD345" s="106">
        <v>68.984492246123068</v>
      </c>
      <c r="AE345" s="106">
        <v>54.495649021029735</v>
      </c>
      <c r="AF345" s="106">
        <v>-9.3678392856412301E-2</v>
      </c>
      <c r="AG345" s="106">
        <v>1104</v>
      </c>
      <c r="AH345" s="106">
        <v>11771.473453093813</v>
      </c>
      <c r="AI345" s="106">
        <v>11771.473453093813</v>
      </c>
      <c r="AJ345" s="106">
        <v>12632.445908183632</v>
      </c>
      <c r="AK345" s="104">
        <v>8738.0094810379233</v>
      </c>
      <c r="AL345" s="119">
        <v>74574427</v>
      </c>
      <c r="AM345" s="118">
        <v>13263</v>
      </c>
      <c r="AN345" s="118">
        <v>300598</v>
      </c>
      <c r="AO345" s="118">
        <v>3270</v>
      </c>
      <c r="AP345" s="118">
        <f t="shared" si="5"/>
        <v>79</v>
      </c>
    </row>
    <row r="346" spans="1:42" ht="12.75">
      <c r="A346" s="106">
        <v>2018</v>
      </c>
      <c r="B346" s="106">
        <v>-112190</v>
      </c>
      <c r="C346" s="106">
        <v>0</v>
      </c>
      <c r="D346" s="106">
        <v>112190</v>
      </c>
      <c r="E346" s="106" t="s">
        <v>743</v>
      </c>
      <c r="F346" s="106" t="s">
        <v>530</v>
      </c>
      <c r="G346" s="106" t="s">
        <v>121</v>
      </c>
      <c r="H346" s="106">
        <v>4</v>
      </c>
      <c r="I346" s="106" t="s">
        <v>24</v>
      </c>
      <c r="J346" s="106">
        <v>1598</v>
      </c>
      <c r="K346" s="106">
        <v>5850</v>
      </c>
      <c r="L346" s="106">
        <v>2857</v>
      </c>
      <c r="M346" s="106">
        <v>0.28000000000000003</v>
      </c>
      <c r="N346" s="106">
        <v>0.01</v>
      </c>
      <c r="O346" s="106">
        <v>0.36</v>
      </c>
      <c r="P346" s="106">
        <v>397</v>
      </c>
      <c r="Q346" s="106"/>
      <c r="R346" s="106"/>
      <c r="S346" s="106">
        <v>18026.417939313105</v>
      </c>
      <c r="T346" s="106">
        <v>17807.064154718239</v>
      </c>
      <c r="U346" s="106">
        <v>13296.806740798957</v>
      </c>
      <c r="V346" s="106">
        <v>0.15632402405316376</v>
      </c>
      <c r="W346" s="106">
        <v>113627.6826068557</v>
      </c>
      <c r="X346" s="110">
        <v>0.67037501334138261</v>
      </c>
      <c r="Y346" s="106">
        <v>524.30069930069931</v>
      </c>
      <c r="Z346" s="106">
        <v>17.476689976689975</v>
      </c>
      <c r="AA346" s="106">
        <v>65329.494455530919</v>
      </c>
      <c r="AB346" s="106">
        <v>443.22689135996524</v>
      </c>
      <c r="AC346" s="106">
        <v>1.5307021864078396</v>
      </c>
      <c r="AD346" s="106">
        <v>22.548947173993351</v>
      </c>
      <c r="AE346" s="106">
        <v>147.39515072083879</v>
      </c>
      <c r="AF346" s="106">
        <v>-6.2656834757338575E-2</v>
      </c>
      <c r="AG346" s="106">
        <v>0</v>
      </c>
      <c r="AH346" s="106">
        <v>17653.171590530175</v>
      </c>
      <c r="AI346" s="106">
        <v>17653.171590530175</v>
      </c>
      <c r="AJ346" s="106">
        <v>18115.709436478825</v>
      </c>
      <c r="AK346" s="104">
        <v>16893.923107702569</v>
      </c>
      <c r="AL346" s="118">
        <v>180396590</v>
      </c>
      <c r="AM346" s="118">
        <v>26299</v>
      </c>
      <c r="AN346" s="118">
        <v>449850</v>
      </c>
      <c r="AO346" s="118">
        <v>1465</v>
      </c>
      <c r="AP346" s="118">
        <f t="shared" si="5"/>
        <v>1598</v>
      </c>
    </row>
    <row r="347" spans="1:42" ht="12.75">
      <c r="A347" s="106">
        <v>2018</v>
      </c>
      <c r="B347" s="106">
        <v>2717</v>
      </c>
      <c r="C347" s="106">
        <v>1</v>
      </c>
      <c r="D347" s="106">
        <v>244233</v>
      </c>
      <c r="E347" s="106" t="s">
        <v>3841</v>
      </c>
      <c r="F347" s="106" t="s">
        <v>466</v>
      </c>
      <c r="G347" s="106" t="s">
        <v>258</v>
      </c>
      <c r="H347" s="106">
        <v>7</v>
      </c>
      <c r="I347" s="106" t="s">
        <v>3641</v>
      </c>
      <c r="J347" s="106">
        <v>13695</v>
      </c>
      <c r="K347" s="106">
        <v>22420</v>
      </c>
      <c r="L347" s="106">
        <v>22688</v>
      </c>
      <c r="M347" s="106">
        <v>0.95</v>
      </c>
      <c r="N347" s="106">
        <v>1</v>
      </c>
      <c r="O347" s="106">
        <v>0.16</v>
      </c>
      <c r="P347" s="106">
        <v>2958</v>
      </c>
      <c r="Q347" s="106">
        <v>577.61314984709475</v>
      </c>
      <c r="R347" s="106">
        <v>3.1970458054023411E-2</v>
      </c>
      <c r="S347" s="106">
        <v>19236.931192660551</v>
      </c>
      <c r="T347" s="106">
        <v>22726.354740061161</v>
      </c>
      <c r="U347" s="106">
        <v>22726.354740061161</v>
      </c>
      <c r="V347" s="106">
        <v>0.76956807478633571</v>
      </c>
      <c r="W347" s="106">
        <v>54539.88705882353</v>
      </c>
      <c r="X347" s="110">
        <v>0.51984560893211862</v>
      </c>
      <c r="Y347" s="106">
        <v>501.17045454545456</v>
      </c>
      <c r="Z347" s="106">
        <v>11.147727272727273</v>
      </c>
      <c r="AA347" s="106">
        <v>51251.848275862067</v>
      </c>
      <c r="AB347" s="106">
        <v>505.51105366981835</v>
      </c>
      <c r="AC347" s="106">
        <v>1.9511491461098527</v>
      </c>
      <c r="AD347" s="106">
        <v>42.397660818713447</v>
      </c>
      <c r="AE347" s="106">
        <v>101.38620689655173</v>
      </c>
      <c r="AF347" s="106">
        <v>-0.11772062223357849</v>
      </c>
      <c r="AG347" s="106">
        <v>11880</v>
      </c>
      <c r="AH347" s="106">
        <v>19236.931192660551</v>
      </c>
      <c r="AI347" s="106">
        <v>19236.931192660551</v>
      </c>
      <c r="AJ347" s="106">
        <v>20138.181957186545</v>
      </c>
      <c r="AK347" s="104">
        <v>22726.354740061161</v>
      </c>
      <c r="AM347" s="118">
        <v>844</v>
      </c>
      <c r="AN347" s="118">
        <v>29402</v>
      </c>
      <c r="AO347" s="118">
        <v>290</v>
      </c>
      <c r="AP347" s="118">
        <f t="shared" si="5"/>
        <v>1815</v>
      </c>
    </row>
    <row r="348" spans="1:42" ht="12.75">
      <c r="A348" s="106">
        <v>2018</v>
      </c>
      <c r="B348" s="106">
        <v>-144209</v>
      </c>
      <c r="C348" s="106">
        <v>0</v>
      </c>
      <c r="D348" s="106">
        <v>144209</v>
      </c>
      <c r="E348" s="106" t="s">
        <v>4059</v>
      </c>
      <c r="F348" s="106" t="s">
        <v>725</v>
      </c>
      <c r="G348" s="106" t="s">
        <v>243</v>
      </c>
      <c r="H348" s="106">
        <v>4</v>
      </c>
      <c r="I348" s="106" t="s">
        <v>24</v>
      </c>
      <c r="J348" s="106">
        <v>3506</v>
      </c>
      <c r="K348" s="106">
        <v>3417</v>
      </c>
      <c r="L348" s="106">
        <v>2844</v>
      </c>
      <c r="M348" s="106">
        <v>0.62</v>
      </c>
      <c r="N348" s="106">
        <v>0.02</v>
      </c>
      <c r="O348" s="106">
        <v>0.17</v>
      </c>
      <c r="P348" s="106">
        <v>3975</v>
      </c>
      <c r="Q348" s="106">
        <v>324.80588423409017</v>
      </c>
      <c r="R348" s="106">
        <v>9.3383501078628584E-2</v>
      </c>
      <c r="S348" s="106">
        <v>12485.384234090183</v>
      </c>
      <c r="T348" s="106">
        <v>9675.6610169491523</v>
      </c>
      <c r="U348" s="106">
        <v>7171.4935439679493</v>
      </c>
      <c r="V348" s="106">
        <v>0.43971141751825454</v>
      </c>
      <c r="W348" s="106">
        <v>103674.12961508248</v>
      </c>
      <c r="X348" s="110">
        <v>0.72700772466970953</v>
      </c>
      <c r="Y348" s="106">
        <v>854.05311077389979</v>
      </c>
      <c r="Z348" s="106">
        <v>28.470409711684368</v>
      </c>
      <c r="AA348" s="106">
        <v>31320.195966463376</v>
      </c>
      <c r="AB348" s="106">
        <v>239.06634946444191</v>
      </c>
      <c r="AC348" s="106">
        <v>3.192828043192216</v>
      </c>
      <c r="AD348" s="106">
        <v>23.160278182112243</v>
      </c>
      <c r="AE348" s="106">
        <v>131.01047486033519</v>
      </c>
      <c r="AF348" s="106"/>
      <c r="AG348" s="106">
        <v>3506</v>
      </c>
      <c r="AH348" s="106">
        <v>11812.721458266709</v>
      </c>
      <c r="AI348" s="106">
        <v>11812.721458266709</v>
      </c>
      <c r="AJ348" s="106">
        <v>12485.384234090183</v>
      </c>
      <c r="AK348" s="104">
        <v>8466.005116725295</v>
      </c>
      <c r="AL348" s="119">
        <v>20635971</v>
      </c>
      <c r="AM348" s="119">
        <v>8869</v>
      </c>
      <c r="AN348" s="118">
        <v>187607</v>
      </c>
      <c r="AO348" s="119">
        <v>1250</v>
      </c>
      <c r="AP348" s="118">
        <f t="shared" si="5"/>
        <v>0</v>
      </c>
    </row>
    <row r="349" spans="1:42" ht="12.75">
      <c r="A349" s="106">
        <v>2018</v>
      </c>
      <c r="B349" s="106">
        <v>-144184</v>
      </c>
      <c r="C349" s="106">
        <v>0</v>
      </c>
      <c r="D349" s="106">
        <v>144184</v>
      </c>
      <c r="E349" s="106" t="s">
        <v>4060</v>
      </c>
      <c r="F349" s="106" t="s">
        <v>725</v>
      </c>
      <c r="G349" s="106" t="s">
        <v>243</v>
      </c>
      <c r="H349" s="106">
        <v>4</v>
      </c>
      <c r="I349" s="106" t="s">
        <v>24</v>
      </c>
      <c r="J349" s="106">
        <v>3506</v>
      </c>
      <c r="K349" s="106">
        <v>4105</v>
      </c>
      <c r="L349" s="106">
        <v>3662</v>
      </c>
      <c r="M349" s="106">
        <v>0.66</v>
      </c>
      <c r="N349" s="106">
        <v>0.03</v>
      </c>
      <c r="O349" s="106">
        <v>0.19</v>
      </c>
      <c r="P349" s="106">
        <v>2960</v>
      </c>
      <c r="Q349" s="106">
        <v>264.6756163458291</v>
      </c>
      <c r="R349" s="106">
        <v>9.3544884964145605E-2</v>
      </c>
      <c r="S349" s="106">
        <v>10406.50016886187</v>
      </c>
      <c r="T349" s="106">
        <v>9174.201114488349</v>
      </c>
      <c r="U349" s="106">
        <v>6780.97279425952</v>
      </c>
      <c r="V349" s="106">
        <v>0.37822322190763691</v>
      </c>
      <c r="W349" s="106">
        <v>97341.493453355142</v>
      </c>
      <c r="X349" s="110">
        <v>0.72981249877714038</v>
      </c>
      <c r="Y349" s="106">
        <v>1254.1552941176469</v>
      </c>
      <c r="Z349" s="106">
        <v>41.802352941176466</v>
      </c>
      <c r="AA349" s="106">
        <v>57531.405283101543</v>
      </c>
      <c r="AB349" s="106">
        <v>226.01716020309829</v>
      </c>
      <c r="AC349" s="106">
        <v>1.738181077064227</v>
      </c>
      <c r="AD349" s="106">
        <v>17.819760020423793</v>
      </c>
      <c r="AE349" s="106">
        <v>254.54441260744986</v>
      </c>
      <c r="AF349" s="106"/>
      <c r="AG349" s="106">
        <v>3506</v>
      </c>
      <c r="AH349" s="106">
        <v>9813.4554204660581</v>
      </c>
      <c r="AI349" s="106">
        <v>10070.344647078689</v>
      </c>
      <c r="AJ349" s="106">
        <v>10406.50016886187</v>
      </c>
      <c r="AK349" s="104">
        <v>7407.932624113475</v>
      </c>
      <c r="AL349" s="119">
        <v>15066398</v>
      </c>
      <c r="AM349" s="118">
        <v>8186</v>
      </c>
      <c r="AN349" s="118">
        <v>177672</v>
      </c>
      <c r="AO349" s="118">
        <v>503</v>
      </c>
      <c r="AP349" s="118">
        <f t="shared" si="5"/>
        <v>0</v>
      </c>
    </row>
    <row r="350" spans="1:42" ht="12.75">
      <c r="A350" s="106">
        <v>2018</v>
      </c>
      <c r="B350" s="106">
        <v>-144157</v>
      </c>
      <c r="C350" s="106">
        <v>0</v>
      </c>
      <c r="D350" s="106">
        <v>144157</v>
      </c>
      <c r="E350" s="106" t="s">
        <v>4061</v>
      </c>
      <c r="F350" s="106" t="s">
        <v>725</v>
      </c>
      <c r="G350" s="106" t="s">
        <v>243</v>
      </c>
      <c r="H350" s="106">
        <v>4</v>
      </c>
      <c r="I350" s="106" t="s">
        <v>24</v>
      </c>
      <c r="J350" s="106">
        <v>3506</v>
      </c>
      <c r="K350" s="106">
        <v>5731</v>
      </c>
      <c r="L350" s="106">
        <v>5517</v>
      </c>
      <c r="M350" s="106">
        <v>0.79</v>
      </c>
      <c r="N350" s="106">
        <v>7.0000000000000007E-2</v>
      </c>
      <c r="O350" s="106">
        <v>0.09</v>
      </c>
      <c r="P350" s="106">
        <v>2551</v>
      </c>
      <c r="Q350" s="106">
        <v>360.20537261698439</v>
      </c>
      <c r="R350" s="106">
        <v>0.11824244512850153</v>
      </c>
      <c r="S350" s="106">
        <v>20361.362218370883</v>
      </c>
      <c r="T350" s="106">
        <v>23692.741767764299</v>
      </c>
      <c r="U350" s="106">
        <v>13537.879673127363</v>
      </c>
      <c r="V350" s="106">
        <v>0.19841537584851437</v>
      </c>
      <c r="W350" s="106">
        <v>90516.505681818177</v>
      </c>
      <c r="X350" s="110">
        <v>0.5826655188113099</v>
      </c>
      <c r="Y350" s="106">
        <v>653.32075471698113</v>
      </c>
      <c r="Z350" s="106">
        <v>21.773584905660378</v>
      </c>
      <c r="AA350" s="106">
        <v>41112.40300733941</v>
      </c>
      <c r="AB350" s="106">
        <v>451.18446089034182</v>
      </c>
      <c r="AC350" s="106">
        <v>2.4323559968544757</v>
      </c>
      <c r="AD350" s="106">
        <v>37.717121588089327</v>
      </c>
      <c r="AE350" s="106">
        <v>91.121052631578948</v>
      </c>
      <c r="AF350" s="106"/>
      <c r="AG350" s="106">
        <v>3506</v>
      </c>
      <c r="AH350" s="106">
        <v>19564.499133448873</v>
      </c>
      <c r="AI350" s="106">
        <v>19564.499133448873</v>
      </c>
      <c r="AJ350" s="106">
        <v>20361.362218370883</v>
      </c>
      <c r="AK350" s="104">
        <v>15308.656412478336</v>
      </c>
      <c r="AL350" s="118">
        <v>23176559</v>
      </c>
      <c r="AM350" s="118">
        <v>3395</v>
      </c>
      <c r="AN350" s="118">
        <v>69252</v>
      </c>
      <c r="AO350" s="118">
        <v>319</v>
      </c>
      <c r="AP350" s="118">
        <f t="shared" si="5"/>
        <v>0</v>
      </c>
    </row>
    <row r="351" spans="1:42" ht="12.75">
      <c r="A351" s="106">
        <v>2018</v>
      </c>
      <c r="B351" s="106">
        <v>-144166</v>
      </c>
      <c r="C351" s="106">
        <v>0</v>
      </c>
      <c r="D351" s="106">
        <v>144166</v>
      </c>
      <c r="E351" s="106" t="s">
        <v>4062</v>
      </c>
      <c r="F351" s="106" t="s">
        <v>725</v>
      </c>
      <c r="G351" s="106" t="s">
        <v>243</v>
      </c>
      <c r="H351" s="106">
        <v>4</v>
      </c>
      <c r="I351" s="106" t="s">
        <v>24</v>
      </c>
      <c r="J351" s="106">
        <v>3506</v>
      </c>
      <c r="K351" s="106">
        <v>3733</v>
      </c>
      <c r="L351" s="106">
        <v>3400</v>
      </c>
      <c r="M351" s="106">
        <v>0.69</v>
      </c>
      <c r="N351" s="106">
        <v>0.01</v>
      </c>
      <c r="O351" s="106">
        <v>0.23</v>
      </c>
      <c r="P351" s="106">
        <v>3609</v>
      </c>
      <c r="Q351" s="106">
        <v>282.65932066316213</v>
      </c>
      <c r="R351" s="106">
        <v>0.11032049082148081</v>
      </c>
      <c r="S351" s="106">
        <v>13720.345329559239</v>
      </c>
      <c r="T351" s="106">
        <v>15112.98119692681</v>
      </c>
      <c r="U351" s="106">
        <v>9349.7663521797713</v>
      </c>
      <c r="V351" s="106">
        <v>0.24380351096072708</v>
      </c>
      <c r="W351" s="106">
        <v>103930.47858752817</v>
      </c>
      <c r="X351" s="110">
        <v>0.61687259080596668</v>
      </c>
      <c r="Y351" s="106">
        <v>799.24416517055647</v>
      </c>
      <c r="Z351" s="106">
        <v>26.639138240574503</v>
      </c>
      <c r="AA351" s="106">
        <v>28077.683289545323</v>
      </c>
      <c r="AB351" s="106">
        <v>311.63157546434905</v>
      </c>
      <c r="AC351" s="106">
        <v>3.5615474029239023</v>
      </c>
      <c r="AD351" s="106">
        <v>41.092814371257482</v>
      </c>
      <c r="AE351" s="106">
        <v>90.098967820279299</v>
      </c>
      <c r="AF351" s="106"/>
      <c r="AG351" s="106">
        <v>3506</v>
      </c>
      <c r="AH351" s="106">
        <v>13106.279619894865</v>
      </c>
      <c r="AI351" s="106">
        <v>13106.279619894865</v>
      </c>
      <c r="AJ351" s="106">
        <v>13720.345329559239</v>
      </c>
      <c r="AK351" s="104">
        <v>10616.896279822078</v>
      </c>
      <c r="AL351" s="118">
        <v>31423956</v>
      </c>
      <c r="AM351" s="118">
        <v>6713</v>
      </c>
      <c r="AN351" s="118">
        <v>148393</v>
      </c>
      <c r="AO351" s="118">
        <v>620</v>
      </c>
      <c r="AP351" s="118">
        <f t="shared" si="5"/>
        <v>0</v>
      </c>
    </row>
    <row r="352" spans="1:42" ht="12.75">
      <c r="A352" s="106">
        <v>2018</v>
      </c>
      <c r="B352" s="106">
        <v>-144175</v>
      </c>
      <c r="C352" s="106">
        <v>0</v>
      </c>
      <c r="D352" s="106">
        <v>144175</v>
      </c>
      <c r="E352" s="106" t="s">
        <v>4063</v>
      </c>
      <c r="F352" s="106" t="s">
        <v>725</v>
      </c>
      <c r="G352" s="106" t="s">
        <v>243</v>
      </c>
      <c r="H352" s="106">
        <v>4</v>
      </c>
      <c r="I352" s="106" t="s">
        <v>24</v>
      </c>
      <c r="J352" s="106">
        <v>3506</v>
      </c>
      <c r="K352" s="106">
        <v>5091</v>
      </c>
      <c r="L352" s="106">
        <v>4500</v>
      </c>
      <c r="M352" s="106">
        <v>0.81</v>
      </c>
      <c r="N352" s="106">
        <v>0.09</v>
      </c>
      <c r="O352" s="106">
        <v>0.22</v>
      </c>
      <c r="P352" s="106">
        <v>2178</v>
      </c>
      <c r="Q352" s="106">
        <v>354.07632311977716</v>
      </c>
      <c r="R352" s="106">
        <v>0.12409023913992956</v>
      </c>
      <c r="S352" s="106">
        <v>16121.268523676879</v>
      </c>
      <c r="T352" s="106">
        <v>19057.593314763231</v>
      </c>
      <c r="U352" s="106">
        <v>13355.832311977716</v>
      </c>
      <c r="V352" s="106">
        <v>0.18713183382186135</v>
      </c>
      <c r="W352" s="106">
        <v>95020.437751004021</v>
      </c>
      <c r="X352" s="110">
        <v>0.69164599434407592</v>
      </c>
      <c r="Y352" s="106">
        <v>721.00446428571422</v>
      </c>
      <c r="Z352" s="106">
        <v>24.040178571428569</v>
      </c>
      <c r="AA352" s="106">
        <v>28953.766908212561</v>
      </c>
      <c r="AB352" s="106">
        <v>445.31845453701123</v>
      </c>
      <c r="AC352" s="106">
        <v>3.4537820352361681</v>
      </c>
      <c r="AD352" s="106">
        <v>50.487804878048777</v>
      </c>
      <c r="AE352" s="106">
        <v>65.018115942028984</v>
      </c>
      <c r="AF352" s="106"/>
      <c r="AG352" s="106">
        <v>3506</v>
      </c>
      <c r="AH352" s="106">
        <v>14993.085236768802</v>
      </c>
      <c r="AI352" s="106">
        <v>15467.136490250696</v>
      </c>
      <c r="AJ352" s="106">
        <v>16121.268523676879</v>
      </c>
      <c r="AK352" s="104">
        <v>14475.539832869081</v>
      </c>
      <c r="AL352" s="119">
        <v>12708683</v>
      </c>
      <c r="AM352" s="118">
        <v>2882</v>
      </c>
      <c r="AN352" s="118">
        <v>53835</v>
      </c>
      <c r="AO352" s="118">
        <v>234</v>
      </c>
      <c r="AP352" s="118">
        <f t="shared" si="5"/>
        <v>0</v>
      </c>
    </row>
    <row r="353" spans="1:42" ht="12.75">
      <c r="A353" s="106">
        <v>2018</v>
      </c>
      <c r="B353" s="106">
        <v>-144193</v>
      </c>
      <c r="C353" s="106">
        <v>0</v>
      </c>
      <c r="D353" s="106">
        <v>144193</v>
      </c>
      <c r="E353" s="106" t="s">
        <v>4064</v>
      </c>
      <c r="F353" s="106" t="s">
        <v>725</v>
      </c>
      <c r="G353" s="106" t="s">
        <v>243</v>
      </c>
      <c r="H353" s="106">
        <v>4</v>
      </c>
      <c r="I353" s="106" t="s">
        <v>24</v>
      </c>
      <c r="J353" s="106">
        <v>3506</v>
      </c>
      <c r="K353" s="106">
        <v>3590</v>
      </c>
      <c r="L353" s="106">
        <v>2754</v>
      </c>
      <c r="M353" s="106">
        <v>0.52</v>
      </c>
      <c r="N353" s="106">
        <v>0.01</v>
      </c>
      <c r="O353" s="106">
        <v>0.2</v>
      </c>
      <c r="P353" s="106">
        <v>3099</v>
      </c>
      <c r="Q353" s="106">
        <v>200.83953142432131</v>
      </c>
      <c r="R353" s="106">
        <v>9.8213522562154362E-2</v>
      </c>
      <c r="S353" s="106">
        <v>8660.290256600967</v>
      </c>
      <c r="T353" s="106">
        <v>8027.6301599107474</v>
      </c>
      <c r="U353" s="106">
        <v>5320.7488476575245</v>
      </c>
      <c r="V353" s="106">
        <v>0.34658428798476076</v>
      </c>
      <c r="W353" s="106">
        <v>93058.905016008546</v>
      </c>
      <c r="X353" s="110">
        <v>0.673237223752707</v>
      </c>
      <c r="Y353" s="106">
        <v>1333.4876033057851</v>
      </c>
      <c r="Z353" s="106">
        <v>44.446280991735534</v>
      </c>
      <c r="AA353" s="106">
        <v>21596.216832228049</v>
      </c>
      <c r="AB353" s="106">
        <v>177.34510450878926</v>
      </c>
      <c r="AC353" s="106">
        <v>4.6304406358233043</v>
      </c>
      <c r="AD353" s="106">
        <v>30.487804878048781</v>
      </c>
      <c r="AE353" s="106">
        <v>121.77509433962264</v>
      </c>
      <c r="AF353" s="106"/>
      <c r="AG353" s="106">
        <v>3506</v>
      </c>
      <c r="AH353" s="106">
        <v>8402.761807363333</v>
      </c>
      <c r="AI353" s="106">
        <v>8402.761807363333</v>
      </c>
      <c r="AJ353" s="106">
        <v>8660.290256600967</v>
      </c>
      <c r="AK353" s="104">
        <v>5943.1818519895869</v>
      </c>
      <c r="AL353" s="118">
        <v>13195459</v>
      </c>
      <c r="AM353" s="118">
        <v>7182</v>
      </c>
      <c r="AN353" s="118">
        <v>161352</v>
      </c>
      <c r="AO353" s="118">
        <v>454</v>
      </c>
      <c r="AP353" s="118">
        <f t="shared" si="5"/>
        <v>0</v>
      </c>
    </row>
    <row r="354" spans="1:42" ht="12.75">
      <c r="A354" s="106">
        <v>2018</v>
      </c>
      <c r="B354" s="106">
        <v>-144218</v>
      </c>
      <c r="C354" s="106">
        <v>0</v>
      </c>
      <c r="D354" s="106">
        <v>144218</v>
      </c>
      <c r="E354" s="106" t="s">
        <v>4065</v>
      </c>
      <c r="F354" s="106" t="s">
        <v>725</v>
      </c>
      <c r="G354" s="106" t="s">
        <v>243</v>
      </c>
      <c r="H354" s="106">
        <v>4</v>
      </c>
      <c r="I354" s="106" t="s">
        <v>24</v>
      </c>
      <c r="J354" s="106">
        <v>3506</v>
      </c>
      <c r="K354" s="106">
        <v>3229</v>
      </c>
      <c r="L354" s="106">
        <v>2756</v>
      </c>
      <c r="M354" s="106">
        <v>0.56999999999999995</v>
      </c>
      <c r="N354" s="106">
        <v>0.01</v>
      </c>
      <c r="O354" s="106">
        <v>0.26</v>
      </c>
      <c r="P354" s="106">
        <v>3513</v>
      </c>
      <c r="Q354" s="106">
        <v>254.27820855614974</v>
      </c>
      <c r="R354" s="106">
        <v>9.3048288709804458E-2</v>
      </c>
      <c r="S354" s="106">
        <v>9790.7330213903751</v>
      </c>
      <c r="T354" s="106">
        <v>8223.7696524064177</v>
      </c>
      <c r="U354" s="106">
        <v>5874.3948586987808</v>
      </c>
      <c r="V354" s="106">
        <v>0.42191190729498101</v>
      </c>
      <c r="W354" s="106">
        <v>99558.731934731928</v>
      </c>
      <c r="X354" s="110">
        <v>0.69432709543194027</v>
      </c>
      <c r="Y354" s="106">
        <v>1144.8265306122448</v>
      </c>
      <c r="Z354" s="106">
        <v>38.163265306122447</v>
      </c>
      <c r="AA354" s="106">
        <v>33878.545522796361</v>
      </c>
      <c r="AB354" s="106">
        <v>195.82537922627472</v>
      </c>
      <c r="AC354" s="106">
        <v>2.9517205788162162</v>
      </c>
      <c r="AD354" s="106">
        <v>22.742416272137472</v>
      </c>
      <c r="AE354" s="106">
        <v>173.00385505011565</v>
      </c>
      <c r="AF354" s="106"/>
      <c r="AG354" s="106">
        <v>3506</v>
      </c>
      <c r="AH354" s="106">
        <v>9360.4641711229942</v>
      </c>
      <c r="AI354" s="106">
        <v>9362.4017379679153</v>
      </c>
      <c r="AJ354" s="106">
        <v>9790.7330213903751</v>
      </c>
      <c r="AK354" s="104">
        <v>6717.1740641711231</v>
      </c>
      <c r="AL354" s="118">
        <v>17750273</v>
      </c>
      <c r="AM354" s="118">
        <v>10227</v>
      </c>
      <c r="AN354" s="118">
        <v>224386</v>
      </c>
      <c r="AO354" s="118">
        <v>1044</v>
      </c>
      <c r="AP354" s="118">
        <f t="shared" si="5"/>
        <v>0</v>
      </c>
    </row>
    <row r="355" spans="1:42" ht="12.75">
      <c r="A355" s="106">
        <v>2018</v>
      </c>
      <c r="B355" s="106">
        <v>-234915</v>
      </c>
      <c r="C355" s="106">
        <v>0</v>
      </c>
      <c r="D355" s="106">
        <v>234915</v>
      </c>
      <c r="E355" s="106" t="s">
        <v>744</v>
      </c>
      <c r="F355" s="106" t="s">
        <v>181</v>
      </c>
      <c r="G355" s="106" t="s">
        <v>182</v>
      </c>
      <c r="H355" s="106">
        <v>6</v>
      </c>
      <c r="I355" s="106" t="s">
        <v>3640</v>
      </c>
      <c r="J355" s="106">
        <v>17400</v>
      </c>
      <c r="K355" s="106">
        <v>20567</v>
      </c>
      <c r="L355" s="106"/>
      <c r="M355" s="106">
        <v>0.5</v>
      </c>
      <c r="N355" s="106">
        <v>0.5</v>
      </c>
      <c r="O355" s="106">
        <v>0</v>
      </c>
      <c r="P355" s="106"/>
      <c r="Q355" s="106">
        <v>187.11088435374148</v>
      </c>
      <c r="R355" s="106">
        <v>7.6408257157636614E-3</v>
      </c>
      <c r="S355" s="106">
        <v>25103.91700680272</v>
      </c>
      <c r="T355" s="106">
        <v>24013.174829931973</v>
      </c>
      <c r="U355" s="106">
        <v>24013.174829931973</v>
      </c>
      <c r="V355" s="106">
        <v>1.0119942944019364</v>
      </c>
      <c r="W355" s="106">
        <v>60728.508987701032</v>
      </c>
      <c r="X355" s="110">
        <v>0.60614905644058714</v>
      </c>
      <c r="Y355" s="106">
        <v>288.67317073170733</v>
      </c>
      <c r="Z355" s="106">
        <v>7.1707317073170733</v>
      </c>
      <c r="AA355" s="106">
        <v>84246.699284009548</v>
      </c>
      <c r="AB355" s="106">
        <v>596.4947615667985</v>
      </c>
      <c r="AC355" s="106">
        <v>1.1869901236472598</v>
      </c>
      <c r="AD355" s="106">
        <v>37.815884476534293</v>
      </c>
      <c r="AE355" s="106">
        <v>141.236276849642</v>
      </c>
      <c r="AF355" s="106">
        <v>9.5539441454432814E-2</v>
      </c>
      <c r="AG355" s="106">
        <v>17400</v>
      </c>
      <c r="AH355" s="106">
        <v>24301.195918367346</v>
      </c>
      <c r="AI355" s="106">
        <v>25103.91700680272</v>
      </c>
      <c r="AJ355" s="106">
        <v>25359.325170068027</v>
      </c>
      <c r="AK355" s="104">
        <v>24013.174829931973</v>
      </c>
      <c r="AM355" s="118">
        <v>928</v>
      </c>
      <c r="AN355" s="118">
        <v>59178</v>
      </c>
      <c r="AO355" s="118">
        <v>141</v>
      </c>
      <c r="AP355" s="118">
        <f t="shared" si="5"/>
        <v>0</v>
      </c>
    </row>
    <row r="356" spans="1:42" ht="12.75">
      <c r="A356" s="106">
        <v>2018</v>
      </c>
      <c r="B356" s="106">
        <v>-457697</v>
      </c>
      <c r="C356" s="106">
        <v>0</v>
      </c>
      <c r="D356" s="106">
        <v>457697</v>
      </c>
      <c r="E356" s="106" t="s">
        <v>745</v>
      </c>
      <c r="F356" s="106" t="s">
        <v>263</v>
      </c>
      <c r="G356" s="106" t="s">
        <v>264</v>
      </c>
      <c r="H356" s="106">
        <v>7</v>
      </c>
      <c r="I356" s="106" t="s">
        <v>3641</v>
      </c>
      <c r="J356" s="106">
        <v>5600</v>
      </c>
      <c r="K356" s="106">
        <v>5004</v>
      </c>
      <c r="L356" s="106">
        <v>3564</v>
      </c>
      <c r="M356" s="106">
        <v>0.67</v>
      </c>
      <c r="N356" s="106">
        <v>0.17</v>
      </c>
      <c r="O356" s="106">
        <v>0.67</v>
      </c>
      <c r="P356" s="106">
        <v>2625</v>
      </c>
      <c r="Q356" s="106">
        <v>1627.4285714285713</v>
      </c>
      <c r="R356" s="106">
        <v>0.21020874178295468</v>
      </c>
      <c r="S356" s="106">
        <v>8837.4642857142862</v>
      </c>
      <c r="T356" s="106">
        <v>9330.125</v>
      </c>
      <c r="U356" s="106">
        <v>9330.1071428571431</v>
      </c>
      <c r="V356" s="106">
        <v>0.6553553588038723</v>
      </c>
      <c r="W356" s="106">
        <v>19413.672413793101</v>
      </c>
      <c r="X356" s="110">
        <v>0.71835471504554183</v>
      </c>
      <c r="Y356" s="106">
        <v>137.58333333333334</v>
      </c>
      <c r="Z356" s="106">
        <v>4.666666666666667</v>
      </c>
      <c r="AA356" s="106">
        <v>20095.615384615383</v>
      </c>
      <c r="AB356" s="106">
        <v>316.46638400969107</v>
      </c>
      <c r="AC356" s="106">
        <v>4.9762098888774053</v>
      </c>
      <c r="AD356" s="106">
        <v>36.619718309859159</v>
      </c>
      <c r="AE356" s="106">
        <v>63.5</v>
      </c>
      <c r="AF356" s="106">
        <v>0.22460210851955875</v>
      </c>
      <c r="AG356" s="106">
        <v>5600</v>
      </c>
      <c r="AH356" s="106">
        <v>6853.3571428571431</v>
      </c>
      <c r="AI356" s="106">
        <v>8837.4642857142862</v>
      </c>
      <c r="AJ356" s="106">
        <v>8837.4642857142862</v>
      </c>
      <c r="AK356" s="104">
        <v>9330.1071428571431</v>
      </c>
      <c r="AM356" s="118">
        <v>102</v>
      </c>
      <c r="AN356" s="118">
        <v>1651</v>
      </c>
      <c r="AO356" s="118">
        <v>23</v>
      </c>
      <c r="AP356" s="118">
        <f t="shared" si="5"/>
        <v>0</v>
      </c>
    </row>
    <row r="357" spans="1:42" ht="12.75">
      <c r="A357" s="106">
        <v>2018</v>
      </c>
      <c r="B357" s="106">
        <v>-208406</v>
      </c>
      <c r="C357" s="106">
        <v>0</v>
      </c>
      <c r="D357" s="106">
        <v>208406</v>
      </c>
      <c r="E357" s="106" t="s">
        <v>746</v>
      </c>
      <c r="F357" s="106" t="s">
        <v>747</v>
      </c>
      <c r="G357" s="106" t="s">
        <v>405</v>
      </c>
      <c r="H357" s="106">
        <v>4</v>
      </c>
      <c r="I357" s="106" t="s">
        <v>24</v>
      </c>
      <c r="J357" s="106">
        <v>4614</v>
      </c>
      <c r="K357" s="106">
        <v>5141</v>
      </c>
      <c r="L357" s="106">
        <v>5690</v>
      </c>
      <c r="M357" s="106">
        <v>0.45</v>
      </c>
      <c r="N357" s="106">
        <v>0.6</v>
      </c>
      <c r="O357" s="106">
        <v>0.15</v>
      </c>
      <c r="P357" s="106">
        <v>2290</v>
      </c>
      <c r="Q357" s="106">
        <v>656.19687987519501</v>
      </c>
      <c r="R357" s="106">
        <v>0.10060124126673763</v>
      </c>
      <c r="S357" s="106">
        <v>25305.361622464898</v>
      </c>
      <c r="T357" s="106">
        <v>25130.170358814354</v>
      </c>
      <c r="U357" s="106">
        <v>17912.115756630265</v>
      </c>
      <c r="V357" s="106">
        <v>0.32751878817030927</v>
      </c>
      <c r="W357" s="106">
        <v>98572.49038461539</v>
      </c>
      <c r="X357" s="110">
        <v>0.63640796434206981</v>
      </c>
      <c r="Y357" s="106">
        <v>358.90227060653194</v>
      </c>
      <c r="Z357" s="106">
        <v>14.953343701399691</v>
      </c>
      <c r="AA357" s="106">
        <v>51719.217117117114</v>
      </c>
      <c r="AB357" s="106">
        <v>746.29236219514348</v>
      </c>
      <c r="AC357" s="106">
        <v>1.9335172799223166</v>
      </c>
      <c r="AD357" s="106">
        <v>28.48344880677444</v>
      </c>
      <c r="AE357" s="106">
        <v>69.301549549549549</v>
      </c>
      <c r="AF357" s="106">
        <v>0.25171210573477781</v>
      </c>
      <c r="AG357" s="106">
        <v>4185</v>
      </c>
      <c r="AH357" s="106">
        <v>23457.757254290173</v>
      </c>
      <c r="AI357" s="106">
        <v>23656.164118564742</v>
      </c>
      <c r="AJ357" s="106">
        <v>25651.136037441498</v>
      </c>
      <c r="AK357" s="104">
        <v>20548.855226209049</v>
      </c>
      <c r="AL357" s="118">
        <v>44833595</v>
      </c>
      <c r="AM357" s="118">
        <v>6327</v>
      </c>
      <c r="AN357" s="118">
        <v>76924.72</v>
      </c>
      <c r="AO357" s="118">
        <v>740</v>
      </c>
      <c r="AP357" s="118">
        <f t="shared" si="5"/>
        <v>429</v>
      </c>
    </row>
    <row r="358" spans="1:42" ht="12.75">
      <c r="A358" s="106">
        <v>2018</v>
      </c>
      <c r="B358" s="106">
        <v>-217873</v>
      </c>
      <c r="C358" s="106">
        <v>0</v>
      </c>
      <c r="D358" s="106">
        <v>217873</v>
      </c>
      <c r="E358" s="106" t="s">
        <v>748</v>
      </c>
      <c r="F358" s="106" t="s">
        <v>749</v>
      </c>
      <c r="G358" s="106" t="s">
        <v>79</v>
      </c>
      <c r="H358" s="106">
        <v>7</v>
      </c>
      <c r="I358" s="106" t="s">
        <v>3641</v>
      </c>
      <c r="J358" s="106">
        <v>16480</v>
      </c>
      <c r="K358" s="106">
        <v>19208</v>
      </c>
      <c r="L358" s="106">
        <v>19440</v>
      </c>
      <c r="M358" s="106">
        <v>0.79</v>
      </c>
      <c r="N358" s="106">
        <v>0.87</v>
      </c>
      <c r="O358" s="106">
        <v>0.82</v>
      </c>
      <c r="P358" s="106">
        <v>4631</v>
      </c>
      <c r="Q358" s="106">
        <v>3374.4725932749884</v>
      </c>
      <c r="R358" s="106">
        <v>0.22656675311544827</v>
      </c>
      <c r="S358" s="106">
        <v>23080.545831414096</v>
      </c>
      <c r="T358" s="106">
        <v>23684.543988945188</v>
      </c>
      <c r="U358" s="106">
        <v>18640.583729441081</v>
      </c>
      <c r="V358" s="106">
        <v>0.617978054724037</v>
      </c>
      <c r="W358" s="106">
        <v>70535.902964959576</v>
      </c>
      <c r="X358" s="110">
        <v>0.50893144956027569</v>
      </c>
      <c r="Y358" s="106">
        <v>436.34157303370785</v>
      </c>
      <c r="Z358" s="106">
        <v>14.635955056179775</v>
      </c>
      <c r="AA358" s="106">
        <v>118329.55344039938</v>
      </c>
      <c r="AB358" s="106">
        <v>625.25040597949123</v>
      </c>
      <c r="AC358" s="106">
        <v>0.84509741727681187</v>
      </c>
      <c r="AD358" s="106">
        <v>16.553727008712489</v>
      </c>
      <c r="AE358" s="106">
        <v>189.2514619883041</v>
      </c>
      <c r="AF358" s="106">
        <v>9.025989478639215E-3</v>
      </c>
      <c r="AG358" s="106">
        <v>15840</v>
      </c>
      <c r="AH358" s="106">
        <v>21948.975126669739</v>
      </c>
      <c r="AI358" s="106">
        <v>23080.545831414096</v>
      </c>
      <c r="AJ358" s="106">
        <v>23945.1547673883</v>
      </c>
      <c r="AK358" s="104">
        <v>20154.211423307232</v>
      </c>
      <c r="AL358" s="118"/>
      <c r="AM358" s="118">
        <v>2038</v>
      </c>
      <c r="AN358" s="118">
        <v>64724</v>
      </c>
      <c r="AO358" s="118">
        <v>310</v>
      </c>
      <c r="AP358" s="118">
        <f t="shared" si="5"/>
        <v>640</v>
      </c>
    </row>
    <row r="359" spans="1:42" ht="12.75">
      <c r="A359" s="106">
        <v>2018</v>
      </c>
      <c r="B359" s="106">
        <v>-112251</v>
      </c>
      <c r="C359" s="106">
        <v>0</v>
      </c>
      <c r="D359" s="106">
        <v>112251</v>
      </c>
      <c r="E359" s="106" t="s">
        <v>750</v>
      </c>
      <c r="F359" s="106" t="s">
        <v>751</v>
      </c>
      <c r="G359" s="106" t="s">
        <v>121</v>
      </c>
      <c r="H359" s="106">
        <v>5</v>
      </c>
      <c r="I359" s="106" t="s">
        <v>3639</v>
      </c>
      <c r="J359" s="106"/>
      <c r="K359" s="106"/>
      <c r="L359" s="106"/>
      <c r="M359" s="106"/>
      <c r="N359" s="106"/>
      <c r="O359" s="106"/>
      <c r="P359" s="106"/>
      <c r="Q359" s="106">
        <v>11507.7119140625</v>
      </c>
      <c r="R359" s="106">
        <v>0.24254750130768701</v>
      </c>
      <c r="S359" s="106">
        <v>52317.0078125</v>
      </c>
      <c r="T359" s="106">
        <v>68118.267578125</v>
      </c>
      <c r="U359" s="106">
        <v>52195.087723544937</v>
      </c>
      <c r="V359" s="106">
        <v>0.68852219873344112</v>
      </c>
      <c r="W359" s="106">
        <v>133762.85052631577</v>
      </c>
      <c r="X359" s="110">
        <v>0.60725949608609542</v>
      </c>
      <c r="Y359" s="106">
        <v>182.56930693069307</v>
      </c>
      <c r="Z359" s="106">
        <v>7.6039603960396045</v>
      </c>
      <c r="AA359" s="106">
        <v>95613.183951538493</v>
      </c>
      <c r="AB359" s="106">
        <v>2173.9107552635651</v>
      </c>
      <c r="AC359" s="106">
        <v>1.0458808698462021</v>
      </c>
      <c r="AD359" s="106">
        <v>35.650510204081634</v>
      </c>
      <c r="AE359" s="106">
        <v>43.982110912343472</v>
      </c>
      <c r="AF359" s="106">
        <v>-9.2631395134656211E-5</v>
      </c>
      <c r="AG359" s="106"/>
      <c r="AH359" s="106">
        <v>45289.7734375</v>
      </c>
      <c r="AI359" s="106">
        <v>51327.048828125</v>
      </c>
      <c r="AJ359" s="106">
        <v>61258.10546875</v>
      </c>
      <c r="AK359" s="104">
        <v>65423.8310546875</v>
      </c>
      <c r="AL359" s="118"/>
      <c r="AM359" s="118"/>
      <c r="AN359" s="118">
        <v>24586</v>
      </c>
      <c r="AO359" s="118"/>
      <c r="AP359" s="118">
        <f t="shared" si="5"/>
        <v>0</v>
      </c>
    </row>
    <row r="360" spans="1:42" ht="12.75">
      <c r="A360" s="106">
        <v>2018</v>
      </c>
      <c r="B360" s="106">
        <v>-112260</v>
      </c>
      <c r="C360" s="106">
        <v>0</v>
      </c>
      <c r="D360" s="106">
        <v>112260</v>
      </c>
      <c r="E360" s="106" t="s">
        <v>752</v>
      </c>
      <c r="F360" s="106" t="s">
        <v>751</v>
      </c>
      <c r="G360" s="106" t="s">
        <v>121</v>
      </c>
      <c r="H360" s="106">
        <v>7</v>
      </c>
      <c r="I360" s="106" t="s">
        <v>3641</v>
      </c>
      <c r="J360" s="106">
        <v>52825</v>
      </c>
      <c r="K360" s="106">
        <v>26512</v>
      </c>
      <c r="L360" s="106">
        <v>10542</v>
      </c>
      <c r="M360" s="106">
        <v>0.19</v>
      </c>
      <c r="N360" s="106">
        <v>0.35</v>
      </c>
      <c r="O360" s="106">
        <v>0.51</v>
      </c>
      <c r="P360" s="106">
        <v>41905</v>
      </c>
      <c r="Q360" s="106">
        <v>17219.533923303836</v>
      </c>
      <c r="R360" s="106">
        <v>0.32384693693568745</v>
      </c>
      <c r="S360" s="106">
        <v>88106.194690265489</v>
      </c>
      <c r="T360" s="106">
        <v>89593.657817109139</v>
      </c>
      <c r="U360" s="106">
        <v>64077.875288519528</v>
      </c>
      <c r="V360" s="106">
        <v>0.56107189608535768</v>
      </c>
      <c r="W360" s="106">
        <v>139091.11277072443</v>
      </c>
      <c r="X360" s="110">
        <v>0.51100099597494419</v>
      </c>
      <c r="Y360" s="106">
        <v>241.64880952380952</v>
      </c>
      <c r="Z360" s="106">
        <v>8.0714285714285712</v>
      </c>
      <c r="AA360" s="106">
        <v>262506.34106112528</v>
      </c>
      <c r="AB360" s="106">
        <v>2140.2960536796431</v>
      </c>
      <c r="AC360" s="106">
        <v>0.38094317872768924</v>
      </c>
      <c r="AD360" s="106">
        <v>24.627976190476193</v>
      </c>
      <c r="AE360" s="106">
        <v>122.64954682779457</v>
      </c>
      <c r="AF360" s="106">
        <v>6.7020810256651978E-2</v>
      </c>
      <c r="AG360" s="106">
        <v>52580</v>
      </c>
      <c r="AH360" s="106">
        <v>52649.197640117993</v>
      </c>
      <c r="AI360" s="106">
        <v>88197.870206489679</v>
      </c>
      <c r="AJ360" s="106">
        <v>139876.10619469028</v>
      </c>
      <c r="AK360" s="105">
        <v>73654.129793510321</v>
      </c>
      <c r="AM360" s="119">
        <v>1338</v>
      </c>
      <c r="AN360" s="119">
        <v>40597</v>
      </c>
      <c r="AO360" s="119">
        <v>315</v>
      </c>
      <c r="AP360" s="118">
        <f t="shared" si="5"/>
        <v>245</v>
      </c>
    </row>
    <row r="361" spans="1:42" ht="12.75">
      <c r="A361" s="106">
        <v>2018</v>
      </c>
      <c r="B361" s="106">
        <v>-223922</v>
      </c>
      <c r="C361" s="106">
        <v>0</v>
      </c>
      <c r="D361" s="106">
        <v>223922</v>
      </c>
      <c r="E361" s="106" t="s">
        <v>753</v>
      </c>
      <c r="F361" s="106" t="s">
        <v>754</v>
      </c>
      <c r="G361" s="106" t="s">
        <v>60</v>
      </c>
      <c r="H361" s="106">
        <v>4</v>
      </c>
      <c r="I361" s="106" t="s">
        <v>24</v>
      </c>
      <c r="J361" s="106">
        <v>2424</v>
      </c>
      <c r="K361" s="106">
        <v>8394</v>
      </c>
      <c r="L361" s="106">
        <v>6499</v>
      </c>
      <c r="M361" s="106">
        <v>0.47</v>
      </c>
      <c r="N361" s="106">
        <v>0.48</v>
      </c>
      <c r="O361" s="106">
        <v>0.62</v>
      </c>
      <c r="P361" s="106">
        <v>1995</v>
      </c>
      <c r="Q361" s="106">
        <v>940.99473684210523</v>
      </c>
      <c r="R361" s="106">
        <v>0.29889778838807612</v>
      </c>
      <c r="S361" s="106">
        <v>8205.3120300751871</v>
      </c>
      <c r="T361" s="106">
        <v>8911.7187969924817</v>
      </c>
      <c r="U361" s="106">
        <v>5685</v>
      </c>
      <c r="V361" s="106">
        <v>0.38825348331250287</v>
      </c>
      <c r="W361" s="106">
        <v>75544.64444444445</v>
      </c>
      <c r="X361" s="110">
        <v>0.57363161085690495</v>
      </c>
      <c r="Y361" s="106">
        <v>997.17499999999995</v>
      </c>
      <c r="Z361" s="106">
        <v>33.25</v>
      </c>
      <c r="AA361" s="106">
        <v>25894.006849315068</v>
      </c>
      <c r="AB361" s="106">
        <v>189.56176197758668</v>
      </c>
      <c r="AC361" s="106">
        <v>3.8618974877827812</v>
      </c>
      <c r="AD361" s="106">
        <v>30.165289256198346</v>
      </c>
      <c r="AE361" s="106">
        <v>136.59931506849315</v>
      </c>
      <c r="AF361" s="106">
        <v>-6.2585722861248722E-2</v>
      </c>
      <c r="AG361" s="106">
        <v>1128</v>
      </c>
      <c r="AH361" s="106">
        <v>7710.4240601503761</v>
      </c>
      <c r="AI361" s="106">
        <v>7976.1669172932334</v>
      </c>
      <c r="AJ361" s="106">
        <v>8213.257894736842</v>
      </c>
      <c r="AK361" s="104">
        <v>6244.3864661654134</v>
      </c>
      <c r="AL361" s="118">
        <v>4139000</v>
      </c>
      <c r="AM361" s="118">
        <v>1648</v>
      </c>
      <c r="AN361" s="118">
        <v>39887</v>
      </c>
      <c r="AO361" s="118">
        <v>147</v>
      </c>
      <c r="AP361" s="118">
        <f t="shared" si="5"/>
        <v>1296</v>
      </c>
    </row>
    <row r="362" spans="1:42" ht="12.75">
      <c r="A362" s="106">
        <v>2018</v>
      </c>
      <c r="B362" s="106">
        <v>-211644</v>
      </c>
      <c r="C362" s="106">
        <v>0</v>
      </c>
      <c r="D362" s="106">
        <v>211644</v>
      </c>
      <c r="E362" s="106" t="s">
        <v>755</v>
      </c>
      <c r="F362" s="106" t="s">
        <v>756</v>
      </c>
      <c r="G362" s="106" t="s">
        <v>104</v>
      </c>
      <c r="H362" s="106">
        <v>2</v>
      </c>
      <c r="I362" s="106" t="s">
        <v>25</v>
      </c>
      <c r="J362" s="106">
        <v>10840</v>
      </c>
      <c r="K362" s="106">
        <v>19297</v>
      </c>
      <c r="L362" s="106">
        <v>16207</v>
      </c>
      <c r="M362" s="106">
        <v>0.45</v>
      </c>
      <c r="N362" s="106">
        <v>0.78</v>
      </c>
      <c r="O362" s="106">
        <v>0.49</v>
      </c>
      <c r="P362" s="106">
        <v>2374</v>
      </c>
      <c r="Q362" s="106">
        <v>1004.8745808182427</v>
      </c>
      <c r="R362" s="106">
        <v>9.0660703305609172E-2</v>
      </c>
      <c r="S362" s="106">
        <v>22253.115805946793</v>
      </c>
      <c r="T362" s="106">
        <v>23326.310529845741</v>
      </c>
      <c r="U362" s="106">
        <v>14702.587430432864</v>
      </c>
      <c r="V362" s="106">
        <v>0.68552763282062479</v>
      </c>
      <c r="W362" s="106">
        <v>108630.33770491803</v>
      </c>
      <c r="X362" s="110">
        <v>0.63509108092483557</v>
      </c>
      <c r="Y362" s="106">
        <v>559.15714285714284</v>
      </c>
      <c r="Z362" s="106">
        <v>19.169999999999998</v>
      </c>
      <c r="AA362" s="106">
        <v>45480.410495384654</v>
      </c>
      <c r="AB362" s="106">
        <v>504.05973462348589</v>
      </c>
      <c r="AC362" s="106">
        <v>2.1987488439698226</v>
      </c>
      <c r="AD362" s="106">
        <v>33.565459610027851</v>
      </c>
      <c r="AE362" s="106">
        <v>90.22821576763485</v>
      </c>
      <c r="AF362" s="106">
        <v>4.9756705944156154E-2</v>
      </c>
      <c r="AG362" s="106">
        <v>7492</v>
      </c>
      <c r="AH362" s="106">
        <v>22170.148446232954</v>
      </c>
      <c r="AI362" s="106">
        <v>22498.577464788734</v>
      </c>
      <c r="AJ362" s="106">
        <v>22373.725687458082</v>
      </c>
      <c r="AK362" s="104">
        <v>18803.077576570533</v>
      </c>
      <c r="AL362" s="118">
        <v>24950026</v>
      </c>
      <c r="AM362" s="118">
        <v>4321</v>
      </c>
      <c r="AN362" s="118">
        <v>130470</v>
      </c>
      <c r="AO362" s="118">
        <v>1044</v>
      </c>
      <c r="AP362" s="118">
        <f t="shared" si="5"/>
        <v>3348</v>
      </c>
    </row>
    <row r="363" spans="1:42" ht="12.75">
      <c r="A363" s="106">
        <v>2018</v>
      </c>
      <c r="B363" s="106">
        <v>-138947</v>
      </c>
      <c r="C363" s="106">
        <v>0</v>
      </c>
      <c r="D363" s="106">
        <v>138947</v>
      </c>
      <c r="E363" s="106" t="s">
        <v>757</v>
      </c>
      <c r="F363" s="106" t="s">
        <v>230</v>
      </c>
      <c r="G363" s="106" t="s">
        <v>63</v>
      </c>
      <c r="H363" s="106">
        <v>5</v>
      </c>
      <c r="I363" s="106" t="s">
        <v>3639</v>
      </c>
      <c r="J363" s="106">
        <v>21892</v>
      </c>
      <c r="K363" s="106">
        <v>27143</v>
      </c>
      <c r="L363" s="106">
        <v>31511</v>
      </c>
      <c r="M363" s="106">
        <v>0.73</v>
      </c>
      <c r="N363" s="106">
        <v>0.9</v>
      </c>
      <c r="O363" s="106">
        <v>0.32</v>
      </c>
      <c r="P363" s="106">
        <v>12686</v>
      </c>
      <c r="Q363" s="106">
        <v>3854.3919129082428</v>
      </c>
      <c r="R363" s="106">
        <v>0.17359676866416571</v>
      </c>
      <c r="S363" s="106">
        <v>30178.876620010367</v>
      </c>
      <c r="T363" s="106">
        <v>25474.826853291863</v>
      </c>
      <c r="U363" s="106">
        <v>17391.661893524604</v>
      </c>
      <c r="V363" s="106">
        <v>1.0550308460381361</v>
      </c>
      <c r="W363" s="106">
        <v>89565.834215167546</v>
      </c>
      <c r="X363" s="110">
        <v>0.51671607183916157</v>
      </c>
      <c r="Y363" s="106">
        <v>489.13005780346822</v>
      </c>
      <c r="Z363" s="106">
        <v>16.72543352601156</v>
      </c>
      <c r="AA363" s="106">
        <v>99550.491966198693</v>
      </c>
      <c r="AB363" s="106">
        <v>594.69476525993935</v>
      </c>
      <c r="AC363" s="106">
        <v>1.0045153773218312</v>
      </c>
      <c r="AD363" s="106">
        <v>17.835406192114316</v>
      </c>
      <c r="AE363" s="106">
        <v>167.39762611275964</v>
      </c>
      <c r="AF363" s="106">
        <v>0.12551739074291798</v>
      </c>
      <c r="AG363" s="106">
        <v>20476</v>
      </c>
      <c r="AH363" s="106">
        <v>28117.123120787972</v>
      </c>
      <c r="AI363" s="106">
        <v>30386.274235355108</v>
      </c>
      <c r="AJ363" s="106">
        <v>31524.201918092276</v>
      </c>
      <c r="AK363" s="104">
        <v>21565.958268532919</v>
      </c>
      <c r="AL363" s="118"/>
      <c r="AM363" s="118">
        <v>3302</v>
      </c>
      <c r="AN363" s="118">
        <v>112826</v>
      </c>
      <c r="AO363" s="118">
        <v>411</v>
      </c>
      <c r="AP363" s="118">
        <f t="shared" si="5"/>
        <v>1416</v>
      </c>
    </row>
    <row r="364" spans="1:42" ht="12.75">
      <c r="A364" s="106">
        <v>2018</v>
      </c>
      <c r="B364" s="106">
        <v>-234933</v>
      </c>
      <c r="C364" s="106">
        <v>0</v>
      </c>
      <c r="D364" s="106">
        <v>234933</v>
      </c>
      <c r="E364" s="106" t="s">
        <v>758</v>
      </c>
      <c r="F364" s="106" t="s">
        <v>759</v>
      </c>
      <c r="G364" s="106" t="s">
        <v>182</v>
      </c>
      <c r="H364" s="106">
        <v>4</v>
      </c>
      <c r="I364" s="106" t="s">
        <v>24</v>
      </c>
      <c r="J364" s="106">
        <v>3613</v>
      </c>
      <c r="K364" s="106">
        <v>7104</v>
      </c>
      <c r="L364" s="106">
        <v>5976</v>
      </c>
      <c r="M364" s="106">
        <v>0.37</v>
      </c>
      <c r="N364" s="106">
        <v>0.12</v>
      </c>
      <c r="O364" s="106">
        <v>0.25</v>
      </c>
      <c r="P364" s="106">
        <v>1027</v>
      </c>
      <c r="Q364" s="106">
        <v>568.84181623359234</v>
      </c>
      <c r="R364" s="106">
        <v>0.14607929049934773</v>
      </c>
      <c r="S364" s="106">
        <v>13095.961559067773</v>
      </c>
      <c r="T364" s="106">
        <v>13969.167961425128</v>
      </c>
      <c r="U364" s="106">
        <v>10408.627779266006</v>
      </c>
      <c r="V364" s="106">
        <v>0.31946768284440202</v>
      </c>
      <c r="W364" s="106">
        <v>88809.677830188681</v>
      </c>
      <c r="X364" s="110">
        <v>0.60175038387705626</v>
      </c>
      <c r="Y364" s="106">
        <v>1067.7235169491526</v>
      </c>
      <c r="Z364" s="106">
        <v>23.726694915254235</v>
      </c>
      <c r="AA364" s="106">
        <v>31297.146596858638</v>
      </c>
      <c r="AB364" s="106">
        <v>231.29802040020596</v>
      </c>
      <c r="AC364" s="106">
        <v>3.1951794611856794</v>
      </c>
      <c r="AD364" s="106">
        <v>34.991544532130781</v>
      </c>
      <c r="AE364" s="106">
        <v>135.31091421667338</v>
      </c>
      <c r="AF364" s="106">
        <v>-4.2345368795978347E-2</v>
      </c>
      <c r="AG364" s="106">
        <v>3370</v>
      </c>
      <c r="AH364" s="106">
        <v>12084.409054379856</v>
      </c>
      <c r="AI364" s="106">
        <v>12084.409054379856</v>
      </c>
      <c r="AJ364" s="106">
        <v>13128.796276453255</v>
      </c>
      <c r="AK364" s="104">
        <v>12394.56643450308</v>
      </c>
      <c r="AL364" s="118">
        <v>33689064</v>
      </c>
      <c r="AM364" s="118">
        <v>10000</v>
      </c>
      <c r="AN364" s="118">
        <v>335977</v>
      </c>
      <c r="AO364" s="118">
        <v>2008</v>
      </c>
      <c r="AP364" s="118">
        <f t="shared" si="5"/>
        <v>243</v>
      </c>
    </row>
    <row r="365" spans="1:42" ht="12.75">
      <c r="A365" s="106">
        <v>2018</v>
      </c>
      <c r="B365" s="106">
        <v>-201973</v>
      </c>
      <c r="C365" s="106">
        <v>0</v>
      </c>
      <c r="D365" s="106">
        <v>201973</v>
      </c>
      <c r="E365" s="106" t="s">
        <v>760</v>
      </c>
      <c r="F365" s="106" t="s">
        <v>149</v>
      </c>
      <c r="G365" s="106" t="s">
        <v>82</v>
      </c>
      <c r="H365" s="106">
        <v>4</v>
      </c>
      <c r="I365" s="106" t="s">
        <v>24</v>
      </c>
      <c r="J365" s="106">
        <v>3359</v>
      </c>
      <c r="K365" s="106">
        <v>6752</v>
      </c>
      <c r="L365" s="106">
        <v>5345</v>
      </c>
      <c r="M365" s="106">
        <v>0.61</v>
      </c>
      <c r="N365" s="106">
        <v>0.49</v>
      </c>
      <c r="O365" s="106">
        <v>0.47</v>
      </c>
      <c r="P365" s="106">
        <v>610</v>
      </c>
      <c r="Q365" s="106">
        <v>63.659850230414747</v>
      </c>
      <c r="R365" s="106">
        <v>1.5648015613820735E-2</v>
      </c>
      <c r="S365" s="106">
        <v>10479.750288018433</v>
      </c>
      <c r="T365" s="106">
        <v>7594.3853686635948</v>
      </c>
      <c r="U365" s="106">
        <v>6598.4446112244723</v>
      </c>
      <c r="V365" s="106">
        <v>0.60689727487949052</v>
      </c>
      <c r="W365" s="106">
        <v>28802.763307984791</v>
      </c>
      <c r="X365" s="110">
        <v>0.38305072879680924</v>
      </c>
      <c r="Y365" s="106">
        <v>545.40314136125653</v>
      </c>
      <c r="Z365" s="106">
        <v>18.178010471204189</v>
      </c>
      <c r="AA365" s="106">
        <v>14555.145927681937</v>
      </c>
      <c r="AB365" s="106">
        <v>219.92281697741589</v>
      </c>
      <c r="AC365" s="106">
        <v>6.8704223576222203</v>
      </c>
      <c r="AD365" s="106">
        <v>55.579096045197737</v>
      </c>
      <c r="AE365" s="106">
        <v>66.182973316391355</v>
      </c>
      <c r="AF365" s="106">
        <v>0.9427187966706162</v>
      </c>
      <c r="AG365" s="106">
        <v>2912</v>
      </c>
      <c r="AH365" s="106">
        <v>9459.2485599078336</v>
      </c>
      <c r="AI365" s="106">
        <v>9459.2485599078336</v>
      </c>
      <c r="AJ365" s="106">
        <v>10531.207661290322</v>
      </c>
      <c r="AK365" s="104">
        <v>8794.3954493087549</v>
      </c>
      <c r="AL365" s="119">
        <v>14416765</v>
      </c>
      <c r="AM365" s="118">
        <v>5783</v>
      </c>
      <c r="AN365" s="118">
        <v>104172</v>
      </c>
      <c r="AO365" s="118">
        <v>531</v>
      </c>
      <c r="AP365" s="118">
        <f t="shared" si="5"/>
        <v>447</v>
      </c>
    </row>
    <row r="366" spans="1:42" ht="12.75">
      <c r="A366" s="106">
        <v>2018</v>
      </c>
      <c r="B366" s="106">
        <v>-165334</v>
      </c>
      <c r="C366" s="106">
        <v>0</v>
      </c>
      <c r="D366" s="106">
        <v>165334</v>
      </c>
      <c r="E366" s="106" t="s">
        <v>761</v>
      </c>
      <c r="F366" s="106" t="s">
        <v>225</v>
      </c>
      <c r="G366" s="106" t="s">
        <v>150</v>
      </c>
      <c r="H366" s="106">
        <v>5</v>
      </c>
      <c r="I366" s="106" t="s">
        <v>3639</v>
      </c>
      <c r="J366" s="106">
        <v>44400</v>
      </c>
      <c r="K366" s="106">
        <v>29129</v>
      </c>
      <c r="L366" s="106">
        <v>19360</v>
      </c>
      <c r="M366" s="106">
        <v>0.22</v>
      </c>
      <c r="N366" s="106">
        <v>0.59</v>
      </c>
      <c r="O366" s="106">
        <v>0.89</v>
      </c>
      <c r="P366" s="106">
        <v>24224</v>
      </c>
      <c r="Q366" s="106">
        <v>19463.638352638354</v>
      </c>
      <c r="R366" s="106">
        <v>0.48604751765641696</v>
      </c>
      <c r="S366" s="106">
        <v>33917.953667953669</v>
      </c>
      <c r="T366" s="106">
        <v>35620.01287001287</v>
      </c>
      <c r="U366" s="106">
        <v>27630.538417742981</v>
      </c>
      <c r="V366" s="106">
        <v>0.74486731423477348</v>
      </c>
      <c r="W366" s="106">
        <v>102642.44465832532</v>
      </c>
      <c r="X366" s="110">
        <v>0.64220871308950656</v>
      </c>
      <c r="Y366" s="106">
        <v>332.04239401496261</v>
      </c>
      <c r="Z366" s="106">
        <v>11.625935162094764</v>
      </c>
      <c r="AA366" s="106">
        <v>90300.434702781466</v>
      </c>
      <c r="AB366" s="106">
        <v>967.43926055409929</v>
      </c>
      <c r="AC366" s="106">
        <v>1.1074143809954413</v>
      </c>
      <c r="AD366" s="106">
        <v>31.344759393539885</v>
      </c>
      <c r="AE366" s="106">
        <v>93.339642481598318</v>
      </c>
      <c r="AF366" s="106">
        <v>6.6348601641357946E-2</v>
      </c>
      <c r="AG366" s="106">
        <v>44050</v>
      </c>
      <c r="AH366" s="106">
        <v>28007.719755469756</v>
      </c>
      <c r="AI366" s="106">
        <v>34078.614221364223</v>
      </c>
      <c r="AJ366" s="106">
        <v>46456.885456885459</v>
      </c>
      <c r="AK366" s="104">
        <v>31394.787644787644</v>
      </c>
      <c r="AL366" s="118"/>
      <c r="AM366" s="118">
        <v>2240</v>
      </c>
      <c r="AN366" s="118">
        <v>88766</v>
      </c>
      <c r="AO366" s="118">
        <v>455</v>
      </c>
      <c r="AP366" s="118">
        <f t="shared" si="5"/>
        <v>350</v>
      </c>
    </row>
    <row r="367" spans="1:42" ht="12.75">
      <c r="A367" s="106">
        <v>2018</v>
      </c>
      <c r="B367" s="106">
        <v>-153126</v>
      </c>
      <c r="C367" s="106">
        <v>0</v>
      </c>
      <c r="D367" s="106">
        <v>153126</v>
      </c>
      <c r="E367" s="106" t="s">
        <v>762</v>
      </c>
      <c r="F367" s="106" t="s">
        <v>763</v>
      </c>
      <c r="G367" s="106" t="s">
        <v>447</v>
      </c>
      <c r="H367" s="106">
        <v>7</v>
      </c>
      <c r="I367" s="106" t="s">
        <v>3641</v>
      </c>
      <c r="J367" s="106">
        <v>31950</v>
      </c>
      <c r="K367" s="106">
        <v>25819</v>
      </c>
      <c r="L367" s="106">
        <v>19010</v>
      </c>
      <c r="M367" s="106">
        <v>0.33</v>
      </c>
      <c r="N367" s="106">
        <v>1</v>
      </c>
      <c r="O367" s="106">
        <v>0.95</v>
      </c>
      <c r="P367" s="106">
        <v>17431</v>
      </c>
      <c r="Q367" s="106">
        <v>10445.116533864542</v>
      </c>
      <c r="R367" s="106">
        <v>0.38823284203706704</v>
      </c>
      <c r="S367" s="106">
        <v>24370.476095617531</v>
      </c>
      <c r="T367" s="106">
        <v>25257.410358565736</v>
      </c>
      <c r="U367" s="106">
        <v>19464.414342629483</v>
      </c>
      <c r="V367" s="106">
        <v>0.84560167824907972</v>
      </c>
      <c r="W367" s="106">
        <v>57913.058375634515</v>
      </c>
      <c r="X367" s="110">
        <v>0.59987246849569609</v>
      </c>
      <c r="Y367" s="106">
        <v>213.82477341389728</v>
      </c>
      <c r="Z367" s="106">
        <v>9.0996978851963757</v>
      </c>
      <c r="AA367" s="106">
        <v>63448.935064935067</v>
      </c>
      <c r="AB367" s="106">
        <v>828.34316717531362</v>
      </c>
      <c r="AC367" s="106">
        <v>1.5760705817624481</v>
      </c>
      <c r="AD367" s="106">
        <v>32.592592592592595</v>
      </c>
      <c r="AE367" s="106">
        <v>76.597402597402592</v>
      </c>
      <c r="AF367" s="106">
        <v>1.8052835061049734E-2</v>
      </c>
      <c r="AG367" s="106">
        <v>30950</v>
      </c>
      <c r="AH367" s="106">
        <v>21965.003984063744</v>
      </c>
      <c r="AI367" s="106">
        <v>24526.767928286852</v>
      </c>
      <c r="AJ367" s="106">
        <v>26323.348605577688</v>
      </c>
      <c r="AK367" s="104">
        <v>19464.414342629483</v>
      </c>
      <c r="AL367" s="118"/>
      <c r="AM367" s="118">
        <v>768</v>
      </c>
      <c r="AN367" s="118">
        <v>23592</v>
      </c>
      <c r="AO367" s="118">
        <v>207</v>
      </c>
      <c r="AP367" s="118">
        <f t="shared" si="5"/>
        <v>1000</v>
      </c>
    </row>
    <row r="368" spans="1:42" ht="12.75">
      <c r="A368" s="106">
        <v>2018</v>
      </c>
      <c r="B368" s="106">
        <v>-190044</v>
      </c>
      <c r="C368" s="106">
        <v>0</v>
      </c>
      <c r="D368" s="106">
        <v>190044</v>
      </c>
      <c r="E368" s="106" t="s">
        <v>764</v>
      </c>
      <c r="F368" s="106" t="s">
        <v>765</v>
      </c>
      <c r="G368" s="106" t="s">
        <v>69</v>
      </c>
      <c r="H368" s="106">
        <v>5</v>
      </c>
      <c r="I368" s="106" t="s">
        <v>3639</v>
      </c>
      <c r="J368" s="106">
        <v>47950</v>
      </c>
      <c r="K368" s="106">
        <v>31376</v>
      </c>
      <c r="L368" s="106">
        <v>20280</v>
      </c>
      <c r="M368" s="106">
        <v>0.26</v>
      </c>
      <c r="N368" s="106">
        <v>0.75</v>
      </c>
      <c r="O368" s="106">
        <v>1</v>
      </c>
      <c r="P368" s="106">
        <v>32227</v>
      </c>
      <c r="Q368" s="106">
        <v>23623.291528873062</v>
      </c>
      <c r="R368" s="106">
        <v>0.56967795494068141</v>
      </c>
      <c r="S368" s="106">
        <v>33108.601628084456</v>
      </c>
      <c r="T368" s="106">
        <v>35220.307809717626</v>
      </c>
      <c r="U368" s="106">
        <v>26210.344877266045</v>
      </c>
      <c r="V368" s="106">
        <v>0.68081929503652949</v>
      </c>
      <c r="W368" s="106">
        <v>110835.19957356078</v>
      </c>
      <c r="X368" s="110">
        <v>0.62575324286139289</v>
      </c>
      <c r="Y368" s="106">
        <v>373.73595505617976</v>
      </c>
      <c r="Z368" s="106">
        <v>13.250561797752809</v>
      </c>
      <c r="AA368" s="106">
        <v>82294.621176144428</v>
      </c>
      <c r="AB368" s="106">
        <v>929.27049120660945</v>
      </c>
      <c r="AC368" s="106">
        <v>1.2151462461435816</v>
      </c>
      <c r="AD368" s="106">
        <v>32.234809474768277</v>
      </c>
      <c r="AE368" s="106">
        <v>88.558306709265182</v>
      </c>
      <c r="AF368" s="106">
        <v>-2.3357219248466489E-2</v>
      </c>
      <c r="AG368" s="106">
        <v>46700</v>
      </c>
      <c r="AH368" s="106">
        <v>30278.131264309337</v>
      </c>
      <c r="AI368" s="106">
        <v>33239.914271177819</v>
      </c>
      <c r="AJ368" s="106">
        <v>36598.435766980409</v>
      </c>
      <c r="AK368" s="104">
        <v>30614.130501144748</v>
      </c>
      <c r="AL368" s="118">
        <v>308857</v>
      </c>
      <c r="AM368" s="118">
        <v>3090</v>
      </c>
      <c r="AN368" s="118">
        <v>110875</v>
      </c>
      <c r="AO368" s="118">
        <v>781</v>
      </c>
      <c r="AP368" s="118">
        <f t="shared" si="5"/>
        <v>1250</v>
      </c>
    </row>
    <row r="369" spans="1:42" ht="12.75">
      <c r="A369" s="106">
        <v>2018</v>
      </c>
      <c r="B369" s="106">
        <v>-208415</v>
      </c>
      <c r="C369" s="106">
        <v>0</v>
      </c>
      <c r="D369" s="106">
        <v>208415</v>
      </c>
      <c r="E369" s="106" t="s">
        <v>766</v>
      </c>
      <c r="F369" s="106" t="s">
        <v>767</v>
      </c>
      <c r="G369" s="106" t="s">
        <v>405</v>
      </c>
      <c r="H369" s="106">
        <v>4</v>
      </c>
      <c r="I369" s="106" t="s">
        <v>24</v>
      </c>
      <c r="J369" s="106">
        <v>4014</v>
      </c>
      <c r="K369" s="106">
        <v>9695</v>
      </c>
      <c r="L369" s="106">
        <v>8980</v>
      </c>
      <c r="M369" s="106">
        <v>0.61</v>
      </c>
      <c r="N369" s="106">
        <v>0.1</v>
      </c>
      <c r="O369" s="106">
        <v>0</v>
      </c>
      <c r="P369" s="106"/>
      <c r="Q369" s="106">
        <v>314.46938775510205</v>
      </c>
      <c r="R369" s="106">
        <v>0.14325424863337177</v>
      </c>
      <c r="S369" s="106">
        <v>21630.740136054421</v>
      </c>
      <c r="T369" s="106">
        <v>23622.817687074828</v>
      </c>
      <c r="U369" s="106">
        <v>18886.208302219664</v>
      </c>
      <c r="V369" s="106">
        <v>9.9581358821148269E-2</v>
      </c>
      <c r="W369" s="106">
        <v>79779.980769230766</v>
      </c>
      <c r="X369" s="110">
        <v>0.55751302600258912</v>
      </c>
      <c r="Y369" s="106">
        <v>631.98726114649685</v>
      </c>
      <c r="Z369" s="106">
        <v>14.044585987261147</v>
      </c>
      <c r="AA369" s="106">
        <v>77549.514537047216</v>
      </c>
      <c r="AB369" s="106">
        <v>419.70620735718245</v>
      </c>
      <c r="AC369" s="106">
        <v>1.2894987234540025</v>
      </c>
      <c r="AD369" s="106">
        <v>34.757281553398059</v>
      </c>
      <c r="AE369" s="106">
        <v>184.77094972067039</v>
      </c>
      <c r="AF369" s="106">
        <v>-5.3008967875747819E-2</v>
      </c>
      <c r="AG369" s="106">
        <v>3564</v>
      </c>
      <c r="AH369" s="106">
        <v>19776.604081632653</v>
      </c>
      <c r="AI369" s="106">
        <v>19776.604081632653</v>
      </c>
      <c r="AJ369" s="106">
        <v>21767.67755102041</v>
      </c>
      <c r="AK369" s="104">
        <v>22454.557823129253</v>
      </c>
      <c r="AL369" s="118">
        <v>10308789</v>
      </c>
      <c r="AM369" s="118">
        <v>819</v>
      </c>
      <c r="AN369" s="118">
        <v>33074</v>
      </c>
      <c r="AO369" s="118">
        <v>87</v>
      </c>
      <c r="AP369" s="118">
        <f t="shared" si="5"/>
        <v>450</v>
      </c>
    </row>
    <row r="370" spans="1:42" ht="12.75">
      <c r="A370" s="106">
        <v>2018</v>
      </c>
      <c r="B370" s="106">
        <v>-139311</v>
      </c>
      <c r="C370" s="106">
        <v>0</v>
      </c>
      <c r="D370" s="106">
        <v>139311</v>
      </c>
      <c r="E370" s="106" t="s">
        <v>768</v>
      </c>
      <c r="F370" s="106" t="s">
        <v>769</v>
      </c>
      <c r="G370" s="106" t="s">
        <v>63</v>
      </c>
      <c r="H370" s="106">
        <v>2</v>
      </c>
      <c r="I370" s="106" t="s">
        <v>25</v>
      </c>
      <c r="J370" s="106">
        <v>5419</v>
      </c>
      <c r="K370" s="106">
        <v>10326</v>
      </c>
      <c r="L370" s="106">
        <v>9965</v>
      </c>
      <c r="M370" s="106">
        <v>0.71</v>
      </c>
      <c r="N370" s="106">
        <v>0.64</v>
      </c>
      <c r="O370" s="106">
        <v>0.13</v>
      </c>
      <c r="P370" s="106">
        <v>6710</v>
      </c>
      <c r="Q370" s="106">
        <v>142.45959139396132</v>
      </c>
      <c r="R370" s="106">
        <v>2.1490246116807457E-2</v>
      </c>
      <c r="S370" s="106">
        <v>16264.416741999639</v>
      </c>
      <c r="T370" s="106">
        <v>16265.379497378413</v>
      </c>
      <c r="U370" s="106">
        <v>12050.749809510829</v>
      </c>
      <c r="V370" s="106">
        <v>0.53827151051788813</v>
      </c>
      <c r="W370" s="106">
        <v>83389.328966521105</v>
      </c>
      <c r="X370" s="110">
        <v>0.6367945783179001</v>
      </c>
      <c r="Y370" s="106">
        <v>650.93650793650795</v>
      </c>
      <c r="Z370" s="106">
        <v>21.948412698412699</v>
      </c>
      <c r="AA370" s="106">
        <v>53025.216544474461</v>
      </c>
      <c r="AB370" s="106">
        <v>406.32969102150992</v>
      </c>
      <c r="AC370" s="106">
        <v>1.8858951743483372</v>
      </c>
      <c r="AD370" s="106">
        <v>24.483833268406702</v>
      </c>
      <c r="AE370" s="106">
        <v>130.49801113762928</v>
      </c>
      <c r="AF370" s="106">
        <v>5.2443900246032633E-2</v>
      </c>
      <c r="AG370" s="106">
        <v>3965</v>
      </c>
      <c r="AH370" s="106">
        <v>15027.434460314591</v>
      </c>
      <c r="AI370" s="106">
        <v>15169.701862231061</v>
      </c>
      <c r="AJ370" s="106">
        <v>16284.563731694088</v>
      </c>
      <c r="AK370" s="104">
        <v>13932.544024588682</v>
      </c>
      <c r="AL370" s="118">
        <v>25534925</v>
      </c>
      <c r="AM370" s="118">
        <v>6555</v>
      </c>
      <c r="AN370" s="118">
        <v>164036</v>
      </c>
      <c r="AO370" s="118">
        <v>1083</v>
      </c>
      <c r="AP370" s="118">
        <f t="shared" si="5"/>
        <v>1454</v>
      </c>
    </row>
    <row r="371" spans="1:42" ht="12.75">
      <c r="A371" s="106">
        <v>2018</v>
      </c>
      <c r="B371" s="106">
        <v>-217882</v>
      </c>
      <c r="C371" s="106">
        <v>0</v>
      </c>
      <c r="D371" s="106">
        <v>217882</v>
      </c>
      <c r="E371" s="106" t="s">
        <v>771</v>
      </c>
      <c r="F371" s="106" t="s">
        <v>772</v>
      </c>
      <c r="G371" s="106" t="s">
        <v>79</v>
      </c>
      <c r="H371" s="106">
        <v>1</v>
      </c>
      <c r="I371" s="106" t="s">
        <v>23</v>
      </c>
      <c r="J371" s="106">
        <v>15116</v>
      </c>
      <c r="K371" s="106">
        <v>19508</v>
      </c>
      <c r="L371" s="106">
        <v>13131</v>
      </c>
      <c r="M371" s="106">
        <v>0.15</v>
      </c>
      <c r="N371" s="106">
        <v>0.4</v>
      </c>
      <c r="O371" s="106">
        <v>0.71</v>
      </c>
      <c r="P371" s="106">
        <v>7315</v>
      </c>
      <c r="Q371" s="106">
        <v>3178.1660707525343</v>
      </c>
      <c r="R371" s="106">
        <v>0.14978435313564267</v>
      </c>
      <c r="S371" s="106">
        <v>42359.102553316785</v>
      </c>
      <c r="T371" s="106">
        <v>43223.834097505576</v>
      </c>
      <c r="U371" s="106">
        <v>17861.696303484216</v>
      </c>
      <c r="V371" s="106">
        <v>1.0099887376567585</v>
      </c>
      <c r="W371" s="106">
        <v>120621.04947916667</v>
      </c>
      <c r="X371" s="110">
        <v>0.58599026539961152</v>
      </c>
      <c r="Y371" s="106">
        <v>408.19360568383661</v>
      </c>
      <c r="Z371" s="106">
        <v>14.075192421551213</v>
      </c>
      <c r="AA371" s="106">
        <v>64621.230592410633</v>
      </c>
      <c r="AB371" s="106">
        <v>615.9009081626225</v>
      </c>
      <c r="AC371" s="106">
        <v>1.5474790418451796</v>
      </c>
      <c r="AD371" s="106">
        <v>29.113867966326985</v>
      </c>
      <c r="AE371" s="106">
        <v>104.92147313955257</v>
      </c>
      <c r="AF371" s="106">
        <v>1.937204674420015E-2</v>
      </c>
      <c r="AG371" s="106">
        <v>13752</v>
      </c>
      <c r="AH371" s="106">
        <v>40760.735414125265</v>
      </c>
      <c r="AI371" s="106">
        <v>43704.998107096282</v>
      </c>
      <c r="AJ371" s="106">
        <v>43119.037479493541</v>
      </c>
      <c r="AK371" s="104">
        <v>33036.496571741052</v>
      </c>
      <c r="AL371" s="118">
        <v>123913793</v>
      </c>
      <c r="AM371" s="118">
        <v>19402</v>
      </c>
      <c r="AN371" s="118">
        <v>689439</v>
      </c>
      <c r="AO371" s="118">
        <v>4545</v>
      </c>
      <c r="AP371" s="118">
        <f t="shared" si="5"/>
        <v>1364</v>
      </c>
    </row>
    <row r="372" spans="1:42" ht="12.75">
      <c r="A372" s="106">
        <v>2018</v>
      </c>
      <c r="B372" s="106">
        <v>-198321</v>
      </c>
      <c r="C372" s="106">
        <v>0</v>
      </c>
      <c r="D372" s="106">
        <v>198321</v>
      </c>
      <c r="E372" s="106" t="s">
        <v>773</v>
      </c>
      <c r="F372" s="106" t="s">
        <v>774</v>
      </c>
      <c r="G372" s="106" t="s">
        <v>90</v>
      </c>
      <c r="H372" s="106">
        <v>4</v>
      </c>
      <c r="I372" s="106" t="s">
        <v>24</v>
      </c>
      <c r="J372" s="106">
        <v>2526</v>
      </c>
      <c r="K372" s="106">
        <v>3076</v>
      </c>
      <c r="L372" s="106">
        <v>2623</v>
      </c>
      <c r="M372" s="106">
        <v>0.74</v>
      </c>
      <c r="N372" s="106">
        <v>0</v>
      </c>
      <c r="O372" s="106">
        <v>0</v>
      </c>
      <c r="P372" s="106"/>
      <c r="Q372" s="106"/>
      <c r="R372" s="106"/>
      <c r="S372" s="106">
        <v>13604.206803455723</v>
      </c>
      <c r="T372" s="106">
        <v>15054.930885529158</v>
      </c>
      <c r="U372" s="106">
        <v>10623.035637149029</v>
      </c>
      <c r="V372" s="106">
        <v>0.19355843809415763</v>
      </c>
      <c r="W372" s="106">
        <v>55141.509179926565</v>
      </c>
      <c r="X372" s="110">
        <v>0.53859175606450849</v>
      </c>
      <c r="Y372" s="106">
        <v>335.40241448692149</v>
      </c>
      <c r="Z372" s="106">
        <v>11.17907444668008</v>
      </c>
      <c r="AA372" s="106">
        <v>27631.828651685395</v>
      </c>
      <c r="AB372" s="106">
        <v>354.06932421488347</v>
      </c>
      <c r="AC372" s="106">
        <v>3.6190149143060983</v>
      </c>
      <c r="AD372" s="106">
        <v>45.524296675191813</v>
      </c>
      <c r="AE372" s="106">
        <v>78.040730337078656</v>
      </c>
      <c r="AF372" s="106">
        <v>-6.0014594162749353E-2</v>
      </c>
      <c r="AG372" s="106">
        <v>2432</v>
      </c>
      <c r="AH372" s="106">
        <v>12264.005939524837</v>
      </c>
      <c r="AI372" s="106">
        <v>12268.055615550757</v>
      </c>
      <c r="AJ372" s="106">
        <v>13617.424946004319</v>
      </c>
      <c r="AK372" s="104">
        <v>12251.309935205183</v>
      </c>
      <c r="AL372" s="118">
        <v>16776656</v>
      </c>
      <c r="AM372" s="118">
        <v>2700</v>
      </c>
      <c r="AN372" s="118">
        <v>55565</v>
      </c>
      <c r="AO372" s="118">
        <v>396</v>
      </c>
      <c r="AP372" s="118">
        <f t="shared" si="5"/>
        <v>94</v>
      </c>
    </row>
    <row r="373" spans="1:42" ht="12.75">
      <c r="A373" s="106">
        <v>2018</v>
      </c>
      <c r="B373" s="106">
        <v>-219879</v>
      </c>
      <c r="C373" s="106">
        <v>0</v>
      </c>
      <c r="D373" s="106">
        <v>219879</v>
      </c>
      <c r="E373" s="106" t="s">
        <v>775</v>
      </c>
      <c r="F373" s="106" t="s">
        <v>624</v>
      </c>
      <c r="G373" s="106" t="s">
        <v>255</v>
      </c>
      <c r="H373" s="106">
        <v>4</v>
      </c>
      <c r="I373" s="106" t="s">
        <v>24</v>
      </c>
      <c r="J373" s="106">
        <v>4139</v>
      </c>
      <c r="K373" s="106">
        <v>5147</v>
      </c>
      <c r="L373" s="106">
        <v>4210</v>
      </c>
      <c r="M373" s="106">
        <v>0.57999999999999996</v>
      </c>
      <c r="N373" s="106">
        <v>0.13</v>
      </c>
      <c r="O373" s="106">
        <v>0.12</v>
      </c>
      <c r="P373" s="106">
        <v>1585</v>
      </c>
      <c r="Q373" s="106">
        <v>400.32558139534882</v>
      </c>
      <c r="R373" s="106">
        <v>8.0039840956705313E-2</v>
      </c>
      <c r="S373" s="106">
        <v>13315.75507174666</v>
      </c>
      <c r="T373" s="106">
        <v>13474.895596239485</v>
      </c>
      <c r="U373" s="106">
        <v>11147.986486663756</v>
      </c>
      <c r="V373" s="106">
        <v>0.41274299582576351</v>
      </c>
      <c r="W373" s="106">
        <v>61485.794233289642</v>
      </c>
      <c r="X373" s="110">
        <v>0.57423062161446414</v>
      </c>
      <c r="Y373" s="106">
        <v>515.3711048158641</v>
      </c>
      <c r="Z373" s="106">
        <v>17.175637393767708</v>
      </c>
      <c r="AA373" s="106">
        <v>21684.389499083209</v>
      </c>
      <c r="AB373" s="106">
        <v>371.52601644977824</v>
      </c>
      <c r="AC373" s="106">
        <v>4.6116124230395279</v>
      </c>
      <c r="AD373" s="106">
        <v>49.95192307692308</v>
      </c>
      <c r="AE373" s="106">
        <v>58.365736284889316</v>
      </c>
      <c r="AF373" s="106">
        <v>5.4716830075170773E-2</v>
      </c>
      <c r="AG373" s="106">
        <v>3840</v>
      </c>
      <c r="AH373" s="106">
        <v>13174.759030183077</v>
      </c>
      <c r="AI373" s="106">
        <v>13499.331024245423</v>
      </c>
      <c r="AJ373" s="106">
        <v>13354.284512617516</v>
      </c>
      <c r="AK373" s="104">
        <v>13464.553686293913</v>
      </c>
      <c r="AL373" s="118">
        <v>11120844</v>
      </c>
      <c r="AM373" s="118">
        <v>3005</v>
      </c>
      <c r="AN373" s="118">
        <v>60642</v>
      </c>
      <c r="AO373" s="118">
        <v>509</v>
      </c>
      <c r="AP373" s="118">
        <f t="shared" si="5"/>
        <v>299</v>
      </c>
    </row>
    <row r="374" spans="1:42" ht="12.75">
      <c r="A374" s="106">
        <v>2018</v>
      </c>
      <c r="B374" s="106">
        <v>-202134</v>
      </c>
      <c r="C374" s="106">
        <v>0</v>
      </c>
      <c r="D374" s="106">
        <v>202134</v>
      </c>
      <c r="E374" s="106" t="s">
        <v>776</v>
      </c>
      <c r="F374" s="106" t="s">
        <v>624</v>
      </c>
      <c r="G374" s="106" t="s">
        <v>82</v>
      </c>
      <c r="H374" s="106">
        <v>1</v>
      </c>
      <c r="I374" s="106" t="s">
        <v>23</v>
      </c>
      <c r="J374" s="106">
        <v>9778</v>
      </c>
      <c r="K374" s="106">
        <v>14356</v>
      </c>
      <c r="L374" s="106">
        <v>11050</v>
      </c>
      <c r="M374" s="106">
        <v>0.46</v>
      </c>
      <c r="N374" s="106">
        <v>0.62</v>
      </c>
      <c r="O374" s="106">
        <v>0.54</v>
      </c>
      <c r="P374" s="106">
        <v>5111</v>
      </c>
      <c r="Q374" s="106">
        <v>1259.7433652910936</v>
      </c>
      <c r="R374" s="106">
        <v>0.10257054853125352</v>
      </c>
      <c r="S374" s="106">
        <v>21874.988814783937</v>
      </c>
      <c r="T374" s="106">
        <v>18825.706197026539</v>
      </c>
      <c r="U374" s="106">
        <v>12698.603529302429</v>
      </c>
      <c r="V374" s="106">
        <v>0.86796808300575035</v>
      </c>
      <c r="W374" s="106">
        <v>87646.099927325573</v>
      </c>
      <c r="X374" s="110">
        <v>0.59341291111874483</v>
      </c>
      <c r="Y374" s="106">
        <v>536.66995958688813</v>
      </c>
      <c r="Z374" s="106">
        <v>19.39021104625056</v>
      </c>
      <c r="AA374" s="106">
        <v>45673.08825606676</v>
      </c>
      <c r="AB374" s="106">
        <v>458.80824523022574</v>
      </c>
      <c r="AC374" s="106">
        <v>2.1894731409303594</v>
      </c>
      <c r="AD374" s="106">
        <v>30.155979202772965</v>
      </c>
      <c r="AE374" s="106">
        <v>99.547226386806599</v>
      </c>
      <c r="AF374" s="106">
        <v>0.35469645870103289</v>
      </c>
      <c r="AG374" s="106">
        <v>9636</v>
      </c>
      <c r="AH374" s="106">
        <v>20401.488397943587</v>
      </c>
      <c r="AI374" s="106">
        <v>21151.754619980547</v>
      </c>
      <c r="AJ374" s="106">
        <v>22471.554536612479</v>
      </c>
      <c r="AK374" s="104">
        <v>15528.704043351396</v>
      </c>
      <c r="AL374" s="118">
        <v>75489568</v>
      </c>
      <c r="AM374" s="118">
        <v>12078</v>
      </c>
      <c r="AN374" s="118">
        <v>398388</v>
      </c>
      <c r="AO374" s="118">
        <v>2550</v>
      </c>
      <c r="AP374" s="118">
        <f t="shared" si="5"/>
        <v>142</v>
      </c>
    </row>
    <row r="375" spans="1:42" ht="12.75">
      <c r="A375" s="106">
        <v>2018</v>
      </c>
      <c r="B375" s="106">
        <v>-217891</v>
      </c>
      <c r="C375" s="106">
        <v>0</v>
      </c>
      <c r="D375" s="106">
        <v>217891</v>
      </c>
      <c r="E375" s="106" t="s">
        <v>777</v>
      </c>
      <c r="F375" s="106" t="s">
        <v>778</v>
      </c>
      <c r="G375" s="106" t="s">
        <v>79</v>
      </c>
      <c r="H375" s="106">
        <v>7</v>
      </c>
      <c r="I375" s="106" t="s">
        <v>3641</v>
      </c>
      <c r="J375" s="106">
        <v>7949</v>
      </c>
      <c r="K375" s="106">
        <v>16210</v>
      </c>
      <c r="L375" s="106">
        <v>16053</v>
      </c>
      <c r="M375" s="106">
        <v>1</v>
      </c>
      <c r="N375" s="106">
        <v>1</v>
      </c>
      <c r="O375" s="106">
        <v>0.5</v>
      </c>
      <c r="P375" s="106">
        <v>1337</v>
      </c>
      <c r="Q375" s="106"/>
      <c r="R375" s="106"/>
      <c r="S375" s="106">
        <v>45207.451612903227</v>
      </c>
      <c r="T375" s="106">
        <v>45076.279569892475</v>
      </c>
      <c r="U375" s="106">
        <v>39795.06451612903</v>
      </c>
      <c r="V375" s="106">
        <v>0.3660236680346971</v>
      </c>
      <c r="W375" s="106">
        <v>38894.91891891892</v>
      </c>
      <c r="X375" s="110">
        <v>0.45772256061052063</v>
      </c>
      <c r="Y375" s="106">
        <v>177.19148936170211</v>
      </c>
      <c r="Z375" s="106">
        <v>5.9361702127659566</v>
      </c>
      <c r="AA375" s="106">
        <v>185047.05</v>
      </c>
      <c r="AB375" s="106">
        <v>1333.1920028818445</v>
      </c>
      <c r="AC375" s="106">
        <v>0.54040310288653615</v>
      </c>
      <c r="AD375" s="106">
        <v>11.76470588235294</v>
      </c>
      <c r="AE375" s="106">
        <v>138.80000000000001</v>
      </c>
      <c r="AF375" s="106">
        <v>1.1170852173563155E-2</v>
      </c>
      <c r="AG375" s="106">
        <v>5349</v>
      </c>
      <c r="AH375" s="106">
        <v>44080.580645161288</v>
      </c>
      <c r="AI375" s="106">
        <v>46239.709677419356</v>
      </c>
      <c r="AJ375" s="106">
        <v>45744.967741935485</v>
      </c>
      <c r="AK375" s="104">
        <v>39795.06451612903</v>
      </c>
      <c r="AL375" s="118">
        <v>674719</v>
      </c>
      <c r="AM375" s="118">
        <v>170</v>
      </c>
      <c r="AN375" s="118">
        <v>2776</v>
      </c>
      <c r="AO375" s="118">
        <v>20</v>
      </c>
      <c r="AP375" s="118">
        <f t="shared" si="5"/>
        <v>2600</v>
      </c>
    </row>
    <row r="376" spans="1:42" ht="12.75">
      <c r="A376" s="106">
        <v>2018</v>
      </c>
      <c r="B376" s="106">
        <v>-190053</v>
      </c>
      <c r="C376" s="106">
        <v>0</v>
      </c>
      <c r="D376" s="106">
        <v>190053</v>
      </c>
      <c r="E376" s="106" t="s">
        <v>779</v>
      </c>
      <c r="F376" s="106" t="s">
        <v>780</v>
      </c>
      <c r="G376" s="106" t="s">
        <v>69</v>
      </c>
      <c r="H376" s="106">
        <v>4</v>
      </c>
      <c r="I376" s="106" t="s">
        <v>24</v>
      </c>
      <c r="J376" s="106">
        <v>5782</v>
      </c>
      <c r="K376" s="106">
        <v>6801</v>
      </c>
      <c r="L376" s="106">
        <v>6832</v>
      </c>
      <c r="M376" s="106">
        <v>0.67</v>
      </c>
      <c r="N376" s="106">
        <v>0.36</v>
      </c>
      <c r="O376" s="106">
        <v>0.18</v>
      </c>
      <c r="P376" s="106">
        <v>2517</v>
      </c>
      <c r="Q376" s="106">
        <v>389.45842696629211</v>
      </c>
      <c r="R376" s="106">
        <v>8.3232699675466953E-2</v>
      </c>
      <c r="S376" s="106">
        <v>16466.197752808988</v>
      </c>
      <c r="T376" s="106">
        <v>18899.944943820225</v>
      </c>
      <c r="U376" s="106">
        <v>13275.777809891213</v>
      </c>
      <c r="V376" s="106">
        <v>0.32312180271885083</v>
      </c>
      <c r="W376" s="106">
        <v>83289.556701030917</v>
      </c>
      <c r="X376" s="110">
        <v>0.64039875034413929</v>
      </c>
      <c r="Y376" s="106">
        <v>455.13068181818181</v>
      </c>
      <c r="Z376" s="106">
        <v>15.170454545454547</v>
      </c>
      <c r="AA376" s="106">
        <v>50493.342952150342</v>
      </c>
      <c r="AB376" s="106">
        <v>442.50935361234338</v>
      </c>
      <c r="AC376" s="106">
        <v>1.9804590893251866</v>
      </c>
      <c r="AD376" s="106">
        <v>24.22360248447205</v>
      </c>
      <c r="AE376" s="106">
        <v>114.1068376068376</v>
      </c>
      <c r="AF376" s="106">
        <v>-0.65377343701399693</v>
      </c>
      <c r="AG376" s="106">
        <v>4644</v>
      </c>
      <c r="AH376" s="106">
        <v>15688.459550561798</v>
      </c>
      <c r="AI376" s="106">
        <v>15688.459550561798</v>
      </c>
      <c r="AJ376" s="106">
        <v>16466.197752808988</v>
      </c>
      <c r="AK376" s="104">
        <v>15262.562921348315</v>
      </c>
      <c r="AL376" s="118">
        <v>6669233</v>
      </c>
      <c r="AM376" s="118">
        <v>1547</v>
      </c>
      <c r="AN376" s="118">
        <v>26701</v>
      </c>
      <c r="AO376" s="118">
        <v>212</v>
      </c>
      <c r="AP376" s="118">
        <f t="shared" si="5"/>
        <v>1138</v>
      </c>
    </row>
    <row r="377" spans="1:42" ht="12.75">
      <c r="A377" s="106">
        <v>2018</v>
      </c>
      <c r="B377" s="106">
        <v>-154907</v>
      </c>
      <c r="C377" s="106">
        <v>0</v>
      </c>
      <c r="D377" s="106">
        <v>154907</v>
      </c>
      <c r="E377" s="106" t="s">
        <v>781</v>
      </c>
      <c r="F377" s="106" t="s">
        <v>782</v>
      </c>
      <c r="G377" s="106" t="s">
        <v>129</v>
      </c>
      <c r="H377" s="106">
        <v>4</v>
      </c>
      <c r="I377" s="106" t="s">
        <v>24</v>
      </c>
      <c r="J377" s="106">
        <v>3030</v>
      </c>
      <c r="K377" s="106">
        <v>6898</v>
      </c>
      <c r="L377" s="106">
        <v>4870</v>
      </c>
      <c r="M377" s="106">
        <v>0.48</v>
      </c>
      <c r="N377" s="106">
        <v>0.39</v>
      </c>
      <c r="O377" s="106">
        <v>0.44</v>
      </c>
      <c r="P377" s="106">
        <v>2271</v>
      </c>
      <c r="Q377" s="106">
        <v>848.45768025078371</v>
      </c>
      <c r="R377" s="106">
        <v>0.2473886823822922</v>
      </c>
      <c r="S377" s="106">
        <v>14022.507836990595</v>
      </c>
      <c r="T377" s="106">
        <v>14033.3565830721</v>
      </c>
      <c r="U377" s="106">
        <v>10789.978840125392</v>
      </c>
      <c r="V377" s="106">
        <v>0.23922166546472609</v>
      </c>
      <c r="W377" s="106">
        <v>39140.495652173915</v>
      </c>
      <c r="X377" s="110">
        <v>0.5027382418390397</v>
      </c>
      <c r="Y377" s="106">
        <v>382.84</v>
      </c>
      <c r="Z377" s="106">
        <v>12.76</v>
      </c>
      <c r="AA377" s="106">
        <v>24541.912655971479</v>
      </c>
      <c r="AB377" s="106">
        <v>359.62838261414691</v>
      </c>
      <c r="AC377" s="106">
        <v>4.0746620445521078</v>
      </c>
      <c r="AD377" s="106">
        <v>47.948717948717949</v>
      </c>
      <c r="AE377" s="106">
        <v>68.242424242424249</v>
      </c>
      <c r="AF377" s="106">
        <v>7.0521566936738262E-3</v>
      </c>
      <c r="AG377" s="106">
        <v>2130</v>
      </c>
      <c r="AH377" s="106">
        <v>13351.92868338558</v>
      </c>
      <c r="AI377" s="106">
        <v>13351.92868338558</v>
      </c>
      <c r="AJ377" s="106">
        <v>14114.258620689656</v>
      </c>
      <c r="AK377" s="104">
        <v>11497.169278996866</v>
      </c>
      <c r="AL377" s="118">
        <v>7492258</v>
      </c>
      <c r="AM377" s="118">
        <v>1873</v>
      </c>
      <c r="AN377" s="118">
        <v>38284</v>
      </c>
      <c r="AO377" s="118">
        <v>308</v>
      </c>
      <c r="AP377" s="118">
        <f t="shared" si="5"/>
        <v>900</v>
      </c>
    </row>
    <row r="378" spans="1:42" ht="12.75">
      <c r="A378" s="106">
        <v>2018</v>
      </c>
      <c r="B378" s="106">
        <v>-234951</v>
      </c>
      <c r="C378" s="106">
        <v>0</v>
      </c>
      <c r="D378" s="106">
        <v>234951</v>
      </c>
      <c r="E378" s="106" t="s">
        <v>783</v>
      </c>
      <c r="F378" s="106" t="s">
        <v>784</v>
      </c>
      <c r="G378" s="106" t="s">
        <v>182</v>
      </c>
      <c r="H378" s="106">
        <v>4</v>
      </c>
      <c r="I378" s="106" t="s">
        <v>24</v>
      </c>
      <c r="J378" s="106">
        <v>5740</v>
      </c>
      <c r="K378" s="106">
        <v>5852</v>
      </c>
      <c r="L378" s="106">
        <v>6233</v>
      </c>
      <c r="M378" s="106">
        <v>0.52</v>
      </c>
      <c r="N378" s="106">
        <v>0.18</v>
      </c>
      <c r="O378" s="106">
        <v>0.06</v>
      </c>
      <c r="P378" s="106">
        <v>941</v>
      </c>
      <c r="Q378" s="106">
        <v>28.842118863049095</v>
      </c>
      <c r="R378" s="106">
        <v>9.4299923246507975E-3</v>
      </c>
      <c r="S378" s="106">
        <v>12785.17984496124</v>
      </c>
      <c r="T378" s="106">
        <v>12532.515503875969</v>
      </c>
      <c r="U378" s="106">
        <v>9677.8049095607239</v>
      </c>
      <c r="V378" s="106">
        <v>0.31305751552508132</v>
      </c>
      <c r="W378" s="106">
        <v>103719.35567010309</v>
      </c>
      <c r="X378" s="110">
        <v>0.55316037342449875</v>
      </c>
      <c r="Y378" s="106">
        <v>1627.5700934579438</v>
      </c>
      <c r="Z378" s="106">
        <v>36.168224299065422</v>
      </c>
      <c r="AA378" s="106">
        <v>20179.474676724138</v>
      </c>
      <c r="AB378" s="106">
        <v>215.06233132357164</v>
      </c>
      <c r="AC378" s="106">
        <v>4.9555303892694615</v>
      </c>
      <c r="AD378" s="106">
        <v>64.895104895104893</v>
      </c>
      <c r="AE378" s="106">
        <v>93.830818965517238</v>
      </c>
      <c r="AF378" s="106">
        <v>4.3755588545156494E-2</v>
      </c>
      <c r="AG378" s="106">
        <v>5040</v>
      </c>
      <c r="AH378" s="106">
        <v>12242.407751937984</v>
      </c>
      <c r="AI378" s="106">
        <v>12253.523772609818</v>
      </c>
      <c r="AJ378" s="106">
        <v>12877.111886304909</v>
      </c>
      <c r="AK378" s="104">
        <v>11028.996124031008</v>
      </c>
      <c r="AL378" s="119">
        <v>20710253</v>
      </c>
      <c r="AM378" s="118">
        <v>3883</v>
      </c>
      <c r="AN378" s="118">
        <v>174150</v>
      </c>
      <c r="AO378" s="118">
        <v>544</v>
      </c>
      <c r="AP378" s="118">
        <f t="shared" si="5"/>
        <v>700</v>
      </c>
    </row>
    <row r="379" spans="1:42" ht="12.75">
      <c r="A379" s="106">
        <v>2018</v>
      </c>
      <c r="B379" s="106">
        <v>-187639</v>
      </c>
      <c r="C379" s="106">
        <v>0</v>
      </c>
      <c r="D379" s="106">
        <v>187639</v>
      </c>
      <c r="E379" s="106" t="s">
        <v>785</v>
      </c>
      <c r="F379" s="106" t="s">
        <v>786</v>
      </c>
      <c r="G379" s="106" t="s">
        <v>674</v>
      </c>
      <c r="H379" s="106">
        <v>4</v>
      </c>
      <c r="I379" s="106" t="s">
        <v>24</v>
      </c>
      <c r="J379" s="106">
        <v>1296</v>
      </c>
      <c r="K379" s="106">
        <v>5996</v>
      </c>
      <c r="L379" s="106">
        <v>5521</v>
      </c>
      <c r="M379" s="106">
        <v>0.69</v>
      </c>
      <c r="N379" s="106">
        <v>0.11</v>
      </c>
      <c r="O379" s="106">
        <v>0.1</v>
      </c>
      <c r="P379" s="106">
        <v>755</v>
      </c>
      <c r="Q379" s="106">
        <v>644.04</v>
      </c>
      <c r="R379" s="106">
        <v>0.28586378084372099</v>
      </c>
      <c r="S379" s="106">
        <v>12049.746470588236</v>
      </c>
      <c r="T379" s="106">
        <v>14742.494117647058</v>
      </c>
      <c r="U379" s="106">
        <v>9770.9702079972722</v>
      </c>
      <c r="V379" s="106">
        <v>0.16466340007399982</v>
      </c>
      <c r="W379" s="106">
        <v>60261.336492890994</v>
      </c>
      <c r="X379" s="110">
        <v>0.50734259986338015</v>
      </c>
      <c r="Y379" s="106">
        <v>602.22047244094483</v>
      </c>
      <c r="Z379" s="106">
        <v>20.078740157480315</v>
      </c>
      <c r="AA379" s="106">
        <v>17938.066256582464</v>
      </c>
      <c r="AB379" s="106">
        <v>325.77566002971997</v>
      </c>
      <c r="AC379" s="106">
        <v>5.5747369069564279</v>
      </c>
      <c r="AD379" s="106">
        <v>60.325732899022796</v>
      </c>
      <c r="AE379" s="106">
        <v>55.062634989200866</v>
      </c>
      <c r="AF379" s="106">
        <v>-0.10775982612981208</v>
      </c>
      <c r="AG379" s="106">
        <v>1056</v>
      </c>
      <c r="AH379" s="106">
        <v>10219.970588235294</v>
      </c>
      <c r="AI379" s="106">
        <v>10219.970588235294</v>
      </c>
      <c r="AJ379" s="106">
        <v>12060.747647058823</v>
      </c>
      <c r="AK379" s="104">
        <v>12755.09</v>
      </c>
      <c r="AL379" s="118">
        <v>10977502</v>
      </c>
      <c r="AM379" s="118">
        <v>3114</v>
      </c>
      <c r="AN379" s="118">
        <v>50988</v>
      </c>
      <c r="AO379" s="118">
        <v>488</v>
      </c>
      <c r="AP379" s="118">
        <f t="shared" si="5"/>
        <v>240</v>
      </c>
    </row>
    <row r="380" spans="1:42" ht="12.75">
      <c r="A380" s="106">
        <v>2018</v>
      </c>
      <c r="B380" s="106">
        <v>-175519</v>
      </c>
      <c r="C380" s="106">
        <v>0</v>
      </c>
      <c r="D380" s="106">
        <v>175519</v>
      </c>
      <c r="E380" s="106" t="s">
        <v>787</v>
      </c>
      <c r="F380" s="106" t="s">
        <v>788</v>
      </c>
      <c r="G380" s="106" t="s">
        <v>107</v>
      </c>
      <c r="H380" s="106">
        <v>4</v>
      </c>
      <c r="I380" s="106" t="s">
        <v>24</v>
      </c>
      <c r="J380" s="106">
        <v>2803</v>
      </c>
      <c r="K380" s="106">
        <v>720</v>
      </c>
      <c r="L380" s="106">
        <v>389</v>
      </c>
      <c r="M380" s="106">
        <v>0.94</v>
      </c>
      <c r="N380" s="106">
        <v>0</v>
      </c>
      <c r="O380" s="106">
        <v>0.45</v>
      </c>
      <c r="P380" s="106">
        <v>2373</v>
      </c>
      <c r="Q380" s="106">
        <v>587.26049023680935</v>
      </c>
      <c r="R380" s="106">
        <v>0.24059945610758973</v>
      </c>
      <c r="S380" s="106">
        <v>12729.292895720815</v>
      </c>
      <c r="T380" s="106">
        <v>14182.390112172829</v>
      </c>
      <c r="U380" s="106">
        <v>9969.1238055670965</v>
      </c>
      <c r="V380" s="106">
        <v>0.18593025136481853</v>
      </c>
      <c r="W380" s="106">
        <v>84695.190817790528</v>
      </c>
      <c r="X380" s="110">
        <v>0.57642758609255007</v>
      </c>
      <c r="Y380" s="106">
        <v>805.1710037174721</v>
      </c>
      <c r="Z380" s="106">
        <v>26.843866171003715</v>
      </c>
      <c r="AA380" s="106">
        <v>52278.172113289758</v>
      </c>
      <c r="AB380" s="106">
        <v>332.36396249151625</v>
      </c>
      <c r="AC380" s="106">
        <v>1.9128442322599637</v>
      </c>
      <c r="AD380" s="106">
        <v>28.491620111731841</v>
      </c>
      <c r="AE380" s="106">
        <v>157.29193899782135</v>
      </c>
      <c r="AF380" s="106">
        <v>-9.5758251228718463E-2</v>
      </c>
      <c r="AG380" s="106">
        <v>2650</v>
      </c>
      <c r="AH380" s="106">
        <v>11856.6032405484</v>
      </c>
      <c r="AI380" s="106">
        <v>11856.6032405484</v>
      </c>
      <c r="AJ380" s="106">
        <v>12800.939343581222</v>
      </c>
      <c r="AK380" s="104">
        <v>10951.1059410054</v>
      </c>
      <c r="AL380" s="119">
        <v>12467581</v>
      </c>
      <c r="AM380" s="118">
        <v>1954</v>
      </c>
      <c r="AN380" s="118">
        <v>72197</v>
      </c>
      <c r="AO380" s="118">
        <v>287</v>
      </c>
      <c r="AP380" s="118">
        <f t="shared" si="5"/>
        <v>153</v>
      </c>
    </row>
    <row r="381" spans="1:42" ht="12.75">
      <c r="A381" s="106">
        <v>2018</v>
      </c>
      <c r="B381" s="106">
        <v>-101161</v>
      </c>
      <c r="C381" s="106">
        <v>0</v>
      </c>
      <c r="D381" s="106">
        <v>101161</v>
      </c>
      <c r="E381" s="106" t="s">
        <v>4066</v>
      </c>
      <c r="F381" s="106" t="s">
        <v>1611</v>
      </c>
      <c r="G381" s="106" t="s">
        <v>85</v>
      </c>
      <c r="H381" s="106">
        <v>4</v>
      </c>
      <c r="I381" s="106" t="s">
        <v>24</v>
      </c>
      <c r="J381" s="106">
        <v>4380</v>
      </c>
      <c r="K381" s="106">
        <v>6482</v>
      </c>
      <c r="L381" s="106">
        <v>4818</v>
      </c>
      <c r="M381" s="106">
        <v>0.48</v>
      </c>
      <c r="N381" s="106">
        <v>0.24</v>
      </c>
      <c r="O381" s="106">
        <v>0.42</v>
      </c>
      <c r="P381" s="106">
        <v>5137</v>
      </c>
      <c r="Q381" s="106">
        <v>1753.6582141309059</v>
      </c>
      <c r="R381" s="106">
        <v>0.31858565932428906</v>
      </c>
      <c r="S381" s="106">
        <v>13802.677503250976</v>
      </c>
      <c r="T381" s="106">
        <v>13571.277850021674</v>
      </c>
      <c r="U381" s="106">
        <v>9491.2191157347206</v>
      </c>
      <c r="V381" s="106">
        <v>0.39519186910722237</v>
      </c>
      <c r="W381" s="106">
        <v>171455.2935483871</v>
      </c>
      <c r="X381" s="110">
        <v>0.56587824856914659</v>
      </c>
      <c r="Y381" s="106">
        <v>1119.2587601078169</v>
      </c>
      <c r="Z381" s="106">
        <v>37.309973045822105</v>
      </c>
      <c r="AA381" s="106">
        <v>58624.477911646587</v>
      </c>
      <c r="AB381" s="106">
        <v>316.38539898132427</v>
      </c>
      <c r="AC381" s="106">
        <v>1.7057721204905363</v>
      </c>
      <c r="AD381" s="106">
        <v>22.506779150346489</v>
      </c>
      <c r="AE381" s="106">
        <v>185.29451137884874</v>
      </c>
      <c r="AF381" s="106">
        <v>2.8457113309053886E-2</v>
      </c>
      <c r="AG381" s="106">
        <v>3510</v>
      </c>
      <c r="AH381" s="106">
        <v>12569.11270047681</v>
      </c>
      <c r="AI381" s="106">
        <v>12569.11270047681</v>
      </c>
      <c r="AJ381" s="106">
        <v>13825.164499349805</v>
      </c>
      <c r="AK381" s="104">
        <v>10835.725834416991</v>
      </c>
      <c r="AL381" s="119">
        <v>28296705</v>
      </c>
      <c r="AM381" s="118">
        <v>4968</v>
      </c>
      <c r="AN381" s="118">
        <v>138415</v>
      </c>
      <c r="AO381" s="118">
        <v>527</v>
      </c>
      <c r="AP381" s="118">
        <f t="shared" si="5"/>
        <v>870</v>
      </c>
    </row>
    <row r="382" spans="1:42" ht="12.75">
      <c r="A382" s="106">
        <v>2018</v>
      </c>
      <c r="B382" s="106">
        <v>-223320</v>
      </c>
      <c r="C382" s="106">
        <v>0</v>
      </c>
      <c r="D382" s="106">
        <v>223320</v>
      </c>
      <c r="E382" s="106" t="s">
        <v>789</v>
      </c>
      <c r="F382" s="106" t="s">
        <v>790</v>
      </c>
      <c r="G382" s="106" t="s">
        <v>60</v>
      </c>
      <c r="H382" s="106">
        <v>4</v>
      </c>
      <c r="I382" s="106" t="s">
        <v>24</v>
      </c>
      <c r="J382" s="106">
        <v>2646</v>
      </c>
      <c r="K382" s="106">
        <v>7919</v>
      </c>
      <c r="L382" s="106">
        <v>7753</v>
      </c>
      <c r="M382" s="106">
        <v>0.54</v>
      </c>
      <c r="N382" s="106">
        <v>0.18</v>
      </c>
      <c r="O382" s="106">
        <v>0.22</v>
      </c>
      <c r="P382" s="106">
        <v>904</v>
      </c>
      <c r="Q382" s="106"/>
      <c r="R382" s="106"/>
      <c r="S382" s="106">
        <v>9995.9123691353234</v>
      </c>
      <c r="T382" s="106">
        <v>9312.399767351686</v>
      </c>
      <c r="U382" s="106">
        <v>4769.0737942505193</v>
      </c>
      <c r="V382" s="106">
        <v>0.91333189142178195</v>
      </c>
      <c r="W382" s="106">
        <v>46251.680254777064</v>
      </c>
      <c r="X382" s="110">
        <v>0.50392158716032309</v>
      </c>
      <c r="Y382" s="106">
        <v>1130.3145263157896</v>
      </c>
      <c r="Z382" s="106">
        <v>27.147368421052633</v>
      </c>
      <c r="AA382" s="106">
        <v>11658.238213622833</v>
      </c>
      <c r="AB382" s="106">
        <v>114.54139560755785</v>
      </c>
      <c r="AC382" s="106">
        <v>8.577625381093041</v>
      </c>
      <c r="AD382" s="106">
        <v>41.617357001972387</v>
      </c>
      <c r="AE382" s="106">
        <v>101.78187677725118</v>
      </c>
      <c r="AF382" s="106">
        <v>0.15157287803826924</v>
      </c>
      <c r="AG382" s="106">
        <v>2100</v>
      </c>
      <c r="AH382" s="106">
        <v>10240.195036835983</v>
      </c>
      <c r="AI382" s="106">
        <v>10240.195036835983</v>
      </c>
      <c r="AJ382" s="106">
        <v>10013.908491663435</v>
      </c>
      <c r="AK382" s="104">
        <v>5084.5083365645596</v>
      </c>
      <c r="AL382" s="118">
        <v>10967115</v>
      </c>
      <c r="AM382" s="118">
        <v>4463</v>
      </c>
      <c r="AN382" s="118">
        <v>107379.88</v>
      </c>
      <c r="AO382" s="118">
        <v>402</v>
      </c>
      <c r="AP382" s="118">
        <f t="shared" si="5"/>
        <v>546</v>
      </c>
    </row>
    <row r="383" spans="1:42" ht="12.75">
      <c r="A383" s="106">
        <v>2018</v>
      </c>
      <c r="B383" s="106">
        <v>-198330</v>
      </c>
      <c r="C383" s="106">
        <v>0</v>
      </c>
      <c r="D383" s="106">
        <v>198330</v>
      </c>
      <c r="E383" s="106" t="s">
        <v>791</v>
      </c>
      <c r="F383" s="106" t="s">
        <v>792</v>
      </c>
      <c r="G383" s="106" t="s">
        <v>90</v>
      </c>
      <c r="H383" s="106">
        <v>4</v>
      </c>
      <c r="I383" s="106" t="s">
        <v>24</v>
      </c>
      <c r="J383" s="106">
        <v>2462</v>
      </c>
      <c r="K383" s="106">
        <v>8755</v>
      </c>
      <c r="L383" s="106">
        <v>8098</v>
      </c>
      <c r="M383" s="106">
        <v>0.51</v>
      </c>
      <c r="N383" s="106">
        <v>0.01</v>
      </c>
      <c r="O383" s="106">
        <v>0.06</v>
      </c>
      <c r="P383" s="106">
        <v>1823</v>
      </c>
      <c r="Q383" s="106">
        <v>121.09235247419953</v>
      </c>
      <c r="R383" s="106">
        <v>5.6592202309628886E-2</v>
      </c>
      <c r="S383" s="106">
        <v>10412.640910293729</v>
      </c>
      <c r="T383" s="106">
        <v>11480.765811061126</v>
      </c>
      <c r="U383" s="106">
        <v>8834.6554644085736</v>
      </c>
      <c r="V383" s="106">
        <v>0.22849145617602118</v>
      </c>
      <c r="W383" s="106">
        <v>56064.63453536755</v>
      </c>
      <c r="X383" s="110">
        <v>0.62113392640276377</v>
      </c>
      <c r="Y383" s="106">
        <v>420.40791100123607</v>
      </c>
      <c r="Z383" s="106">
        <v>14.013597033374536</v>
      </c>
      <c r="AA383" s="106">
        <v>21484.017374517374</v>
      </c>
      <c r="AB383" s="106">
        <v>294.4885154802858</v>
      </c>
      <c r="AC383" s="106">
        <v>4.6546229346570911</v>
      </c>
      <c r="AD383" s="106">
        <v>58.465011286681715</v>
      </c>
      <c r="AE383" s="106">
        <v>72.95366795366796</v>
      </c>
      <c r="AF383" s="106">
        <v>3.0862615177554613E-2</v>
      </c>
      <c r="AG383" s="106">
        <v>2432</v>
      </c>
      <c r="AH383" s="106">
        <v>9098.1489812119617</v>
      </c>
      <c r="AI383" s="106">
        <v>9106.9147922730881</v>
      </c>
      <c r="AJ383" s="106">
        <v>10525.591690923524</v>
      </c>
      <c r="AK383" s="104">
        <v>10334.979624239217</v>
      </c>
      <c r="AL383" s="119">
        <v>22165976</v>
      </c>
      <c r="AM383" s="118">
        <v>4030</v>
      </c>
      <c r="AN383" s="118">
        <v>113370</v>
      </c>
      <c r="AO383" s="118">
        <v>719</v>
      </c>
      <c r="AP383" s="118">
        <f t="shared" si="5"/>
        <v>30</v>
      </c>
    </row>
    <row r="384" spans="1:42" ht="12.75">
      <c r="A384" s="106">
        <v>2018</v>
      </c>
      <c r="B384" s="106">
        <v>-218724</v>
      </c>
      <c r="C384" s="106">
        <v>0</v>
      </c>
      <c r="D384" s="106">
        <v>218724</v>
      </c>
      <c r="E384" s="106" t="s">
        <v>793</v>
      </c>
      <c r="F384" s="106" t="s">
        <v>651</v>
      </c>
      <c r="G384" s="106" t="s">
        <v>79</v>
      </c>
      <c r="H384" s="106">
        <v>2</v>
      </c>
      <c r="I384" s="106" t="s">
        <v>25</v>
      </c>
      <c r="J384" s="106">
        <v>11200</v>
      </c>
      <c r="K384" s="106">
        <v>16368</v>
      </c>
      <c r="L384" s="106">
        <v>12909</v>
      </c>
      <c r="M384" s="106">
        <v>0.36</v>
      </c>
      <c r="N384" s="106">
        <v>0.72</v>
      </c>
      <c r="O384" s="106">
        <v>0.31</v>
      </c>
      <c r="P384" s="106">
        <v>7068</v>
      </c>
      <c r="Q384" s="106">
        <v>2030.1036614819825</v>
      </c>
      <c r="R384" s="106">
        <v>0.12365227856311854</v>
      </c>
      <c r="S384" s="106">
        <v>22024.730654043087</v>
      </c>
      <c r="T384" s="106">
        <v>23350.816925900879</v>
      </c>
      <c r="U384" s="106">
        <v>18990.007711997467</v>
      </c>
      <c r="V384" s="106">
        <v>0.75764787867559735</v>
      </c>
      <c r="W384" s="106">
        <v>101092.87043664996</v>
      </c>
      <c r="X384" s="110">
        <v>0.58429550692406784</v>
      </c>
      <c r="Y384" s="106">
        <v>584.93908629441626</v>
      </c>
      <c r="Z384" s="106">
        <v>19.703680203045685</v>
      </c>
      <c r="AA384" s="106">
        <v>91724.48428692756</v>
      </c>
      <c r="AB384" s="106">
        <v>639.67863966990501</v>
      </c>
      <c r="AC384" s="106">
        <v>1.0902214471676441</v>
      </c>
      <c r="AD384" s="106">
        <v>21.930004093327877</v>
      </c>
      <c r="AE384" s="106">
        <v>143.39150723285115</v>
      </c>
      <c r="AF384" s="106">
        <v>-3.3996367356347763E-3</v>
      </c>
      <c r="AG384" s="106">
        <v>11020</v>
      </c>
      <c r="AH384" s="106">
        <v>21867.956429330501</v>
      </c>
      <c r="AI384" s="106">
        <v>22418.338034972465</v>
      </c>
      <c r="AJ384" s="106">
        <v>22084.905419766204</v>
      </c>
      <c r="AK384" s="104">
        <v>20519.487006086369</v>
      </c>
      <c r="AL384" s="118">
        <v>13682163</v>
      </c>
      <c r="AM384" s="118">
        <v>9898</v>
      </c>
      <c r="AN384" s="118">
        <v>307288</v>
      </c>
      <c r="AO384" s="118">
        <v>1809</v>
      </c>
      <c r="AP384" s="118">
        <f t="shared" si="5"/>
        <v>180</v>
      </c>
    </row>
    <row r="385" spans="1:42" ht="12.75">
      <c r="A385" s="106">
        <v>2018</v>
      </c>
      <c r="B385" s="106">
        <v>-485458</v>
      </c>
      <c r="C385" s="106">
        <v>0</v>
      </c>
      <c r="D385" s="106">
        <v>485458</v>
      </c>
      <c r="E385" s="106" t="s">
        <v>794</v>
      </c>
      <c r="F385" s="106" t="s">
        <v>795</v>
      </c>
      <c r="G385" s="106" t="s">
        <v>63</v>
      </c>
      <c r="H385" s="106">
        <v>4</v>
      </c>
      <c r="I385" s="106" t="s">
        <v>24</v>
      </c>
      <c r="J385" s="106">
        <v>2714</v>
      </c>
      <c r="K385" s="106">
        <v>2933</v>
      </c>
      <c r="L385" s="106">
        <v>1674</v>
      </c>
      <c r="M385" s="106">
        <v>0.67</v>
      </c>
      <c r="N385" s="106">
        <v>0.01</v>
      </c>
      <c r="O385" s="106">
        <v>0</v>
      </c>
      <c r="P385" s="106"/>
      <c r="Q385" s="106"/>
      <c r="R385" s="106"/>
      <c r="S385" s="106">
        <v>14143.542301629006</v>
      </c>
      <c r="T385" s="106">
        <v>14032.345769837098</v>
      </c>
      <c r="U385" s="106">
        <v>13156.074619022596</v>
      </c>
      <c r="V385" s="106">
        <v>0.28318693753517432</v>
      </c>
      <c r="W385" s="106">
        <v>57449.971621621626</v>
      </c>
      <c r="X385" s="110">
        <v>0.5306781636631589</v>
      </c>
      <c r="Y385" s="106">
        <v>492.06896551724139</v>
      </c>
      <c r="Z385" s="106">
        <v>16.405172413793103</v>
      </c>
      <c r="AA385" s="106">
        <v>17171.474622770918</v>
      </c>
      <c r="AB385" s="106">
        <v>438.61264891380517</v>
      </c>
      <c r="AC385" s="106">
        <v>5.8236116697508908</v>
      </c>
      <c r="AD385" s="106">
        <v>101.25</v>
      </c>
      <c r="AE385" s="106">
        <v>39.149519890260628</v>
      </c>
      <c r="AF385" s="106">
        <v>3.9455526831462043E-2</v>
      </c>
      <c r="AG385" s="106">
        <v>2136</v>
      </c>
      <c r="AH385" s="106">
        <v>12253.02049395691</v>
      </c>
      <c r="AI385" s="106">
        <v>12363.227535470311</v>
      </c>
      <c r="AJ385" s="106">
        <v>14144.09563846558</v>
      </c>
      <c r="AK385" s="104">
        <v>14990.331056227011</v>
      </c>
      <c r="AL385" s="118">
        <v>13924166</v>
      </c>
      <c r="AM385" s="118">
        <v>3053</v>
      </c>
      <c r="AN385" s="118">
        <v>57080</v>
      </c>
      <c r="AO385" s="118">
        <v>75</v>
      </c>
      <c r="AP385" s="118">
        <f t="shared" si="5"/>
        <v>578</v>
      </c>
    </row>
    <row r="386" spans="1:42" ht="12.75">
      <c r="A386" s="106">
        <v>2018</v>
      </c>
      <c r="B386" s="106">
        <v>-112385</v>
      </c>
      <c r="C386" s="106">
        <v>0</v>
      </c>
      <c r="D386" s="106">
        <v>112385</v>
      </c>
      <c r="E386" s="106" t="s">
        <v>796</v>
      </c>
      <c r="F386" s="106" t="s">
        <v>797</v>
      </c>
      <c r="G386" s="106" t="s">
        <v>121</v>
      </c>
      <c r="H386" s="106">
        <v>4</v>
      </c>
      <c r="I386" s="106" t="s">
        <v>24</v>
      </c>
      <c r="J386" s="106">
        <v>1148</v>
      </c>
      <c r="K386" s="106">
        <v>11491</v>
      </c>
      <c r="L386" s="106">
        <v>9211</v>
      </c>
      <c r="M386" s="106">
        <v>0.54</v>
      </c>
      <c r="N386" s="106">
        <v>0.11</v>
      </c>
      <c r="O386" s="106">
        <v>0.23</v>
      </c>
      <c r="P386" s="106">
        <v>986</v>
      </c>
      <c r="Q386" s="106"/>
      <c r="R386" s="106"/>
      <c r="S386" s="106">
        <v>8846.0697091273814</v>
      </c>
      <c r="T386" s="106">
        <v>11138.458709461718</v>
      </c>
      <c r="U386" s="106">
        <v>6648.3936810431296</v>
      </c>
      <c r="V386" s="106">
        <v>0.24574300205143532</v>
      </c>
      <c r="W386" s="106">
        <v>121784.47469635628</v>
      </c>
      <c r="X386" s="110">
        <v>0.60194402663294422</v>
      </c>
      <c r="Y386" s="106">
        <v>1246.3125</v>
      </c>
      <c r="Z386" s="106">
        <v>41.541666666666664</v>
      </c>
      <c r="AA386" s="106">
        <v>14275.194185211772</v>
      </c>
      <c r="AB386" s="106">
        <v>221.60200926065227</v>
      </c>
      <c r="AC386" s="106">
        <v>7.0051586481109913</v>
      </c>
      <c r="AD386" s="106">
        <v>59.529914529914528</v>
      </c>
      <c r="AE386" s="106">
        <v>64.418162239770282</v>
      </c>
      <c r="AF386" s="106">
        <v>0.57629653219732702</v>
      </c>
      <c r="AG386" s="106">
        <v>1104</v>
      </c>
      <c r="AH386" s="106">
        <v>8380.4207622868598</v>
      </c>
      <c r="AI386" s="106">
        <v>8380.4207622868598</v>
      </c>
      <c r="AJ386" s="106">
        <v>8878.2525911066532</v>
      </c>
      <c r="AK386" s="104">
        <v>7984.3080909394848</v>
      </c>
      <c r="AL386" s="118">
        <v>26263318</v>
      </c>
      <c r="AM386" s="118">
        <v>11172</v>
      </c>
      <c r="AN386" s="118">
        <v>179469</v>
      </c>
      <c r="AO386" s="118">
        <v>2152</v>
      </c>
      <c r="AP386" s="118">
        <f t="shared" si="5"/>
        <v>44</v>
      </c>
    </row>
    <row r="387" spans="1:42" ht="12.75">
      <c r="A387" s="106">
        <v>2018</v>
      </c>
      <c r="B387" s="106">
        <v>-104425</v>
      </c>
      <c r="C387" s="106">
        <v>0</v>
      </c>
      <c r="D387" s="106">
        <v>104425</v>
      </c>
      <c r="E387" s="106" t="s">
        <v>798</v>
      </c>
      <c r="F387" s="106" t="s">
        <v>4067</v>
      </c>
      <c r="G387" s="106" t="s">
        <v>147</v>
      </c>
      <c r="H387" s="106">
        <v>4</v>
      </c>
      <c r="I387" s="106" t="s">
        <v>24</v>
      </c>
      <c r="J387" s="106">
        <v>1968</v>
      </c>
      <c r="K387" s="106">
        <v>6488</v>
      </c>
      <c r="L387" s="106">
        <v>6120</v>
      </c>
      <c r="M387" s="106">
        <v>0.59</v>
      </c>
      <c r="N387" s="106">
        <v>7.0000000000000007E-2</v>
      </c>
      <c r="O387" s="106">
        <v>0.19</v>
      </c>
      <c r="P387" s="106">
        <v>3459</v>
      </c>
      <c r="Q387" s="106">
        <v>79.516129032258064</v>
      </c>
      <c r="R387" s="106">
        <v>6.1320065402039138E-2</v>
      </c>
      <c r="S387" s="106">
        <v>6839.6957128892609</v>
      </c>
      <c r="T387" s="106">
        <v>6619.5073313782996</v>
      </c>
      <c r="U387" s="106">
        <v>4616.7950529617619</v>
      </c>
      <c r="V387" s="106">
        <v>0.26365108253283248</v>
      </c>
      <c r="W387" s="106">
        <v>64925.981762917931</v>
      </c>
      <c r="X387" s="110">
        <v>0.60083305676442822</v>
      </c>
      <c r="Y387" s="106">
        <v>1309.9024390243903</v>
      </c>
      <c r="Z387" s="106">
        <v>43.664634146341463</v>
      </c>
      <c r="AA387" s="106">
        <v>15110.086551306755</v>
      </c>
      <c r="AB387" s="106">
        <v>153.89746664366726</v>
      </c>
      <c r="AC387" s="106">
        <v>6.6180957773105398</v>
      </c>
      <c r="AD387" s="106">
        <v>94.514038876889856</v>
      </c>
      <c r="AE387" s="106">
        <v>98.18281535648994</v>
      </c>
      <c r="AF387" s="106">
        <v>4.8338679912827337E-2</v>
      </c>
      <c r="AG387" s="106">
        <v>1968</v>
      </c>
      <c r="AH387" s="106">
        <v>6335.431643625192</v>
      </c>
      <c r="AI387" s="106">
        <v>6337.9291998324261</v>
      </c>
      <c r="AJ387" s="106">
        <v>6856.4355536936182</v>
      </c>
      <c r="AK387" s="104">
        <v>5282.9075548107803</v>
      </c>
      <c r="AL387" s="118">
        <v>32338468</v>
      </c>
      <c r="AM387" s="118">
        <v>3907</v>
      </c>
      <c r="AN387" s="118">
        <v>214824</v>
      </c>
      <c r="AO387" s="118">
        <v>1629</v>
      </c>
      <c r="AP387" s="118">
        <f t="shared" si="5"/>
        <v>0</v>
      </c>
    </row>
    <row r="388" spans="1:42" ht="12.75">
      <c r="A388" s="106">
        <v>2018</v>
      </c>
      <c r="B388" s="106">
        <v>-404426</v>
      </c>
      <c r="C388" s="106">
        <v>0</v>
      </c>
      <c r="D388" s="106">
        <v>404426</v>
      </c>
      <c r="E388" s="106" t="s">
        <v>800</v>
      </c>
      <c r="F388" s="106" t="s">
        <v>801</v>
      </c>
      <c r="G388" s="106" t="s">
        <v>147</v>
      </c>
      <c r="H388" s="106">
        <v>4</v>
      </c>
      <c r="I388" s="106" t="s">
        <v>24</v>
      </c>
      <c r="J388" s="106">
        <v>3150</v>
      </c>
      <c r="K388" s="106">
        <v>11718</v>
      </c>
      <c r="L388" s="106">
        <v>10795</v>
      </c>
      <c r="M388" s="106">
        <v>0.46</v>
      </c>
      <c r="N388" s="106">
        <v>0.33</v>
      </c>
      <c r="O388" s="106">
        <v>0.1</v>
      </c>
      <c r="P388" s="106">
        <v>1144</v>
      </c>
      <c r="Q388" s="106">
        <v>121.8929648241206</v>
      </c>
      <c r="R388" s="106">
        <v>3.1988706160378064E-2</v>
      </c>
      <c r="S388" s="106">
        <v>12241.9608040201</v>
      </c>
      <c r="T388" s="106">
        <v>10925.638693467337</v>
      </c>
      <c r="U388" s="106">
        <v>8204.4218598843818</v>
      </c>
      <c r="V388" s="106">
        <v>0.44958768553959516</v>
      </c>
      <c r="W388" s="106">
        <v>66982.027597402601</v>
      </c>
      <c r="X388" s="110">
        <v>0.6325834659068722</v>
      </c>
      <c r="Y388" s="106">
        <v>781.69396551724128</v>
      </c>
      <c r="Z388" s="106">
        <v>25.732758620689651</v>
      </c>
      <c r="AA388" s="106">
        <v>25833.543514509365</v>
      </c>
      <c r="AB388" s="106">
        <v>270.08319963557125</v>
      </c>
      <c r="AC388" s="106">
        <v>3.8709362478219518</v>
      </c>
      <c r="AD388" s="106">
        <v>34.441416893732971</v>
      </c>
      <c r="AE388" s="106">
        <v>95.650316455696199</v>
      </c>
      <c r="AF388" s="106">
        <v>9.5677227771048423E-2</v>
      </c>
      <c r="AG388" s="106">
        <v>3150</v>
      </c>
      <c r="AH388" s="106">
        <v>11151.168844221105</v>
      </c>
      <c r="AI388" s="106">
        <v>11151.168844221105</v>
      </c>
      <c r="AJ388" s="106">
        <v>12394.861809045226</v>
      </c>
      <c r="AK388" s="104">
        <v>9447.5462311557785</v>
      </c>
      <c r="AL388" s="118">
        <v>12299736</v>
      </c>
      <c r="AM388" s="118">
        <v>3515</v>
      </c>
      <c r="AN388" s="118">
        <v>60451</v>
      </c>
      <c r="AO388" s="118">
        <v>393</v>
      </c>
      <c r="AP388" s="118">
        <f t="shared" si="5"/>
        <v>0</v>
      </c>
    </row>
    <row r="389" spans="1:42" ht="12.75">
      <c r="A389" s="106">
        <v>2018</v>
      </c>
      <c r="B389" s="106">
        <v>-153144</v>
      </c>
      <c r="C389" s="106">
        <v>0</v>
      </c>
      <c r="D389" s="106">
        <v>153144</v>
      </c>
      <c r="E389" s="106" t="s">
        <v>802</v>
      </c>
      <c r="F389" s="106" t="s">
        <v>803</v>
      </c>
      <c r="G389" s="106" t="s">
        <v>447</v>
      </c>
      <c r="H389" s="106">
        <v>7</v>
      </c>
      <c r="I389" s="106" t="s">
        <v>3641</v>
      </c>
      <c r="J389" s="106">
        <v>42430</v>
      </c>
      <c r="K389" s="106">
        <v>22456</v>
      </c>
      <c r="L389" s="106">
        <v>16518</v>
      </c>
      <c r="M389" s="106">
        <v>0.39</v>
      </c>
      <c r="N389" s="106">
        <v>0.75</v>
      </c>
      <c r="O389" s="106">
        <v>1</v>
      </c>
      <c r="P389" s="106">
        <v>29814</v>
      </c>
      <c r="Q389" s="106">
        <v>23826.235564304461</v>
      </c>
      <c r="R389" s="106">
        <v>0.65184065024111659</v>
      </c>
      <c r="S389" s="106">
        <v>25430.875984251968</v>
      </c>
      <c r="T389" s="106">
        <v>26797.359580052493</v>
      </c>
      <c r="U389" s="106">
        <v>21412.163550818736</v>
      </c>
      <c r="V389" s="106">
        <v>0.59433526681245952</v>
      </c>
      <c r="W389" s="106">
        <v>62404.915151515153</v>
      </c>
      <c r="X389" s="110">
        <v>0.5042614473906134</v>
      </c>
      <c r="Y389" s="106">
        <v>359.0261780104712</v>
      </c>
      <c r="Z389" s="106">
        <v>11.968586387434556</v>
      </c>
      <c r="AA389" s="106">
        <v>118662.31727799182</v>
      </c>
      <c r="AB389" s="106">
        <v>713.80123482911347</v>
      </c>
      <c r="AC389" s="106">
        <v>0.84272751699032333</v>
      </c>
      <c r="AD389" s="106">
        <v>19.941986947063089</v>
      </c>
      <c r="AE389" s="106">
        <v>166.24</v>
      </c>
      <c r="AF389" s="106">
        <v>1.2643848649977172E-2</v>
      </c>
      <c r="AG389" s="106">
        <v>42090</v>
      </c>
      <c r="AH389" s="106">
        <v>20625.051181102361</v>
      </c>
      <c r="AI389" s="106">
        <v>25430.875984251968</v>
      </c>
      <c r="AJ389" s="106">
        <v>27930.757217847768</v>
      </c>
      <c r="AK389" s="104">
        <v>21947.689632545931</v>
      </c>
      <c r="AL389" s="118"/>
      <c r="AM389" s="118">
        <v>1394</v>
      </c>
      <c r="AN389" s="118">
        <v>45716</v>
      </c>
      <c r="AO389" s="118">
        <v>275</v>
      </c>
      <c r="AP389" s="118">
        <f t="shared" si="5"/>
        <v>340</v>
      </c>
    </row>
    <row r="390" spans="1:42" ht="12.75">
      <c r="A390" s="106">
        <v>2018</v>
      </c>
      <c r="B390" s="106">
        <v>-154925</v>
      </c>
      <c r="C390" s="106">
        <v>0</v>
      </c>
      <c r="D390" s="106">
        <v>154925</v>
      </c>
      <c r="E390" s="106" t="s">
        <v>804</v>
      </c>
      <c r="F390" s="106" t="s">
        <v>805</v>
      </c>
      <c r="G390" s="106" t="s">
        <v>129</v>
      </c>
      <c r="H390" s="106">
        <v>4</v>
      </c>
      <c r="I390" s="106" t="s">
        <v>24</v>
      </c>
      <c r="J390" s="106">
        <v>2304</v>
      </c>
      <c r="K390" s="106">
        <v>4829</v>
      </c>
      <c r="L390" s="106">
        <v>2500</v>
      </c>
      <c r="M390" s="106">
        <v>0.49</v>
      </c>
      <c r="N390" s="106">
        <v>0.3</v>
      </c>
      <c r="O390" s="106">
        <v>0.75</v>
      </c>
      <c r="P390" s="106">
        <v>1140</v>
      </c>
      <c r="Q390" s="106">
        <v>515.66971777269259</v>
      </c>
      <c r="R390" s="106">
        <v>0.11317944363452997</v>
      </c>
      <c r="S390" s="106">
        <v>16718.965675057207</v>
      </c>
      <c r="T390" s="106">
        <v>17088.229595728451</v>
      </c>
      <c r="U390" s="106">
        <v>10009.33180778032</v>
      </c>
      <c r="V390" s="106">
        <v>0.40367768171181828</v>
      </c>
      <c r="W390" s="106">
        <v>56297.181250000001</v>
      </c>
      <c r="X390" s="110">
        <v>0.40207481528205413</v>
      </c>
      <c r="Y390" s="106">
        <v>670.24431818181824</v>
      </c>
      <c r="Z390" s="106">
        <v>22.34659090909091</v>
      </c>
      <c r="AA390" s="106">
        <v>27056.152577319586</v>
      </c>
      <c r="AB390" s="106">
        <v>333.72075989929044</v>
      </c>
      <c r="AC390" s="106">
        <v>3.6960170044216554</v>
      </c>
      <c r="AD390" s="106">
        <v>37.949921752738653</v>
      </c>
      <c r="AE390" s="106">
        <v>81.074226804123711</v>
      </c>
      <c r="AF390" s="106">
        <v>-3.5063811894530061E-2</v>
      </c>
      <c r="AG390" s="106">
        <v>1120</v>
      </c>
      <c r="AH390" s="106">
        <v>14554.270785659801</v>
      </c>
      <c r="AI390" s="106">
        <v>14554.270785659801</v>
      </c>
      <c r="AJ390" s="106">
        <v>16725.408848207477</v>
      </c>
      <c r="AK390" s="104">
        <v>12236.157894736842</v>
      </c>
      <c r="AL390" s="118">
        <v>9701250</v>
      </c>
      <c r="AM390" s="118">
        <v>1802</v>
      </c>
      <c r="AN390" s="118">
        <v>39321</v>
      </c>
      <c r="AO390" s="118">
        <v>241</v>
      </c>
      <c r="AP390" s="118">
        <f t="shared" ref="AP390:AP453" si="6">J390-AG390</f>
        <v>1184</v>
      </c>
    </row>
    <row r="391" spans="1:42" ht="12.75">
      <c r="A391" s="106">
        <v>2018</v>
      </c>
      <c r="B391" s="106">
        <v>-217907</v>
      </c>
      <c r="C391" s="106">
        <v>0</v>
      </c>
      <c r="D391" s="106">
        <v>217907</v>
      </c>
      <c r="E391" s="106" t="s">
        <v>806</v>
      </c>
      <c r="F391" s="106" t="s">
        <v>807</v>
      </c>
      <c r="G391" s="106" t="s">
        <v>79</v>
      </c>
      <c r="H391" s="106">
        <v>7</v>
      </c>
      <c r="I391" s="106" t="s">
        <v>3641</v>
      </c>
      <c r="J391" s="106">
        <v>28684</v>
      </c>
      <c r="K391" s="106">
        <v>18060</v>
      </c>
      <c r="L391" s="106">
        <v>15418</v>
      </c>
      <c r="M391" s="106">
        <v>0.49</v>
      </c>
      <c r="N391" s="106">
        <v>0.78</v>
      </c>
      <c r="O391" s="106">
        <v>0.97</v>
      </c>
      <c r="P391" s="106">
        <v>15327</v>
      </c>
      <c r="Q391" s="106">
        <v>10430.385880077369</v>
      </c>
      <c r="R391" s="106">
        <v>0.80070332587149939</v>
      </c>
      <c r="S391" s="106">
        <v>21192.439071566732</v>
      </c>
      <c r="T391" s="106">
        <v>24296.357833655708</v>
      </c>
      <c r="U391" s="106">
        <v>20291.373911960553</v>
      </c>
      <c r="V391" s="106">
        <v>0.12794323892725662</v>
      </c>
      <c r="W391" s="106">
        <v>60855.546341463414</v>
      </c>
      <c r="X391" s="110">
        <v>0.4965835316753146</v>
      </c>
      <c r="Y391" s="106">
        <v>346.79545454545456</v>
      </c>
      <c r="Z391" s="106">
        <v>11.75</v>
      </c>
      <c r="AA391" s="106">
        <v>82279.53186261651</v>
      </c>
      <c r="AB391" s="106">
        <v>687.50509944843077</v>
      </c>
      <c r="AC391" s="106">
        <v>1.2153690928501106</v>
      </c>
      <c r="AD391" s="106">
        <v>24.661508704061895</v>
      </c>
      <c r="AE391" s="106">
        <v>119.67843137254901</v>
      </c>
      <c r="AF391" s="106">
        <v>-1.529220513339332E-2</v>
      </c>
      <c r="AG391" s="106">
        <v>28464</v>
      </c>
      <c r="AH391" s="106">
        <v>8350.8887814313348</v>
      </c>
      <c r="AI391" s="106">
        <v>11494.051257253384</v>
      </c>
      <c r="AJ391" s="106">
        <v>23398.790135396517</v>
      </c>
      <c r="AK391" s="104">
        <v>20427.586073500966</v>
      </c>
      <c r="AL391" s="118"/>
      <c r="AM391" s="118">
        <v>1023</v>
      </c>
      <c r="AN391" s="118">
        <v>30518</v>
      </c>
      <c r="AO391" s="118">
        <v>226</v>
      </c>
      <c r="AP391" s="118">
        <f t="shared" si="6"/>
        <v>220</v>
      </c>
    </row>
    <row r="392" spans="1:42" ht="12.75">
      <c r="A392" s="106">
        <v>2018</v>
      </c>
      <c r="B392" s="106">
        <v>-161086</v>
      </c>
      <c r="C392" s="106">
        <v>0</v>
      </c>
      <c r="D392" s="106">
        <v>161086</v>
      </c>
      <c r="E392" s="106" t="s">
        <v>808</v>
      </c>
      <c r="F392" s="106" t="s">
        <v>809</v>
      </c>
      <c r="G392" s="106" t="s">
        <v>301</v>
      </c>
      <c r="H392" s="106">
        <v>7</v>
      </c>
      <c r="I392" s="106" t="s">
        <v>3641</v>
      </c>
      <c r="J392" s="106">
        <v>53120</v>
      </c>
      <c r="K392" s="106">
        <v>20689</v>
      </c>
      <c r="L392" s="106">
        <v>1065</v>
      </c>
      <c r="M392" s="106">
        <v>0.14000000000000001</v>
      </c>
      <c r="N392" s="106">
        <v>0.15</v>
      </c>
      <c r="O392" s="106">
        <v>0.48</v>
      </c>
      <c r="P392" s="106">
        <v>46066</v>
      </c>
      <c r="Q392" s="106">
        <v>18137.15359323626</v>
      </c>
      <c r="R392" s="106">
        <v>0.36633240676615403</v>
      </c>
      <c r="S392" s="106">
        <v>134832.31564114607</v>
      </c>
      <c r="T392" s="106">
        <v>72339.126350399252</v>
      </c>
      <c r="U392" s="106">
        <v>60182.506090276547</v>
      </c>
      <c r="V392" s="106">
        <v>0.52129675353766447</v>
      </c>
      <c r="W392" s="106">
        <v>109556.30936227951</v>
      </c>
      <c r="X392" s="110">
        <v>0.52427115122394652</v>
      </c>
      <c r="Y392" s="106">
        <v>298.02643856920685</v>
      </c>
      <c r="Z392" s="106">
        <v>9.9331259720062199</v>
      </c>
      <c r="AA392" s="106">
        <v>264728.42038470821</v>
      </c>
      <c r="AB392" s="106">
        <v>2005.8636984548236</v>
      </c>
      <c r="AC392" s="106">
        <v>0.37774561512767751</v>
      </c>
      <c r="AD392" s="106">
        <v>25.247782994261868</v>
      </c>
      <c r="AE392" s="106">
        <v>131.97727272727272</v>
      </c>
      <c r="AF392" s="106">
        <v>0.17949337917855457</v>
      </c>
      <c r="AG392" s="106">
        <v>50890</v>
      </c>
      <c r="AH392" s="106">
        <v>49073.273837482389</v>
      </c>
      <c r="AI392" s="106">
        <v>135007.98496946922</v>
      </c>
      <c r="AJ392" s="106">
        <v>174032.87928604978</v>
      </c>
      <c r="AK392" s="104">
        <v>62003.287928604979</v>
      </c>
      <c r="AM392" s="118">
        <v>1917</v>
      </c>
      <c r="AN392" s="118">
        <v>63877</v>
      </c>
      <c r="AO392" s="118">
        <v>484</v>
      </c>
      <c r="AP392" s="118">
        <f t="shared" si="6"/>
        <v>2230</v>
      </c>
    </row>
    <row r="393" spans="1:42" ht="12.75">
      <c r="A393" s="106">
        <v>2018</v>
      </c>
      <c r="B393" s="106">
        <v>-154934</v>
      </c>
      <c r="C393" s="106">
        <v>0</v>
      </c>
      <c r="D393" s="106">
        <v>154934</v>
      </c>
      <c r="E393" s="106" t="s">
        <v>810</v>
      </c>
      <c r="F393" s="106" t="s">
        <v>811</v>
      </c>
      <c r="G393" s="106" t="s">
        <v>129</v>
      </c>
      <c r="H393" s="106">
        <v>4</v>
      </c>
      <c r="I393" s="106" t="s">
        <v>24</v>
      </c>
      <c r="J393" s="106">
        <v>3450</v>
      </c>
      <c r="K393" s="106">
        <v>8815</v>
      </c>
      <c r="L393" s="106">
        <v>6169</v>
      </c>
      <c r="M393" s="106">
        <v>0.43</v>
      </c>
      <c r="N393" s="106">
        <v>0.38</v>
      </c>
      <c r="O393" s="106">
        <v>0.56999999999999995</v>
      </c>
      <c r="P393" s="106">
        <v>3053</v>
      </c>
      <c r="Q393" s="106">
        <v>2589.2079395085066</v>
      </c>
      <c r="R393" s="106">
        <v>0.5461980426545312</v>
      </c>
      <c r="S393" s="106">
        <v>17162.131379962193</v>
      </c>
      <c r="T393" s="106">
        <v>17407.393194706994</v>
      </c>
      <c r="U393" s="106">
        <v>11924.99659700086</v>
      </c>
      <c r="V393" s="106">
        <v>0.18039516428607397</v>
      </c>
      <c r="W393" s="106">
        <v>64983.24786324786</v>
      </c>
      <c r="X393" s="110">
        <v>0.41282678600264472</v>
      </c>
      <c r="Y393" s="106">
        <v>700.125</v>
      </c>
      <c r="Z393" s="106">
        <v>23.338235294117645</v>
      </c>
      <c r="AA393" s="106">
        <v>34661.11648249151</v>
      </c>
      <c r="AB393" s="106">
        <v>397.51241058719268</v>
      </c>
      <c r="AC393" s="106">
        <v>2.8850772897206975</v>
      </c>
      <c r="AD393" s="106">
        <v>42.178447276940908</v>
      </c>
      <c r="AE393" s="106">
        <v>87.195054945054949</v>
      </c>
      <c r="AF393" s="106">
        <v>0.16677781355138782</v>
      </c>
      <c r="AG393" s="106">
        <v>2160</v>
      </c>
      <c r="AH393" s="106">
        <v>13723.111531190927</v>
      </c>
      <c r="AI393" s="106">
        <v>13953.370510396975</v>
      </c>
      <c r="AJ393" s="106">
        <v>17229.629489603023</v>
      </c>
      <c r="AK393" s="104">
        <v>15883.935727788279</v>
      </c>
      <c r="AL393" s="119">
        <v>9016892</v>
      </c>
      <c r="AM393" s="118">
        <v>1345</v>
      </c>
      <c r="AN393" s="118">
        <v>31739</v>
      </c>
      <c r="AO393" s="118">
        <v>196</v>
      </c>
      <c r="AP393" s="118">
        <f t="shared" si="6"/>
        <v>1290</v>
      </c>
    </row>
    <row r="394" spans="1:42" ht="12.75">
      <c r="A394" s="106">
        <v>2018</v>
      </c>
      <c r="B394" s="106">
        <v>-182634</v>
      </c>
      <c r="C394" s="106">
        <v>0</v>
      </c>
      <c r="D394" s="106">
        <v>182634</v>
      </c>
      <c r="E394" s="106" t="s">
        <v>812</v>
      </c>
      <c r="F394" s="106" t="s">
        <v>813</v>
      </c>
      <c r="G394" s="106" t="s">
        <v>179</v>
      </c>
      <c r="H394" s="106">
        <v>7</v>
      </c>
      <c r="I394" s="106" t="s">
        <v>3641</v>
      </c>
      <c r="J394" s="106">
        <v>41186</v>
      </c>
      <c r="K394" s="106">
        <v>26471</v>
      </c>
      <c r="L394" s="106">
        <v>21955</v>
      </c>
      <c r="M394" s="106">
        <v>0.28999999999999998</v>
      </c>
      <c r="N394" s="106">
        <v>0.78</v>
      </c>
      <c r="O394" s="106">
        <v>0.96</v>
      </c>
      <c r="P394" s="106">
        <v>28743</v>
      </c>
      <c r="Q394" s="106">
        <v>26375.567595459237</v>
      </c>
      <c r="R394" s="106">
        <v>0.7128609325792461</v>
      </c>
      <c r="S394" s="106">
        <v>28818.660474716202</v>
      </c>
      <c r="T394" s="106">
        <v>33301.293085655314</v>
      </c>
      <c r="U394" s="106">
        <v>25664.734778121776</v>
      </c>
      <c r="V394" s="106">
        <v>0.41395440161794173</v>
      </c>
      <c r="W394" s="106">
        <v>60728.690445859866</v>
      </c>
      <c r="X394" s="110">
        <v>0.49244467274782666</v>
      </c>
      <c r="Y394" s="106">
        <v>400.60368663594471</v>
      </c>
      <c r="Z394" s="106">
        <v>13.396313364055301</v>
      </c>
      <c r="AA394" s="106">
        <v>88818.314285714281</v>
      </c>
      <c r="AB394" s="106">
        <v>858.23680850329572</v>
      </c>
      <c r="AC394" s="106">
        <v>1.1258939195616349</v>
      </c>
      <c r="AD394" s="106">
        <v>29.504741833508959</v>
      </c>
      <c r="AE394" s="106">
        <v>103.48928571428571</v>
      </c>
      <c r="AF394" s="106">
        <v>-3.0196748637909172E-2</v>
      </c>
      <c r="AG394" s="106">
        <v>40386</v>
      </c>
      <c r="AH394" s="106">
        <v>25470.43446852425</v>
      </c>
      <c r="AI394" s="106">
        <v>28818.65944272446</v>
      </c>
      <c r="AJ394" s="106">
        <v>31455.094943240452</v>
      </c>
      <c r="AK394" s="104">
        <v>25664.734778121776</v>
      </c>
      <c r="AM394" s="118">
        <v>982</v>
      </c>
      <c r="AN394" s="118">
        <v>28977</v>
      </c>
      <c r="AO394" s="118">
        <v>265</v>
      </c>
      <c r="AP394" s="118">
        <f t="shared" si="6"/>
        <v>800</v>
      </c>
    </row>
    <row r="395" spans="1:42" ht="12.75">
      <c r="A395" s="106">
        <v>2018</v>
      </c>
      <c r="B395" s="106">
        <v>-190099</v>
      </c>
      <c r="C395" s="106">
        <v>0</v>
      </c>
      <c r="D395" s="106">
        <v>190099</v>
      </c>
      <c r="E395" s="106" t="s">
        <v>814</v>
      </c>
      <c r="F395" s="106" t="s">
        <v>815</v>
      </c>
      <c r="G395" s="106" t="s">
        <v>69</v>
      </c>
      <c r="H395" s="106">
        <v>7</v>
      </c>
      <c r="I395" s="106" t="s">
        <v>3641</v>
      </c>
      <c r="J395" s="106">
        <v>53980</v>
      </c>
      <c r="K395" s="106">
        <v>23058</v>
      </c>
      <c r="L395" s="106">
        <v>5224</v>
      </c>
      <c r="M395" s="106">
        <v>0.1</v>
      </c>
      <c r="N395" s="106">
        <v>0.23</v>
      </c>
      <c r="O395" s="106">
        <v>0.41</v>
      </c>
      <c r="P395" s="106">
        <v>45286</v>
      </c>
      <c r="Q395" s="106">
        <v>20437.964418841071</v>
      </c>
      <c r="R395" s="106">
        <v>0.37685091175278096</v>
      </c>
      <c r="S395" s="106">
        <v>57123.469332429682</v>
      </c>
      <c r="T395" s="106">
        <v>69654.813283632669</v>
      </c>
      <c r="U395" s="106">
        <v>58308.972069033181</v>
      </c>
      <c r="V395" s="106">
        <v>0.57959502234905769</v>
      </c>
      <c r="W395" s="106">
        <v>100559.12338308457</v>
      </c>
      <c r="X395" s="110">
        <v>0.49166262850304554</v>
      </c>
      <c r="Y395" s="106">
        <v>280.62933597621407</v>
      </c>
      <c r="Z395" s="106">
        <v>8.7740336967294361</v>
      </c>
      <c r="AA395" s="106">
        <v>248655.74649670074</v>
      </c>
      <c r="AB395" s="106">
        <v>1823.0627385253686</v>
      </c>
      <c r="AC395" s="106">
        <v>0.4021624330380269</v>
      </c>
      <c r="AD395" s="106">
        <v>24.094707520891365</v>
      </c>
      <c r="AE395" s="106">
        <v>136.39450867052022</v>
      </c>
      <c r="AF395" s="106">
        <v>4.3654172503108123E-2</v>
      </c>
      <c r="AG395" s="106">
        <v>53650</v>
      </c>
      <c r="AH395" s="106">
        <v>47636.792951541851</v>
      </c>
      <c r="AI395" s="106">
        <v>57215.277194171467</v>
      </c>
      <c r="AJ395" s="106">
        <v>85251.986784140972</v>
      </c>
      <c r="AK395" s="104">
        <v>59842.469671297862</v>
      </c>
      <c r="AL395" s="118">
        <v>211231</v>
      </c>
      <c r="AM395" s="118">
        <v>2873</v>
      </c>
      <c r="AN395" s="118">
        <v>94385</v>
      </c>
      <c r="AO395" s="118">
        <v>691</v>
      </c>
      <c r="AP395" s="118">
        <f t="shared" si="6"/>
        <v>330</v>
      </c>
    </row>
    <row r="396" spans="1:42" ht="12.75">
      <c r="A396" s="106">
        <v>2018</v>
      </c>
      <c r="B396" s="106">
        <v>-108667</v>
      </c>
      <c r="C396" s="106">
        <v>0</v>
      </c>
      <c r="D396" s="106">
        <v>108667</v>
      </c>
      <c r="E396" s="106" t="s">
        <v>4068</v>
      </c>
      <c r="F396" s="106" t="s">
        <v>816</v>
      </c>
      <c r="G396" s="106" t="s">
        <v>121</v>
      </c>
      <c r="H396" s="106">
        <v>4</v>
      </c>
      <c r="I396" s="106" t="s">
        <v>24</v>
      </c>
      <c r="J396" s="106">
        <v>1230</v>
      </c>
      <c r="K396" s="106">
        <v>8423</v>
      </c>
      <c r="L396" s="106">
        <v>6186</v>
      </c>
      <c r="M396" s="106">
        <v>0.54</v>
      </c>
      <c r="N396" s="106">
        <v>0.02</v>
      </c>
      <c r="O396" s="106">
        <v>0</v>
      </c>
      <c r="P396" s="106"/>
      <c r="Q396" s="106">
        <v>809.60151116951374</v>
      </c>
      <c r="R396" s="106">
        <v>0.42892892344092465</v>
      </c>
      <c r="S396" s="106">
        <v>14082.230617608409</v>
      </c>
      <c r="T396" s="106">
        <v>11655.610381077529</v>
      </c>
      <c r="U396" s="106">
        <v>8939.3189881734561</v>
      </c>
      <c r="V396" s="106">
        <v>0.12057900826226998</v>
      </c>
      <c r="W396" s="106">
        <v>129582.59795570699</v>
      </c>
      <c r="X396" s="110">
        <v>0.7146343041782961</v>
      </c>
      <c r="Y396" s="106">
        <v>763.0027855153204</v>
      </c>
      <c r="Z396" s="106">
        <v>25.437325905292482</v>
      </c>
      <c r="AA396" s="106">
        <v>34619.958015267177</v>
      </c>
      <c r="AB396" s="106">
        <v>298.02298863163429</v>
      </c>
      <c r="AC396" s="106">
        <v>2.8885072580359763</v>
      </c>
      <c r="AD396" s="106">
        <v>31.899350649350648</v>
      </c>
      <c r="AE396" s="106">
        <v>116.16539440203562</v>
      </c>
      <c r="AF396" s="106"/>
      <c r="AG396" s="106">
        <v>1104</v>
      </c>
      <c r="AH396" s="106">
        <v>12441.638304862023</v>
      </c>
      <c r="AI396" s="106">
        <v>12441.638304862023</v>
      </c>
      <c r="AJ396" s="106">
        <v>14089.907687253613</v>
      </c>
      <c r="AK396" s="104">
        <v>10971.558804204993</v>
      </c>
      <c r="AL396" s="119">
        <v>23529387</v>
      </c>
      <c r="AM396" s="118">
        <v>5760</v>
      </c>
      <c r="AN396" s="118">
        <v>91306</v>
      </c>
      <c r="AO396" s="118">
        <v>399</v>
      </c>
      <c r="AP396" s="118">
        <f t="shared" si="6"/>
        <v>126</v>
      </c>
    </row>
    <row r="397" spans="1:42" ht="12.75">
      <c r="A397" s="106">
        <v>2018</v>
      </c>
      <c r="B397" s="106">
        <v>-132851</v>
      </c>
      <c r="C397" s="106">
        <v>0</v>
      </c>
      <c r="D397" s="106">
        <v>132851</v>
      </c>
      <c r="E397" s="106" t="s">
        <v>817</v>
      </c>
      <c r="F397" s="106" t="s">
        <v>818</v>
      </c>
      <c r="G397" s="106" t="s">
        <v>258</v>
      </c>
      <c r="H397" s="106">
        <v>4</v>
      </c>
      <c r="I397" s="106" t="s">
        <v>24</v>
      </c>
      <c r="J397" s="106">
        <v>2570</v>
      </c>
      <c r="K397" s="106">
        <v>6448</v>
      </c>
      <c r="L397" s="106">
        <v>6253</v>
      </c>
      <c r="M397" s="106">
        <v>0.59</v>
      </c>
      <c r="N397" s="106">
        <v>0.25</v>
      </c>
      <c r="O397" s="106">
        <v>0.25</v>
      </c>
      <c r="P397" s="106">
        <v>1701</v>
      </c>
      <c r="Q397" s="106">
        <v>503.34350699844481</v>
      </c>
      <c r="R397" s="106">
        <v>0.17022396899308592</v>
      </c>
      <c r="S397" s="106">
        <v>10341.016329704511</v>
      </c>
      <c r="T397" s="106">
        <v>12028.297239502333</v>
      </c>
      <c r="U397" s="106">
        <v>9850.7886858475886</v>
      </c>
      <c r="V397" s="106">
        <v>0.2490770084426733</v>
      </c>
      <c r="W397" s="106">
        <v>53333.03795066414</v>
      </c>
      <c r="X397" s="110">
        <v>0.45425720688679938</v>
      </c>
      <c r="Y397" s="106">
        <v>843.64725274725265</v>
      </c>
      <c r="Z397" s="106">
        <v>28.263736263736263</v>
      </c>
      <c r="AA397" s="106">
        <v>21710.564267352183</v>
      </c>
      <c r="AB397" s="106">
        <v>330.01955793721402</v>
      </c>
      <c r="AC397" s="106">
        <v>4.6060525543492004</v>
      </c>
      <c r="AD397" s="106">
        <v>49.575191163976214</v>
      </c>
      <c r="AE397" s="106">
        <v>65.785689802913453</v>
      </c>
      <c r="AF397" s="106">
        <v>2.8102177746911434E-2</v>
      </c>
      <c r="AG397" s="106">
        <v>1910</v>
      </c>
      <c r="AH397" s="106">
        <v>8492.6483281493001</v>
      </c>
      <c r="AI397" s="106">
        <v>8872.4459564541212</v>
      </c>
      <c r="AJ397" s="106">
        <v>10395.851866251944</v>
      </c>
      <c r="AK397" s="104">
        <v>11877.275660964231</v>
      </c>
      <c r="AL397" s="118">
        <v>21633477</v>
      </c>
      <c r="AM397" s="118">
        <v>7151</v>
      </c>
      <c r="AN397" s="118">
        <v>153543.79999999999</v>
      </c>
      <c r="AO397" s="118">
        <v>1377</v>
      </c>
      <c r="AP397" s="118">
        <f t="shared" si="6"/>
        <v>660</v>
      </c>
    </row>
    <row r="398" spans="1:42" ht="12.75">
      <c r="A398" s="106">
        <v>2018</v>
      </c>
      <c r="B398" s="106">
        <v>-217819</v>
      </c>
      <c r="C398" s="106">
        <v>0</v>
      </c>
      <c r="D398" s="106">
        <v>217819</v>
      </c>
      <c r="E398" s="106" t="s">
        <v>819</v>
      </c>
      <c r="F398" s="106" t="s">
        <v>620</v>
      </c>
      <c r="G398" s="106" t="s">
        <v>79</v>
      </c>
      <c r="H398" s="106">
        <v>2</v>
      </c>
      <c r="I398" s="106" t="s">
        <v>25</v>
      </c>
      <c r="J398" s="106">
        <v>12422</v>
      </c>
      <c r="K398" s="106">
        <v>19649</v>
      </c>
      <c r="L398" s="106">
        <v>14974</v>
      </c>
      <c r="M398" s="106">
        <v>0.26</v>
      </c>
      <c r="N398" s="106">
        <v>0.48</v>
      </c>
      <c r="O398" s="106">
        <v>0.46</v>
      </c>
      <c r="P398" s="106">
        <v>6236</v>
      </c>
      <c r="Q398" s="106">
        <v>2017.5955099670989</v>
      </c>
      <c r="R398" s="106">
        <v>0.1168398568586462</v>
      </c>
      <c r="S398" s="106">
        <v>26028.772208244631</v>
      </c>
      <c r="T398" s="106">
        <v>25857.62937874976</v>
      </c>
      <c r="U398" s="106">
        <v>17209.928319151819</v>
      </c>
      <c r="V398" s="106">
        <v>0.88614233699511458</v>
      </c>
      <c r="W398" s="106">
        <v>86217.578155916097</v>
      </c>
      <c r="X398" s="110">
        <v>0.5435664441480863</v>
      </c>
      <c r="Y398" s="106">
        <v>478.64516129032262</v>
      </c>
      <c r="Z398" s="106">
        <v>16.130072840790845</v>
      </c>
      <c r="AA398" s="106">
        <v>72061.344914957415</v>
      </c>
      <c r="AB398" s="106">
        <v>579.96490891993164</v>
      </c>
      <c r="AC398" s="106">
        <v>1.3877065452776958</v>
      </c>
      <c r="AD398" s="106">
        <v>24.863993552286921</v>
      </c>
      <c r="AE398" s="106">
        <v>124.25121555915722</v>
      </c>
      <c r="AF398" s="106">
        <v>2.3230855527901658E-2</v>
      </c>
      <c r="AG398" s="106">
        <v>70</v>
      </c>
      <c r="AH398" s="106">
        <v>26598.505419005225</v>
      </c>
      <c r="AI398" s="106">
        <v>26994.706018966517</v>
      </c>
      <c r="AJ398" s="106">
        <v>26082.309367137605</v>
      </c>
      <c r="AK398" s="104">
        <v>19552.338494290692</v>
      </c>
      <c r="AL398" s="118">
        <v>25664019</v>
      </c>
      <c r="AM398" s="118">
        <v>9895</v>
      </c>
      <c r="AN398" s="118">
        <v>306652</v>
      </c>
      <c r="AO398" s="118">
        <v>2222</v>
      </c>
      <c r="AP398" s="118">
        <f t="shared" si="6"/>
        <v>12352</v>
      </c>
    </row>
    <row r="399" spans="1:42" ht="12.75">
      <c r="A399" s="106">
        <v>2018</v>
      </c>
      <c r="B399" s="106">
        <v>-139250</v>
      </c>
      <c r="C399" s="106">
        <v>0</v>
      </c>
      <c r="D399" s="106">
        <v>139250</v>
      </c>
      <c r="E399" s="106" t="s">
        <v>820</v>
      </c>
      <c r="F399" s="106" t="s">
        <v>427</v>
      </c>
      <c r="G399" s="106" t="s">
        <v>63</v>
      </c>
      <c r="H399" s="106">
        <v>3</v>
      </c>
      <c r="I399" s="104" t="s">
        <v>26</v>
      </c>
      <c r="J399" s="106">
        <v>4496</v>
      </c>
      <c r="K399" s="106">
        <v>12341</v>
      </c>
      <c r="L399" s="106">
        <v>11652</v>
      </c>
      <c r="M399" s="106">
        <v>0.5</v>
      </c>
      <c r="N399" s="106">
        <v>0.45</v>
      </c>
      <c r="O399" s="106">
        <v>0.19</v>
      </c>
      <c r="P399" s="106">
        <v>4347</v>
      </c>
      <c r="Q399" s="106">
        <v>917.5855379188713</v>
      </c>
      <c r="R399" s="106">
        <v>0.18380389352473273</v>
      </c>
      <c r="S399" s="106">
        <v>13069.697001763669</v>
      </c>
      <c r="T399" s="106">
        <v>13961.6860670194</v>
      </c>
      <c r="U399" s="106">
        <v>10454.404479766452</v>
      </c>
      <c r="V399" s="106">
        <v>0.38975085180915153</v>
      </c>
      <c r="W399" s="106">
        <v>76677.271008403361</v>
      </c>
      <c r="X399" s="110">
        <v>0.61473991053369037</v>
      </c>
      <c r="Y399" s="106">
        <v>620.75182481751824</v>
      </c>
      <c r="Z399" s="106">
        <v>20.693430656934307</v>
      </c>
      <c r="AA399" s="106">
        <v>50234.299491759135</v>
      </c>
      <c r="AB399" s="106">
        <v>348.50883318013115</v>
      </c>
      <c r="AC399" s="106">
        <v>1.9906717324963368</v>
      </c>
      <c r="AD399" s="106">
        <v>21.06390574794716</v>
      </c>
      <c r="AE399" s="106">
        <v>144.14067796610169</v>
      </c>
      <c r="AF399" s="106">
        <v>-4.7329076004000867E-2</v>
      </c>
      <c r="AG399" s="106">
        <v>3126</v>
      </c>
      <c r="AH399" s="106">
        <v>11639.818342151675</v>
      </c>
      <c r="AI399" s="106">
        <v>12150.687830687832</v>
      </c>
      <c r="AJ399" s="106">
        <v>13077.500529100529</v>
      </c>
      <c r="AK399" s="104">
        <v>11488.321693121694</v>
      </c>
      <c r="AL399" s="118">
        <v>15280604</v>
      </c>
      <c r="AM399" s="118">
        <v>3663</v>
      </c>
      <c r="AN399" s="118">
        <v>85043</v>
      </c>
      <c r="AO399" s="118">
        <v>590</v>
      </c>
      <c r="AP399" s="118">
        <f t="shared" si="6"/>
        <v>1370</v>
      </c>
    </row>
    <row r="400" spans="1:42" ht="12.75">
      <c r="A400" s="106">
        <v>2018</v>
      </c>
      <c r="B400" s="106">
        <v>-144865</v>
      </c>
      <c r="C400" s="106">
        <v>0</v>
      </c>
      <c r="D400" s="106">
        <v>144865</v>
      </c>
      <c r="E400" s="106" t="s">
        <v>821</v>
      </c>
      <c r="F400" s="106" t="s">
        <v>822</v>
      </c>
      <c r="G400" s="106" t="s">
        <v>243</v>
      </c>
      <c r="H400" s="106">
        <v>4</v>
      </c>
      <c r="I400" s="106" t="s">
        <v>24</v>
      </c>
      <c r="J400" s="106">
        <v>4050</v>
      </c>
      <c r="K400" s="106">
        <v>5724</v>
      </c>
      <c r="L400" s="106">
        <v>4451</v>
      </c>
      <c r="M400" s="106">
        <v>0.4</v>
      </c>
      <c r="N400" s="106">
        <v>0.14000000000000001</v>
      </c>
      <c r="O400" s="106">
        <v>0.08</v>
      </c>
      <c r="P400" s="106">
        <v>3620</v>
      </c>
      <c r="Q400" s="106">
        <v>532.25843621399179</v>
      </c>
      <c r="R400" s="106">
        <v>0.1055533654287498</v>
      </c>
      <c r="S400" s="106">
        <v>17934.437448559671</v>
      </c>
      <c r="T400" s="106">
        <v>16907.498059964728</v>
      </c>
      <c r="U400" s="106">
        <v>14572.551092870426</v>
      </c>
      <c r="V400" s="106">
        <v>0.30950617389391161</v>
      </c>
      <c r="W400" s="106">
        <v>133824.20717035612</v>
      </c>
      <c r="X400" s="110">
        <v>0.64462226739847239</v>
      </c>
      <c r="Y400" s="106">
        <v>784.68067657611493</v>
      </c>
      <c r="Z400" s="106">
        <v>26.155817529472067</v>
      </c>
      <c r="AA400" s="106">
        <v>46743.181989388257</v>
      </c>
      <c r="AB400" s="106">
        <v>485.74789554799872</v>
      </c>
      <c r="AC400" s="106">
        <v>2.1393494354471252</v>
      </c>
      <c r="AD400" s="106">
        <v>36.732008034910301</v>
      </c>
      <c r="AE400" s="106">
        <v>96.229304167452383</v>
      </c>
      <c r="AF400" s="106">
        <v>4.6456325004670826E-2</v>
      </c>
      <c r="AG400" s="106">
        <v>3064</v>
      </c>
      <c r="AH400" s="106">
        <v>17681.12586713698</v>
      </c>
      <c r="AI400" s="106">
        <v>17761.351028806585</v>
      </c>
      <c r="AJ400" s="106">
        <v>18131.27619047619</v>
      </c>
      <c r="AK400" s="104">
        <v>15544.488653733099</v>
      </c>
      <c r="AL400" s="118">
        <v>214475360</v>
      </c>
      <c r="AM400" s="118">
        <v>26165</v>
      </c>
      <c r="AN400" s="118">
        <v>510304</v>
      </c>
      <c r="AO400" s="118">
        <v>2537</v>
      </c>
      <c r="AP400" s="118">
        <f t="shared" si="6"/>
        <v>986</v>
      </c>
    </row>
    <row r="401" spans="1:42" ht="12.75">
      <c r="A401" s="106">
        <v>2018</v>
      </c>
      <c r="B401" s="106">
        <v>-142179</v>
      </c>
      <c r="C401" s="106">
        <v>0</v>
      </c>
      <c r="D401" s="106">
        <v>142179</v>
      </c>
      <c r="E401" s="106" t="s">
        <v>4069</v>
      </c>
      <c r="F401" s="106" t="s">
        <v>1109</v>
      </c>
      <c r="G401" s="106" t="s">
        <v>418</v>
      </c>
      <c r="H401" s="106">
        <v>4</v>
      </c>
      <c r="I401" s="106" t="s">
        <v>24</v>
      </c>
      <c r="J401" s="106">
        <v>2494</v>
      </c>
      <c r="K401" s="106">
        <v>11261</v>
      </c>
      <c r="L401" s="106">
        <v>11159</v>
      </c>
      <c r="M401" s="106">
        <v>0.6</v>
      </c>
      <c r="N401" s="106">
        <v>0.28000000000000003</v>
      </c>
      <c r="O401" s="106">
        <v>0.14000000000000001</v>
      </c>
      <c r="P401" s="106">
        <v>839</v>
      </c>
      <c r="Q401" s="106">
        <v>2607.7009493670885</v>
      </c>
      <c r="R401" s="106">
        <v>0.51508966977781101</v>
      </c>
      <c r="S401" s="106">
        <v>28237.477848101265</v>
      </c>
      <c r="T401" s="106">
        <v>26572.572784810127</v>
      </c>
      <c r="U401" s="106">
        <v>24863.526898734177</v>
      </c>
      <c r="V401" s="106">
        <v>9.8735572268591032E-2</v>
      </c>
      <c r="W401" s="106">
        <v>38951.530401034935</v>
      </c>
      <c r="X401" s="110">
        <v>0.59762957498886793</v>
      </c>
      <c r="Y401" s="106">
        <v>117.73291925465838</v>
      </c>
      <c r="Z401" s="106">
        <v>3.9254658385093166</v>
      </c>
      <c r="AA401" s="106">
        <v>73773.469483568071</v>
      </c>
      <c r="AB401" s="106">
        <v>829.00284885254553</v>
      </c>
      <c r="AC401" s="106">
        <v>1.3555008419696661</v>
      </c>
      <c r="AD401" s="106">
        <v>42.943548387096776</v>
      </c>
      <c r="AE401" s="106">
        <v>88.990610328638496</v>
      </c>
      <c r="AF401" s="106">
        <v>7.4775458605441991E-2</v>
      </c>
      <c r="AG401" s="106">
        <v>2464</v>
      </c>
      <c r="AH401" s="106">
        <v>22668.425632911392</v>
      </c>
      <c r="AI401" s="106">
        <v>26575.164556962027</v>
      </c>
      <c r="AJ401" s="106">
        <v>28278.471518987342</v>
      </c>
      <c r="AK401" s="104">
        <v>26572.572784810127</v>
      </c>
      <c r="AL401" s="119">
        <v>7796700</v>
      </c>
      <c r="AM401" s="118">
        <v>791</v>
      </c>
      <c r="AN401" s="118">
        <v>18955</v>
      </c>
      <c r="AO401" s="118">
        <v>93</v>
      </c>
      <c r="AP401" s="118">
        <f t="shared" si="6"/>
        <v>30</v>
      </c>
    </row>
    <row r="402" spans="1:42" ht="12.75">
      <c r="A402" s="106">
        <v>2018</v>
      </c>
      <c r="B402" s="106">
        <v>-146472</v>
      </c>
      <c r="C402" s="106">
        <v>0</v>
      </c>
      <c r="D402" s="106">
        <v>146472</v>
      </c>
      <c r="E402" s="106" t="s">
        <v>823</v>
      </c>
      <c r="F402" s="106" t="s">
        <v>824</v>
      </c>
      <c r="G402" s="106" t="s">
        <v>243</v>
      </c>
      <c r="H402" s="106">
        <v>4</v>
      </c>
      <c r="I402" s="106" t="s">
        <v>24</v>
      </c>
      <c r="J402" s="106">
        <v>3864</v>
      </c>
      <c r="K402" s="106">
        <v>3870</v>
      </c>
      <c r="L402" s="106">
        <v>3552</v>
      </c>
      <c r="M402" s="106">
        <v>0.38</v>
      </c>
      <c r="N402" s="106">
        <v>7.0000000000000007E-2</v>
      </c>
      <c r="O402" s="106">
        <v>0.11</v>
      </c>
      <c r="P402" s="106">
        <v>2414</v>
      </c>
      <c r="Q402" s="106"/>
      <c r="R402" s="106"/>
      <c r="S402" s="106">
        <v>21132.584152945077</v>
      </c>
      <c r="T402" s="106">
        <v>18944.871809039672</v>
      </c>
      <c r="U402" s="106">
        <v>13662.835887567206</v>
      </c>
      <c r="V402" s="106">
        <v>0.26964626905898614</v>
      </c>
      <c r="W402" s="106">
        <v>87287.15373299006</v>
      </c>
      <c r="X402" s="110">
        <v>0.46147271271674284</v>
      </c>
      <c r="Y402" s="106">
        <v>665.36029411764707</v>
      </c>
      <c r="Z402" s="106">
        <v>22.178921568627452</v>
      </c>
      <c r="AA402" s="106">
        <v>38817.897000500983</v>
      </c>
      <c r="AB402" s="106">
        <v>455.43289588272472</v>
      </c>
      <c r="AC402" s="106">
        <v>2.5761313138295305</v>
      </c>
      <c r="AD402" s="106">
        <v>41.347526937556793</v>
      </c>
      <c r="AE402" s="106">
        <v>85.232967032967039</v>
      </c>
      <c r="AF402" s="106">
        <v>0.10040165571780223</v>
      </c>
      <c r="AG402" s="106">
        <v>3220</v>
      </c>
      <c r="AH402" s="106">
        <v>21104.024091059786</v>
      </c>
      <c r="AI402" s="106">
        <v>21104.024091059786</v>
      </c>
      <c r="AJ402" s="106">
        <v>21228.350535970825</v>
      </c>
      <c r="AK402" s="104">
        <v>15168.706155376285</v>
      </c>
      <c r="AL402" s="118">
        <v>139230870</v>
      </c>
      <c r="AM402" s="118">
        <v>14590</v>
      </c>
      <c r="AN402" s="118">
        <v>271467</v>
      </c>
      <c r="AO402" s="118">
        <v>1464</v>
      </c>
      <c r="AP402" s="118">
        <f t="shared" si="6"/>
        <v>644</v>
      </c>
    </row>
    <row r="403" spans="1:42" ht="12.75">
      <c r="A403" s="106">
        <v>2018</v>
      </c>
      <c r="B403" s="106">
        <v>-118347</v>
      </c>
      <c r="C403" s="106">
        <v>0</v>
      </c>
      <c r="D403" s="106">
        <v>118347</v>
      </c>
      <c r="E403" s="106" t="s">
        <v>825</v>
      </c>
      <c r="F403" s="106" t="s">
        <v>826</v>
      </c>
      <c r="G403" s="106" t="s">
        <v>121</v>
      </c>
      <c r="H403" s="106">
        <v>4</v>
      </c>
      <c r="I403" s="106" t="s">
        <v>24</v>
      </c>
      <c r="J403" s="106">
        <v>1490</v>
      </c>
      <c r="K403" s="106">
        <v>8809</v>
      </c>
      <c r="L403" s="106">
        <v>6239</v>
      </c>
      <c r="M403" s="106">
        <v>0.32</v>
      </c>
      <c r="N403" s="106">
        <v>0.01</v>
      </c>
      <c r="O403" s="106">
        <v>0</v>
      </c>
      <c r="P403" s="106"/>
      <c r="Q403" s="106">
        <v>106.64126394052045</v>
      </c>
      <c r="R403" s="106">
        <v>1.9236609729681591E-2</v>
      </c>
      <c r="S403" s="106">
        <v>27248.716356877325</v>
      </c>
      <c r="T403" s="106">
        <v>32805.08810408922</v>
      </c>
      <c r="U403" s="106">
        <v>28196.626535169995</v>
      </c>
      <c r="V403" s="106">
        <v>0.1928252236508578</v>
      </c>
      <c r="W403" s="106">
        <v>148424.99238578681</v>
      </c>
      <c r="X403" s="110">
        <v>0.66268901051220785</v>
      </c>
      <c r="Y403" s="106">
        <v>426.99470899470901</v>
      </c>
      <c r="Z403" s="106">
        <v>14.232804232804233</v>
      </c>
      <c r="AA403" s="106">
        <v>176392.84972001697</v>
      </c>
      <c r="AB403" s="106">
        <v>939.86425837782565</v>
      </c>
      <c r="AC403" s="106">
        <v>0.56691640369055196</v>
      </c>
      <c r="AD403" s="106">
        <v>15.395631936985321</v>
      </c>
      <c r="AE403" s="106">
        <v>187.67906976744186</v>
      </c>
      <c r="AF403" s="106">
        <v>-1.1057224470939322</v>
      </c>
      <c r="AG403" s="106">
        <v>1380</v>
      </c>
      <c r="AH403" s="106">
        <v>29976.18401486989</v>
      </c>
      <c r="AI403" s="106">
        <v>29976.18401486989</v>
      </c>
      <c r="AJ403" s="106">
        <v>27717.378810408922</v>
      </c>
      <c r="AK403" s="104">
        <v>29975.21970260223</v>
      </c>
      <c r="AL403" s="118">
        <v>54634265</v>
      </c>
      <c r="AM403" s="118">
        <v>5749</v>
      </c>
      <c r="AN403" s="118">
        <v>80702</v>
      </c>
      <c r="AO403" s="118">
        <v>344</v>
      </c>
      <c r="AP403" s="118">
        <f t="shared" si="6"/>
        <v>110</v>
      </c>
    </row>
    <row r="404" spans="1:42" ht="12.75">
      <c r="A404" s="106">
        <v>2018</v>
      </c>
      <c r="B404" s="106">
        <v>-193399</v>
      </c>
      <c r="C404" s="106">
        <v>0</v>
      </c>
      <c r="D404" s="106">
        <v>193399</v>
      </c>
      <c r="E404" s="106" t="s">
        <v>827</v>
      </c>
      <c r="F404" s="106" t="s">
        <v>499</v>
      </c>
      <c r="G404" s="106" t="s">
        <v>69</v>
      </c>
      <c r="H404" s="106">
        <v>6</v>
      </c>
      <c r="I404" s="106" t="s">
        <v>3640</v>
      </c>
      <c r="J404" s="106">
        <v>33458</v>
      </c>
      <c r="K404" s="106">
        <v>18810</v>
      </c>
      <c r="L404" s="106">
        <v>14610</v>
      </c>
      <c r="M404" s="106">
        <v>0.6</v>
      </c>
      <c r="N404" s="106">
        <v>0.82</v>
      </c>
      <c r="O404" s="106">
        <v>1</v>
      </c>
      <c r="P404" s="106">
        <v>22235</v>
      </c>
      <c r="Q404" s="106">
        <v>8453.2141453831046</v>
      </c>
      <c r="R404" s="106">
        <v>0.37600492311392197</v>
      </c>
      <c r="S404" s="106">
        <v>20397.687622789785</v>
      </c>
      <c r="T404" s="106">
        <v>20332.967387033397</v>
      </c>
      <c r="U404" s="106">
        <v>16124.07347740668</v>
      </c>
      <c r="V404" s="106">
        <v>0.87003101465119437</v>
      </c>
      <c r="W404" s="106">
        <v>74520.075789473674</v>
      </c>
      <c r="X404" s="110">
        <v>0.45602335746246742</v>
      </c>
      <c r="Y404" s="106">
        <v>589.60994764397901</v>
      </c>
      <c r="Z404" s="106">
        <v>19.986910994764397</v>
      </c>
      <c r="AA404" s="106">
        <v>84089.686475409835</v>
      </c>
      <c r="AB404" s="106">
        <v>546.58240206721098</v>
      </c>
      <c r="AC404" s="106">
        <v>1.1892064793135217</v>
      </c>
      <c r="AD404" s="106">
        <v>27.75881683731513</v>
      </c>
      <c r="AE404" s="106">
        <v>153.84631147540983</v>
      </c>
      <c r="AF404" s="106">
        <v>2.4694771798291611E-2</v>
      </c>
      <c r="AG404" s="106">
        <v>31978</v>
      </c>
      <c r="AH404" s="106">
        <v>19292.881728880158</v>
      </c>
      <c r="AI404" s="106">
        <v>20397.687622789785</v>
      </c>
      <c r="AJ404" s="106">
        <v>21014.086444007859</v>
      </c>
      <c r="AK404" s="104">
        <v>16124.07347740668</v>
      </c>
      <c r="AM404" s="118">
        <v>1695</v>
      </c>
      <c r="AN404" s="118">
        <v>75077</v>
      </c>
      <c r="AO404" s="118">
        <v>420</v>
      </c>
      <c r="AP404" s="118">
        <f t="shared" si="6"/>
        <v>1480</v>
      </c>
    </row>
    <row r="405" spans="1:42" ht="12.75">
      <c r="A405" s="106">
        <v>2018</v>
      </c>
      <c r="B405" s="106">
        <v>-167394</v>
      </c>
      <c r="C405" s="106">
        <v>0</v>
      </c>
      <c r="D405" s="106">
        <v>167394</v>
      </c>
      <c r="E405" s="106" t="s">
        <v>828</v>
      </c>
      <c r="F405" s="106" t="s">
        <v>829</v>
      </c>
      <c r="G405" s="106" t="s">
        <v>150</v>
      </c>
      <c r="H405" s="106">
        <v>6</v>
      </c>
      <c r="I405" s="106" t="s">
        <v>3640</v>
      </c>
      <c r="J405" s="106">
        <v>34578</v>
      </c>
      <c r="K405" s="106">
        <v>22702</v>
      </c>
      <c r="L405" s="106">
        <v>19703</v>
      </c>
      <c r="M405" s="106">
        <v>0.49</v>
      </c>
      <c r="N405" s="106">
        <v>0.93</v>
      </c>
      <c r="O405" s="106">
        <v>1</v>
      </c>
      <c r="P405" s="106">
        <v>20811</v>
      </c>
      <c r="Q405" s="106">
        <v>9126.856330014225</v>
      </c>
      <c r="R405" s="106">
        <v>0.3986292038210793</v>
      </c>
      <c r="S405" s="106">
        <v>21308.15931721195</v>
      </c>
      <c r="T405" s="106">
        <v>20582.70412517781</v>
      </c>
      <c r="U405" s="106">
        <v>15467.24253200569</v>
      </c>
      <c r="V405" s="106">
        <v>0.89018760016062948</v>
      </c>
      <c r="W405" s="106">
        <v>66838.458217270192</v>
      </c>
      <c r="X405" s="110">
        <v>0.55276668578024846</v>
      </c>
      <c r="Y405" s="106">
        <v>361.48589341692787</v>
      </c>
      <c r="Z405" s="106">
        <v>13.222570532915359</v>
      </c>
      <c r="AA405" s="106">
        <v>42063.719535783363</v>
      </c>
      <c r="AB405" s="106">
        <v>565.76676726156404</v>
      </c>
      <c r="AC405" s="106">
        <v>2.3773456342806436</v>
      </c>
      <c r="AD405" s="106">
        <v>40.676632572777336</v>
      </c>
      <c r="AE405" s="106">
        <v>74.348162475822051</v>
      </c>
      <c r="AF405" s="106">
        <v>6.2022876685574019E-2</v>
      </c>
      <c r="AG405" s="106">
        <v>32960</v>
      </c>
      <c r="AH405" s="106">
        <v>20081.179943100997</v>
      </c>
      <c r="AI405" s="106">
        <v>21308.15931721195</v>
      </c>
      <c r="AJ405" s="106">
        <v>22170.061166429587</v>
      </c>
      <c r="AK405" s="104">
        <v>15467.24253200569</v>
      </c>
      <c r="AL405" s="118"/>
      <c r="AM405" s="118">
        <v>1174</v>
      </c>
      <c r="AN405" s="118">
        <v>38438</v>
      </c>
      <c r="AO405" s="118">
        <v>337</v>
      </c>
      <c r="AP405" s="118">
        <f t="shared" si="6"/>
        <v>1618</v>
      </c>
    </row>
    <row r="406" spans="1:42" ht="12.75">
      <c r="A406" s="106">
        <v>2018</v>
      </c>
      <c r="B406" s="106">
        <v>-174747</v>
      </c>
      <c r="C406" s="106">
        <v>0</v>
      </c>
      <c r="D406" s="106">
        <v>174747</v>
      </c>
      <c r="E406" s="106" t="s">
        <v>830</v>
      </c>
      <c r="F406" s="106" t="s">
        <v>831</v>
      </c>
      <c r="G406" s="106" t="s">
        <v>113</v>
      </c>
      <c r="H406" s="106">
        <v>7</v>
      </c>
      <c r="I406" s="106" t="s">
        <v>3641</v>
      </c>
      <c r="J406" s="106">
        <v>43738</v>
      </c>
      <c r="K406" s="106">
        <v>27961</v>
      </c>
      <c r="L406" s="106">
        <v>18299</v>
      </c>
      <c r="M406" s="106">
        <v>0.25</v>
      </c>
      <c r="N406" s="106">
        <v>0.69</v>
      </c>
      <c r="O406" s="106">
        <v>1</v>
      </c>
      <c r="P406" s="106">
        <v>26330</v>
      </c>
      <c r="Q406" s="106">
        <v>21502.455598455599</v>
      </c>
      <c r="R406" s="106">
        <v>0.5326605529683025</v>
      </c>
      <c r="S406" s="106">
        <v>33147.664575289578</v>
      </c>
      <c r="T406" s="106">
        <v>31124.587355212356</v>
      </c>
      <c r="U406" s="106">
        <v>24756.382239382241</v>
      </c>
      <c r="V406" s="106">
        <v>0.76204880204831549</v>
      </c>
      <c r="W406" s="106">
        <v>84599.152505446618</v>
      </c>
      <c r="X406" s="110">
        <v>0.60212317711489094</v>
      </c>
      <c r="Y406" s="106">
        <v>400.07510729613733</v>
      </c>
      <c r="Z406" s="106">
        <v>13.339055793991415</v>
      </c>
      <c r="AA406" s="106">
        <v>101978.57654075547</v>
      </c>
      <c r="AB406" s="106">
        <v>825.41192372676801</v>
      </c>
      <c r="AC406" s="106">
        <v>0.98059811572321043</v>
      </c>
      <c r="AD406" s="106">
        <v>26.143451143451141</v>
      </c>
      <c r="AE406" s="106">
        <v>123.54870775347912</v>
      </c>
      <c r="AF406" s="106">
        <v>5.0610492363771298E-2</v>
      </c>
      <c r="AG406" s="106">
        <v>42690</v>
      </c>
      <c r="AH406" s="106">
        <v>29942.202220077219</v>
      </c>
      <c r="AI406" s="106">
        <v>33310.587355212352</v>
      </c>
      <c r="AJ406" s="106">
        <v>35384.79198841699</v>
      </c>
      <c r="AK406" s="104">
        <v>24756.382239382241</v>
      </c>
      <c r="AL406" s="118"/>
      <c r="AM406" s="118">
        <v>1937</v>
      </c>
      <c r="AN406" s="118">
        <v>62145</v>
      </c>
      <c r="AO406" s="118">
        <v>503</v>
      </c>
      <c r="AP406" s="118">
        <f t="shared" si="6"/>
        <v>1048</v>
      </c>
    </row>
    <row r="407" spans="1:42" ht="12.75">
      <c r="A407" s="106">
        <v>2018</v>
      </c>
      <c r="B407" s="106">
        <v>-186618</v>
      </c>
      <c r="C407" s="106">
        <v>0</v>
      </c>
      <c r="D407" s="106">
        <v>186618</v>
      </c>
      <c r="E407" s="106" t="s">
        <v>832</v>
      </c>
      <c r="F407" s="106" t="s">
        <v>833</v>
      </c>
      <c r="G407" s="106" t="s">
        <v>234</v>
      </c>
      <c r="H407" s="106">
        <v>6</v>
      </c>
      <c r="I407" s="106" t="s">
        <v>3640</v>
      </c>
      <c r="J407" s="106">
        <v>33131</v>
      </c>
      <c r="K407" s="106">
        <v>19775</v>
      </c>
      <c r="L407" s="106">
        <v>16097</v>
      </c>
      <c r="M407" s="106">
        <v>0.74</v>
      </c>
      <c r="N407" s="106">
        <v>0.82</v>
      </c>
      <c r="O407" s="106">
        <v>0.95</v>
      </c>
      <c r="P407" s="106">
        <v>17799</v>
      </c>
      <c r="Q407" s="106">
        <v>12587.492907801419</v>
      </c>
      <c r="R407" s="106">
        <v>0.41625988986820389</v>
      </c>
      <c r="S407" s="106">
        <v>29172.656028368794</v>
      </c>
      <c r="T407" s="106">
        <v>31792.28014184397</v>
      </c>
      <c r="U407" s="106">
        <v>27763.684397163121</v>
      </c>
      <c r="V407" s="106">
        <v>0.63579500356712892</v>
      </c>
      <c r="W407" s="106">
        <v>67466.279801324505</v>
      </c>
      <c r="X407" s="110">
        <v>0.50502212779028943</v>
      </c>
      <c r="Y407" s="106">
        <v>277.09615384615387</v>
      </c>
      <c r="Z407" s="106">
        <v>9.7615384615384624</v>
      </c>
      <c r="AA407" s="106">
        <v>59163.921914357685</v>
      </c>
      <c r="AB407" s="106">
        <v>978.05858838226106</v>
      </c>
      <c r="AC407" s="106">
        <v>1.6902192546456656</v>
      </c>
      <c r="AD407" s="106">
        <v>46.816037735849058</v>
      </c>
      <c r="AE407" s="106">
        <v>60.491183879093199</v>
      </c>
      <c r="AF407" s="106">
        <v>-2.1122907457062107E-2</v>
      </c>
      <c r="AG407" s="106">
        <v>31000</v>
      </c>
      <c r="AH407" s="106">
        <v>24389.611111111109</v>
      </c>
      <c r="AI407" s="106">
        <v>29172.656028368794</v>
      </c>
      <c r="AJ407" s="106">
        <v>30556.971631205673</v>
      </c>
      <c r="AK407" s="104">
        <v>27763.684397163121</v>
      </c>
      <c r="AL407" s="119">
        <v>24837</v>
      </c>
      <c r="AM407" s="118">
        <v>757</v>
      </c>
      <c r="AN407" s="118">
        <v>24015</v>
      </c>
      <c r="AO407" s="118">
        <v>236</v>
      </c>
      <c r="AP407" s="118">
        <f t="shared" si="6"/>
        <v>2131</v>
      </c>
    </row>
    <row r="408" spans="1:42" ht="12.75">
      <c r="A408" s="106">
        <v>2018</v>
      </c>
      <c r="B408" s="106">
        <v>-181604</v>
      </c>
      <c r="C408" s="106">
        <v>0</v>
      </c>
      <c r="D408" s="106">
        <v>181604</v>
      </c>
      <c r="E408" s="106" t="s">
        <v>834</v>
      </c>
      <c r="F408" s="106" t="s">
        <v>835</v>
      </c>
      <c r="G408" s="106" t="s">
        <v>323</v>
      </c>
      <c r="H408" s="106">
        <v>6</v>
      </c>
      <c r="I408" s="106" t="s">
        <v>3640</v>
      </c>
      <c r="J408" s="106">
        <v>19950</v>
      </c>
      <c r="K408" s="106">
        <v>15064</v>
      </c>
      <c r="L408" s="106">
        <v>8295</v>
      </c>
      <c r="M408" s="106">
        <v>0.28999999999999998</v>
      </c>
      <c r="N408" s="106">
        <v>0.5</v>
      </c>
      <c r="O408" s="106">
        <v>0.97</v>
      </c>
      <c r="P408" s="106">
        <v>13150</v>
      </c>
      <c r="Q408" s="106">
        <v>5370.0980735551666</v>
      </c>
      <c r="R408" s="106">
        <v>0.28433401744898273</v>
      </c>
      <c r="S408" s="106">
        <v>23103.778458844132</v>
      </c>
      <c r="T408" s="106">
        <v>20746.976357267951</v>
      </c>
      <c r="U408" s="106">
        <v>19316.524518388793</v>
      </c>
      <c r="V408" s="106">
        <v>0.69973690665564914</v>
      </c>
      <c r="W408" s="106">
        <v>82424.00796812748</v>
      </c>
      <c r="X408" s="110">
        <v>0.5821236922376426</v>
      </c>
      <c r="Y408" s="106">
        <v>490.492385786802</v>
      </c>
      <c r="Z408" s="106">
        <v>17.390862944162436</v>
      </c>
      <c r="AA408" s="106">
        <v>67460.15596330275</v>
      </c>
      <c r="AB408" s="106">
        <v>684.88531155888109</v>
      </c>
      <c r="AC408" s="106">
        <v>1.4823564898723092</v>
      </c>
      <c r="AD408" s="106">
        <v>30.761994355597366</v>
      </c>
      <c r="AE408" s="106">
        <v>98.498470948012226</v>
      </c>
      <c r="AF408" s="106">
        <v>6.1446678074071323E-2</v>
      </c>
      <c r="AG408" s="106">
        <v>19950</v>
      </c>
      <c r="AH408" s="106">
        <v>16283.771453590192</v>
      </c>
      <c r="AI408" s="106">
        <v>23103.778458844132</v>
      </c>
      <c r="AJ408" s="106">
        <v>24408.296847635727</v>
      </c>
      <c r="AK408" s="104">
        <v>19316.524518388793</v>
      </c>
      <c r="AL408" s="118"/>
      <c r="AM408" s="118">
        <v>832</v>
      </c>
      <c r="AN408" s="118">
        <v>32209</v>
      </c>
      <c r="AO408" s="118">
        <v>159</v>
      </c>
      <c r="AP408" s="118">
        <f t="shared" si="6"/>
        <v>0</v>
      </c>
    </row>
    <row r="409" spans="1:42" ht="12.75">
      <c r="A409" s="106">
        <v>2018</v>
      </c>
      <c r="B409" s="106">
        <v>-122791</v>
      </c>
      <c r="C409" s="106">
        <v>0</v>
      </c>
      <c r="D409" s="106">
        <v>122791</v>
      </c>
      <c r="E409" s="106" t="s">
        <v>836</v>
      </c>
      <c r="F409" s="106" t="s">
        <v>837</v>
      </c>
      <c r="G409" s="106" t="s">
        <v>121</v>
      </c>
      <c r="H409" s="106">
        <v>4</v>
      </c>
      <c r="I409" s="106" t="s">
        <v>24</v>
      </c>
      <c r="J409" s="106">
        <v>1400</v>
      </c>
      <c r="K409" s="106">
        <v>4246</v>
      </c>
      <c r="L409" s="106">
        <v>246</v>
      </c>
      <c r="M409" s="106">
        <v>0.21</v>
      </c>
      <c r="N409" s="106">
        <v>0</v>
      </c>
      <c r="O409" s="106">
        <v>0.26</v>
      </c>
      <c r="P409" s="106">
        <v>729</v>
      </c>
      <c r="Q409" s="106">
        <v>99.599849425936384</v>
      </c>
      <c r="R409" s="106">
        <v>3.7657087476830539E-2</v>
      </c>
      <c r="S409" s="106">
        <v>17159.926783361567</v>
      </c>
      <c r="T409" s="106">
        <v>17458.55072463768</v>
      </c>
      <c r="U409" s="106">
        <v>12861.212685864859</v>
      </c>
      <c r="V409" s="106">
        <v>0.19790642174560966</v>
      </c>
      <c r="W409" s="106">
        <v>172252.85885885885</v>
      </c>
      <c r="X409" s="110">
        <v>0.6183902977750102</v>
      </c>
      <c r="Y409" s="106">
        <v>823.07917383821007</v>
      </c>
      <c r="Z409" s="106">
        <v>27.433734939759038</v>
      </c>
      <c r="AA409" s="106">
        <v>38475.012950450451</v>
      </c>
      <c r="AB409" s="106">
        <v>428.67212662246004</v>
      </c>
      <c r="AC409" s="106">
        <v>2.599089443550902</v>
      </c>
      <c r="AD409" s="106">
        <v>37.334454488122766</v>
      </c>
      <c r="AE409" s="106">
        <v>89.753941441441441</v>
      </c>
      <c r="AF409" s="106">
        <v>6.8455093695327348E-3</v>
      </c>
      <c r="AG409" s="106">
        <v>1344</v>
      </c>
      <c r="AH409" s="106">
        <v>17454.376246941465</v>
      </c>
      <c r="AI409" s="106">
        <v>17454.376246941465</v>
      </c>
      <c r="AJ409" s="106">
        <v>17334.456804065499</v>
      </c>
      <c r="AK409" s="104">
        <v>12861.212685864859</v>
      </c>
      <c r="AL409" s="118">
        <v>60922559</v>
      </c>
      <c r="AM409" s="118">
        <v>9263</v>
      </c>
      <c r="AN409" s="118">
        <v>159403</v>
      </c>
      <c r="AO409" s="118">
        <v>899</v>
      </c>
      <c r="AP409" s="118">
        <f t="shared" si="6"/>
        <v>56</v>
      </c>
    </row>
    <row r="410" spans="1:42" ht="12.75">
      <c r="A410" s="106">
        <v>2018</v>
      </c>
      <c r="B410" s="106">
        <v>-142559</v>
      </c>
      <c r="C410" s="106">
        <v>0</v>
      </c>
      <c r="D410" s="106">
        <v>142559</v>
      </c>
      <c r="E410" s="106" t="s">
        <v>838</v>
      </c>
      <c r="F410" s="106" t="s">
        <v>839</v>
      </c>
      <c r="G410" s="106" t="s">
        <v>418</v>
      </c>
      <c r="H410" s="106">
        <v>4</v>
      </c>
      <c r="I410" s="106" t="s">
        <v>24</v>
      </c>
      <c r="J410" s="106">
        <v>3120</v>
      </c>
      <c r="K410" s="106">
        <v>6426</v>
      </c>
      <c r="L410" s="106">
        <v>5226</v>
      </c>
      <c r="M410" s="106">
        <v>0.48</v>
      </c>
      <c r="N410" s="106">
        <v>0.15</v>
      </c>
      <c r="O410" s="106">
        <v>0.51</v>
      </c>
      <c r="P410" s="106">
        <v>3364</v>
      </c>
      <c r="Q410" s="106">
        <v>62.066650024962556</v>
      </c>
      <c r="R410" s="106">
        <v>1.597121623767403E-2</v>
      </c>
      <c r="S410" s="106">
        <v>19322.350224663005</v>
      </c>
      <c r="T410" s="106">
        <v>18770.134048926611</v>
      </c>
      <c r="U410" s="106">
        <v>9107.3034745707937</v>
      </c>
      <c r="V410" s="106">
        <v>0.41989268563469928</v>
      </c>
      <c r="W410" s="106">
        <v>59383.215007215011</v>
      </c>
      <c r="X410" s="110">
        <v>0.54729139780631897</v>
      </c>
      <c r="Y410" s="106">
        <v>461.09079283887462</v>
      </c>
      <c r="Z410" s="106">
        <v>15.368286445012787</v>
      </c>
      <c r="AA410" s="106">
        <v>33076.933562221755</v>
      </c>
      <c r="AB410" s="106">
        <v>303.54899883627394</v>
      </c>
      <c r="AC410" s="106">
        <v>3.0232548555895535</v>
      </c>
      <c r="AD410" s="106">
        <v>30.724233983286908</v>
      </c>
      <c r="AE410" s="106">
        <v>108.96736174070716</v>
      </c>
      <c r="AF410" s="106">
        <v>3.2336363675861846E-2</v>
      </c>
      <c r="AG410" s="106">
        <v>3120</v>
      </c>
      <c r="AH410" s="106">
        <v>18635.511982026961</v>
      </c>
      <c r="AI410" s="106">
        <v>18732.990514228655</v>
      </c>
      <c r="AJ410" s="106">
        <v>19477.974038941589</v>
      </c>
      <c r="AK410" s="104">
        <v>14420.42011982027</v>
      </c>
      <c r="AL410" s="119">
        <v>29195604</v>
      </c>
      <c r="AM410" s="118">
        <v>6876</v>
      </c>
      <c r="AN410" s="118">
        <v>120191</v>
      </c>
      <c r="AO410" s="118">
        <v>800</v>
      </c>
      <c r="AP410" s="118">
        <f t="shared" si="6"/>
        <v>0</v>
      </c>
    </row>
    <row r="411" spans="1:42" ht="12.75">
      <c r="A411" s="106">
        <v>2018</v>
      </c>
      <c r="B411" s="106">
        <v>-162122</v>
      </c>
      <c r="C411" s="106">
        <v>0</v>
      </c>
      <c r="D411" s="106">
        <v>162122</v>
      </c>
      <c r="E411" s="106" t="s">
        <v>840</v>
      </c>
      <c r="F411" s="106" t="s">
        <v>841</v>
      </c>
      <c r="G411" s="106" t="s">
        <v>124</v>
      </c>
      <c r="H411" s="106">
        <v>4</v>
      </c>
      <c r="I411" s="106" t="s">
        <v>24</v>
      </c>
      <c r="J411" s="106">
        <v>3690</v>
      </c>
      <c r="K411" s="106">
        <v>7376</v>
      </c>
      <c r="L411" s="106">
        <v>5365</v>
      </c>
      <c r="M411" s="106">
        <v>0.27</v>
      </c>
      <c r="N411" s="106">
        <v>0.14000000000000001</v>
      </c>
      <c r="O411" s="106">
        <v>0.15</v>
      </c>
      <c r="P411" s="106">
        <v>1232</v>
      </c>
      <c r="Q411" s="106">
        <v>95.461673621787838</v>
      </c>
      <c r="R411" s="106">
        <v>1.6042804434745431E-2</v>
      </c>
      <c r="S411" s="106">
        <v>17037.735339336701</v>
      </c>
      <c r="T411" s="106">
        <v>17340.691412255655</v>
      </c>
      <c r="U411" s="106">
        <v>12537.290124298584</v>
      </c>
      <c r="V411" s="106">
        <v>0.46700473589896624</v>
      </c>
      <c r="W411" s="106">
        <v>64760.673827268751</v>
      </c>
      <c r="X411" s="110">
        <v>0.62366493849795235</v>
      </c>
      <c r="Y411" s="106">
        <v>520.55210918114153</v>
      </c>
      <c r="Z411" s="106">
        <v>16.946650124069482</v>
      </c>
      <c r="AA411" s="106">
        <v>24290.332738694236</v>
      </c>
      <c r="AB411" s="106">
        <v>408.15331547625362</v>
      </c>
      <c r="AC411" s="106">
        <v>4.116864148209098</v>
      </c>
      <c r="AD411" s="106">
        <v>56.314402108794638</v>
      </c>
      <c r="AE411" s="106">
        <v>59.51276595744681</v>
      </c>
      <c r="AF411" s="106">
        <v>8.5664780129547711E-4</v>
      </c>
      <c r="AG411" s="106">
        <v>3000</v>
      </c>
      <c r="AH411" s="106">
        <v>16223.159455304196</v>
      </c>
      <c r="AI411" s="106">
        <v>16223.159455304196</v>
      </c>
      <c r="AJ411" s="106">
        <v>17126.31254118164</v>
      </c>
      <c r="AK411" s="104">
        <v>13680.933670107621</v>
      </c>
      <c r="AL411" s="118">
        <v>32807823</v>
      </c>
      <c r="AM411" s="118">
        <v>7201</v>
      </c>
      <c r="AN411" s="118">
        <v>139855</v>
      </c>
      <c r="AO411" s="118">
        <v>1262</v>
      </c>
      <c r="AP411" s="118">
        <f t="shared" si="6"/>
        <v>690</v>
      </c>
    </row>
    <row r="412" spans="1:42" ht="12.75">
      <c r="A412" s="106">
        <v>2018</v>
      </c>
      <c r="B412" s="106">
        <v>-182005</v>
      </c>
      <c r="C412" s="106">
        <v>0</v>
      </c>
      <c r="D412" s="106">
        <v>182005</v>
      </c>
      <c r="E412" s="106" t="s">
        <v>842</v>
      </c>
      <c r="F412" s="106" t="s">
        <v>843</v>
      </c>
      <c r="G412" s="106" t="s">
        <v>844</v>
      </c>
      <c r="H412" s="106">
        <v>4</v>
      </c>
      <c r="I412" s="106" t="s">
        <v>24</v>
      </c>
      <c r="J412" s="106">
        <v>3285</v>
      </c>
      <c r="K412" s="106">
        <v>7591</v>
      </c>
      <c r="L412" s="106">
        <v>5975</v>
      </c>
      <c r="M412" s="106">
        <v>0.49</v>
      </c>
      <c r="N412" s="106">
        <v>0.14000000000000001</v>
      </c>
      <c r="O412" s="106">
        <v>0.25</v>
      </c>
      <c r="P412" s="106">
        <v>1323</v>
      </c>
      <c r="Q412" s="106">
        <v>250.50485149977837</v>
      </c>
      <c r="R412" s="106">
        <v>6.897206400867914E-2</v>
      </c>
      <c r="S412" s="106">
        <v>10225.877949071566</v>
      </c>
      <c r="T412" s="106">
        <v>10237.009308969118</v>
      </c>
      <c r="U412" s="106">
        <v>8626.0695981275658</v>
      </c>
      <c r="V412" s="106">
        <v>0.39200596287178324</v>
      </c>
      <c r="W412" s="106">
        <v>74040.946896992959</v>
      </c>
      <c r="X412" s="110">
        <v>0.5567979522906823</v>
      </c>
      <c r="Y412" s="106">
        <v>719.40944881889754</v>
      </c>
      <c r="Z412" s="106">
        <v>23.979921259842516</v>
      </c>
      <c r="AA412" s="106">
        <v>35041.034624006395</v>
      </c>
      <c r="AB412" s="106">
        <v>287.53093260677059</v>
      </c>
      <c r="AC412" s="106">
        <v>2.8537970146432441</v>
      </c>
      <c r="AD412" s="106">
        <v>26.108760382385203</v>
      </c>
      <c r="AE412" s="106">
        <v>121.8687474989996</v>
      </c>
      <c r="AF412" s="106">
        <v>4.7872807017543859E-2</v>
      </c>
      <c r="AG412" s="106">
        <v>2850</v>
      </c>
      <c r="AH412" s="106">
        <v>9090.4792395212535</v>
      </c>
      <c r="AI412" s="106">
        <v>9123.4792887750573</v>
      </c>
      <c r="AJ412" s="106">
        <v>10385.411023001527</v>
      </c>
      <c r="AK412" s="104">
        <v>10092.794168349505</v>
      </c>
      <c r="AL412" s="118">
        <v>98654000</v>
      </c>
      <c r="AM412" s="118">
        <v>33914</v>
      </c>
      <c r="AN412" s="118">
        <v>609100</v>
      </c>
      <c r="AO412" s="118">
        <v>3377</v>
      </c>
      <c r="AP412" s="118">
        <f t="shared" si="6"/>
        <v>435</v>
      </c>
    </row>
    <row r="413" spans="1:42" ht="12.75">
      <c r="A413" s="106">
        <v>2018</v>
      </c>
      <c r="B413" s="106">
        <v>-231077</v>
      </c>
      <c r="C413" s="106">
        <v>0</v>
      </c>
      <c r="D413" s="106">
        <v>231077</v>
      </c>
      <c r="E413" s="106" t="s">
        <v>845</v>
      </c>
      <c r="F413" s="106" t="s">
        <v>846</v>
      </c>
      <c r="G413" s="106" t="s">
        <v>345</v>
      </c>
      <c r="H413" s="106">
        <v>7</v>
      </c>
      <c r="I413" s="106" t="s">
        <v>3641</v>
      </c>
      <c r="J413" s="106">
        <v>24000</v>
      </c>
      <c r="K413" s="106">
        <v>19637</v>
      </c>
      <c r="L413" s="106">
        <v>17300</v>
      </c>
      <c r="M413" s="106">
        <v>0.57999999999999996</v>
      </c>
      <c r="N413" s="106">
        <v>0.82</v>
      </c>
      <c r="O413" s="106">
        <v>1</v>
      </c>
      <c r="P413" s="106">
        <v>15707</v>
      </c>
      <c r="Q413" s="106">
        <v>7082.28</v>
      </c>
      <c r="R413" s="106">
        <v>0.37206271106854027</v>
      </c>
      <c r="S413" s="106">
        <v>20360.541818181817</v>
      </c>
      <c r="T413" s="106">
        <v>22125.283636363638</v>
      </c>
      <c r="U413" s="106">
        <v>17539.72</v>
      </c>
      <c r="V413" s="106">
        <v>0.68147599743999232</v>
      </c>
      <c r="W413" s="106">
        <v>60978.116022099442</v>
      </c>
      <c r="X413" s="110">
        <v>0.60465797007553512</v>
      </c>
      <c r="Y413" s="106">
        <v>361.52307692307699</v>
      </c>
      <c r="Z413" s="106">
        <v>12.692307692307693</v>
      </c>
      <c r="AA413" s="106">
        <v>56746.152941176471</v>
      </c>
      <c r="AB413" s="106">
        <v>615.78233116302818</v>
      </c>
      <c r="AC413" s="106">
        <v>1.7622339985524802</v>
      </c>
      <c r="AD413" s="106">
        <v>31.365313653136536</v>
      </c>
      <c r="AE413" s="106">
        <v>92.152941176470591</v>
      </c>
      <c r="AF413" s="106">
        <v>-0.88815315487535407</v>
      </c>
      <c r="AG413" s="106">
        <v>23000</v>
      </c>
      <c r="AH413" s="106">
        <v>21856.963636363635</v>
      </c>
      <c r="AI413" s="106">
        <v>22601.072727272727</v>
      </c>
      <c r="AJ413" s="106">
        <v>20880.898181818182</v>
      </c>
      <c r="AK413" s="104">
        <v>17539.72</v>
      </c>
      <c r="AL413" s="118"/>
      <c r="AM413" s="118">
        <v>237</v>
      </c>
      <c r="AN413" s="118">
        <v>7833</v>
      </c>
      <c r="AO413" s="118">
        <v>61</v>
      </c>
      <c r="AP413" s="118">
        <f t="shared" si="6"/>
        <v>1000</v>
      </c>
    </row>
    <row r="414" spans="1:42" ht="12.75">
      <c r="A414" s="106">
        <v>2018</v>
      </c>
      <c r="B414" s="106">
        <v>-190558</v>
      </c>
      <c r="C414" s="106">
        <v>0</v>
      </c>
      <c r="D414" s="106">
        <v>190558</v>
      </c>
      <c r="E414" s="106" t="s">
        <v>847</v>
      </c>
      <c r="F414" s="106" t="s">
        <v>848</v>
      </c>
      <c r="G414" s="106" t="s">
        <v>69</v>
      </c>
      <c r="H414" s="106">
        <v>2</v>
      </c>
      <c r="I414" s="106" t="s">
        <v>25</v>
      </c>
      <c r="J414" s="106">
        <v>7090</v>
      </c>
      <c r="K414" s="106">
        <v>6761</v>
      </c>
      <c r="L414" s="106">
        <v>4299</v>
      </c>
      <c r="M414" s="106">
        <v>0.63</v>
      </c>
      <c r="N414" s="106">
        <v>0.15</v>
      </c>
      <c r="O414" s="106">
        <v>0.01</v>
      </c>
      <c r="P414" s="106">
        <v>4953</v>
      </c>
      <c r="Q414" s="107">
        <v>1120.9944367176633</v>
      </c>
      <c r="R414" s="106">
        <v>0.1363186091221168</v>
      </c>
      <c r="S414" s="106">
        <v>16686.550301344461</v>
      </c>
      <c r="T414" s="106">
        <v>19384.923968474734</v>
      </c>
      <c r="U414" s="106">
        <v>15100.917136801278</v>
      </c>
      <c r="V414" s="106">
        <v>0.47032552484005974</v>
      </c>
      <c r="W414" s="106">
        <v>118091.58749999999</v>
      </c>
      <c r="X414" s="110">
        <v>0.76819878832278199</v>
      </c>
      <c r="Y414" s="106">
        <v>532.7610520425294</v>
      </c>
      <c r="Z414" s="106">
        <v>18.10576385002798</v>
      </c>
      <c r="AA414" s="106">
        <v>62185.334601146154</v>
      </c>
      <c r="AB414" s="106">
        <v>513.20125326266998</v>
      </c>
      <c r="AC414" s="106">
        <v>1.6080961956930093</v>
      </c>
      <c r="AD414" s="106">
        <v>23.054577464788732</v>
      </c>
      <c r="AE414" s="106">
        <v>121.17143948071784</v>
      </c>
      <c r="AF414" s="106">
        <v>0.14352890957792422</v>
      </c>
      <c r="AG414" s="106">
        <v>6530</v>
      </c>
      <c r="AH414" s="106">
        <v>17174.039499304588</v>
      </c>
      <c r="AI414" s="106">
        <v>17174.59629114511</v>
      </c>
      <c r="AJ414" s="106">
        <v>16690.534075104311</v>
      </c>
      <c r="AK414" s="104">
        <v>17342.586833565136</v>
      </c>
      <c r="AL414" s="118">
        <v>72540576</v>
      </c>
      <c r="AM414" s="118">
        <v>12509</v>
      </c>
      <c r="AN414" s="118">
        <v>317348</v>
      </c>
      <c r="AO414" s="118">
        <v>2297</v>
      </c>
      <c r="AP414" s="118">
        <f t="shared" si="6"/>
        <v>560</v>
      </c>
    </row>
    <row r="415" spans="1:42" ht="12.75">
      <c r="A415" s="106">
        <v>2018</v>
      </c>
      <c r="B415" s="106">
        <v>-197814</v>
      </c>
      <c r="C415" s="106">
        <v>0</v>
      </c>
      <c r="D415" s="106">
        <v>197814</v>
      </c>
      <c r="E415" s="106" t="s">
        <v>853</v>
      </c>
      <c r="F415" s="106" t="s">
        <v>854</v>
      </c>
      <c r="G415" s="106" t="s">
        <v>90</v>
      </c>
      <c r="H415" s="106">
        <v>4</v>
      </c>
      <c r="I415" s="106" t="s">
        <v>24</v>
      </c>
      <c r="J415" s="106">
        <v>2227</v>
      </c>
      <c r="K415" s="106">
        <v>5401</v>
      </c>
      <c r="L415" s="106">
        <v>4522</v>
      </c>
      <c r="M415" s="106">
        <v>0.46</v>
      </c>
      <c r="N415" s="106">
        <v>0.01</v>
      </c>
      <c r="O415" s="106">
        <v>0.15</v>
      </c>
      <c r="P415" s="106">
        <v>1318</v>
      </c>
      <c r="Q415" s="107">
        <v>132.46356033452807</v>
      </c>
      <c r="R415" s="106">
        <v>6.6623601767864166E-2</v>
      </c>
      <c r="S415" s="106">
        <v>12302.928315412186</v>
      </c>
      <c r="T415" s="106">
        <v>13427.527479091996</v>
      </c>
      <c r="U415" s="106">
        <v>12080.400238948627</v>
      </c>
      <c r="V415" s="106">
        <v>0.15361860177158315</v>
      </c>
      <c r="W415" s="106">
        <v>54492.778807947019</v>
      </c>
      <c r="X415" s="110">
        <v>0.61011703120086103</v>
      </c>
      <c r="Y415" s="106">
        <v>395.50393700787401</v>
      </c>
      <c r="Z415" s="106">
        <v>13.181102362204724</v>
      </c>
      <c r="AA415" s="106">
        <v>38519.219047619044</v>
      </c>
      <c r="AB415" s="106">
        <v>402.60785601943098</v>
      </c>
      <c r="AC415" s="106">
        <v>2.5961066312475309</v>
      </c>
      <c r="AD415" s="106">
        <v>36.893886156008435</v>
      </c>
      <c r="AE415" s="106">
        <v>95.674285714285716</v>
      </c>
      <c r="AF415" s="106">
        <v>-1.467145637787429E-2</v>
      </c>
      <c r="AG415" s="106">
        <v>2080</v>
      </c>
      <c r="AH415" s="106">
        <v>11101.007168458782</v>
      </c>
      <c r="AI415" s="106">
        <v>11253.974910394265</v>
      </c>
      <c r="AJ415" s="106">
        <v>12307.339307048984</v>
      </c>
      <c r="AK415" s="104">
        <v>13330.05615292712</v>
      </c>
      <c r="AL415" s="118">
        <v>14489415</v>
      </c>
      <c r="AM415" s="118">
        <v>2507</v>
      </c>
      <c r="AN415" s="118">
        <v>50229</v>
      </c>
      <c r="AO415" s="118">
        <v>367</v>
      </c>
      <c r="AP415" s="118">
        <f t="shared" si="6"/>
        <v>147</v>
      </c>
    </row>
    <row r="416" spans="1:42" ht="12.75">
      <c r="A416" s="106">
        <v>2018</v>
      </c>
      <c r="B416" s="106">
        <v>-160959</v>
      </c>
      <c r="C416" s="106">
        <v>0</v>
      </c>
      <c r="D416" s="106">
        <v>160959</v>
      </c>
      <c r="E416" s="106" t="s">
        <v>855</v>
      </c>
      <c r="F416" s="106" t="s">
        <v>856</v>
      </c>
      <c r="G416" s="106" t="s">
        <v>301</v>
      </c>
      <c r="H416" s="106">
        <v>7</v>
      </c>
      <c r="I416" s="106" t="s">
        <v>3641</v>
      </c>
      <c r="J416" s="106">
        <v>43542</v>
      </c>
      <c r="K416" s="106">
        <v>17279</v>
      </c>
      <c r="L416" s="106">
        <v>13482</v>
      </c>
      <c r="M416" s="106">
        <v>0.33</v>
      </c>
      <c r="N416" s="106">
        <v>0.55000000000000004</v>
      </c>
      <c r="O416" s="106">
        <v>1</v>
      </c>
      <c r="P416" s="106">
        <v>35906</v>
      </c>
      <c r="Q416" s="106">
        <v>30966.993975903613</v>
      </c>
      <c r="R416" s="106">
        <v>0.41419238656186669</v>
      </c>
      <c r="S416" s="106">
        <v>114655.73795180723</v>
      </c>
      <c r="T416" s="106">
        <v>75243.551204819276</v>
      </c>
      <c r="U416" s="106">
        <v>31104.243975903613</v>
      </c>
      <c r="V416" s="106">
        <v>1.4080961136419516</v>
      </c>
      <c r="W416" s="106">
        <v>101126.77528089887</v>
      </c>
      <c r="X416" s="110">
        <v>0.36028717026904478</v>
      </c>
      <c r="Y416" s="106">
        <v>396.8</v>
      </c>
      <c r="Z416" s="106">
        <v>13.28</v>
      </c>
      <c r="AA416" s="106">
        <v>129082.6125</v>
      </c>
      <c r="AB416" s="106">
        <v>1040.988810483871</v>
      </c>
      <c r="AC416" s="106">
        <v>0.77469767665261657</v>
      </c>
      <c r="AD416" s="106">
        <v>23.391812865497073</v>
      </c>
      <c r="AE416" s="106">
        <v>124</v>
      </c>
      <c r="AF416" s="106">
        <v>0.25071668211638598</v>
      </c>
      <c r="AG416" s="106">
        <v>42993</v>
      </c>
      <c r="AH416" s="106">
        <v>54270.156626506025</v>
      </c>
      <c r="AI416" s="106">
        <v>114860.15662650602</v>
      </c>
      <c r="AJ416" s="106">
        <v>130882.80421686747</v>
      </c>
      <c r="AK416" s="104">
        <v>31104.243975903613</v>
      </c>
      <c r="AM416" s="118">
        <v>349</v>
      </c>
      <c r="AN416" s="118">
        <v>9920</v>
      </c>
      <c r="AO416" s="118">
        <v>75</v>
      </c>
      <c r="AP416" s="118">
        <f t="shared" si="6"/>
        <v>549</v>
      </c>
    </row>
    <row r="417" spans="1:42" ht="12.75">
      <c r="A417" s="106">
        <v>2018</v>
      </c>
      <c r="B417" s="106">
        <v>-111461</v>
      </c>
      <c r="C417" s="106">
        <v>0</v>
      </c>
      <c r="D417" s="106">
        <v>111461</v>
      </c>
      <c r="E417" s="106" t="s">
        <v>857</v>
      </c>
      <c r="F417" s="106" t="s">
        <v>858</v>
      </c>
      <c r="G417" s="106" t="s">
        <v>121</v>
      </c>
      <c r="H417" s="106">
        <v>4</v>
      </c>
      <c r="I417" s="106" t="s">
        <v>24</v>
      </c>
      <c r="J417" s="106">
        <v>1154</v>
      </c>
      <c r="K417" s="106">
        <v>6504</v>
      </c>
      <c r="L417" s="106">
        <v>3642</v>
      </c>
      <c r="M417" s="106">
        <v>0.34</v>
      </c>
      <c r="N417" s="106">
        <v>0.02</v>
      </c>
      <c r="O417" s="106">
        <v>0.17</v>
      </c>
      <c r="P417" s="106">
        <v>233</v>
      </c>
      <c r="Q417" s="106"/>
      <c r="R417" s="106"/>
      <c r="S417" s="106">
        <v>13113.736801718846</v>
      </c>
      <c r="T417" s="106">
        <v>14117.882289748311</v>
      </c>
      <c r="U417" s="106">
        <v>9891.5993104399258</v>
      </c>
      <c r="V417" s="106">
        <v>0.17375902792298986</v>
      </c>
      <c r="W417" s="106">
        <v>149187.93855473821</v>
      </c>
      <c r="X417" s="110">
        <v>0.62464285392441377</v>
      </c>
      <c r="Y417" s="106">
        <v>1050.9408602150538</v>
      </c>
      <c r="Z417" s="106">
        <v>35.032258064516128</v>
      </c>
      <c r="AA417" s="106">
        <v>30076.370091846267</v>
      </c>
      <c r="AB417" s="106">
        <v>329.72841082914209</v>
      </c>
      <c r="AC417" s="106">
        <v>3.3248693141699999</v>
      </c>
      <c r="AD417" s="106">
        <v>38.984900855011823</v>
      </c>
      <c r="AE417" s="106">
        <v>91.215585627624819</v>
      </c>
      <c r="AF417" s="106">
        <v>0.72450972881227038</v>
      </c>
      <c r="AG417" s="106">
        <v>1104</v>
      </c>
      <c r="AH417" s="106">
        <v>12721.289057704113</v>
      </c>
      <c r="AI417" s="106">
        <v>12740.338167587477</v>
      </c>
      <c r="AJ417" s="106">
        <v>13232.007980356047</v>
      </c>
      <c r="AK417" s="104">
        <v>11854.198511356661</v>
      </c>
      <c r="AL417" s="119">
        <v>92321279</v>
      </c>
      <c r="AM417" s="118">
        <v>20008</v>
      </c>
      <c r="AN417" s="118">
        <v>390950</v>
      </c>
      <c r="AO417" s="118">
        <v>2601</v>
      </c>
      <c r="AP417" s="118">
        <f t="shared" si="6"/>
        <v>50</v>
      </c>
    </row>
    <row r="418" spans="1:42" ht="12.75">
      <c r="A418" s="106">
        <v>2018</v>
      </c>
      <c r="B418" s="106">
        <v>-113573</v>
      </c>
      <c r="C418" s="106">
        <v>0</v>
      </c>
      <c r="D418" s="106">
        <v>113573</v>
      </c>
      <c r="E418" s="106" t="s">
        <v>859</v>
      </c>
      <c r="F418" s="106" t="s">
        <v>860</v>
      </c>
      <c r="G418" s="106" t="s">
        <v>121</v>
      </c>
      <c r="H418" s="106">
        <v>4</v>
      </c>
      <c r="I418" s="106" t="s">
        <v>24</v>
      </c>
      <c r="J418" s="106">
        <v>1335</v>
      </c>
      <c r="K418" s="106">
        <v>11172</v>
      </c>
      <c r="L418" s="106">
        <v>8945</v>
      </c>
      <c r="M418" s="106">
        <v>0.62</v>
      </c>
      <c r="N418" s="106">
        <v>0</v>
      </c>
      <c r="O418" s="106">
        <v>0.21</v>
      </c>
      <c r="P418" s="106">
        <v>452</v>
      </c>
      <c r="Q418" s="106">
        <v>278.67118969298247</v>
      </c>
      <c r="R418" s="106">
        <v>0.15375528424254584</v>
      </c>
      <c r="S418" s="106">
        <v>17321.96134868421</v>
      </c>
      <c r="T418" s="106">
        <v>19001.674342105263</v>
      </c>
      <c r="U418" s="106">
        <v>13608.89441717007</v>
      </c>
      <c r="V418" s="106">
        <v>0.11270291431377349</v>
      </c>
      <c r="W418" s="106">
        <v>126961.35552913199</v>
      </c>
      <c r="X418" s="110">
        <v>0.51345169432495186</v>
      </c>
      <c r="Y418" s="106">
        <v>761.76682134570751</v>
      </c>
      <c r="Z418" s="106">
        <v>25.392111368909511</v>
      </c>
      <c r="AA418" s="106">
        <v>71586.513098538446</v>
      </c>
      <c r="AB418" s="106">
        <v>453.62774141050539</v>
      </c>
      <c r="AC418" s="106">
        <v>1.3969111732310602</v>
      </c>
      <c r="AD418" s="106">
        <v>20.850871918220086</v>
      </c>
      <c r="AE418" s="106">
        <v>157.80894015861571</v>
      </c>
      <c r="AF418" s="106">
        <v>-0.11575318069203724</v>
      </c>
      <c r="AG418" s="106">
        <v>1297</v>
      </c>
      <c r="AH418" s="106">
        <v>15681.047834429824</v>
      </c>
      <c r="AI418" s="106">
        <v>15681.047834429824</v>
      </c>
      <c r="AJ418" s="106">
        <v>17546.299479166668</v>
      </c>
      <c r="AK418" s="104">
        <v>17139.952028508771</v>
      </c>
      <c r="AL418" s="118">
        <v>86144736</v>
      </c>
      <c r="AM418" s="118">
        <v>11146</v>
      </c>
      <c r="AN418" s="118">
        <v>218881</v>
      </c>
      <c r="AO418" s="118">
        <v>1077</v>
      </c>
      <c r="AP418" s="118">
        <f t="shared" si="6"/>
        <v>38</v>
      </c>
    </row>
    <row r="419" spans="1:42" ht="12.75">
      <c r="A419" s="106">
        <v>2018</v>
      </c>
      <c r="B419" s="106">
        <v>-166124</v>
      </c>
      <c r="C419" s="106">
        <v>0</v>
      </c>
      <c r="D419" s="106">
        <v>166124</v>
      </c>
      <c r="E419" s="106" t="s">
        <v>861</v>
      </c>
      <c r="F419" s="106" t="s">
        <v>225</v>
      </c>
      <c r="G419" s="106" t="s">
        <v>150</v>
      </c>
      <c r="H419" s="106">
        <v>7</v>
      </c>
      <c r="I419" s="106" t="s">
        <v>3641</v>
      </c>
      <c r="J419" s="106">
        <v>50630</v>
      </c>
      <c r="K419" s="106">
        <v>29050</v>
      </c>
      <c r="L419" s="106">
        <v>13533</v>
      </c>
      <c r="M419" s="106">
        <v>0.15</v>
      </c>
      <c r="N419" s="106">
        <v>0.56000000000000005</v>
      </c>
      <c r="O419" s="106">
        <v>0.61</v>
      </c>
      <c r="P419" s="106">
        <v>35194</v>
      </c>
      <c r="Q419" s="106">
        <v>19922.290460526317</v>
      </c>
      <c r="R419" s="106">
        <v>0.39248177493597841</v>
      </c>
      <c r="S419" s="106">
        <v>63336.178289473683</v>
      </c>
      <c r="T419" s="106">
        <v>60172.365131578947</v>
      </c>
      <c r="U419" s="106">
        <v>48786.573272917733</v>
      </c>
      <c r="V419" s="106">
        <v>0.63208978083757239</v>
      </c>
      <c r="W419" s="106">
        <v>94692.580922098583</v>
      </c>
      <c r="X419" s="110">
        <v>0.54268108300064966</v>
      </c>
      <c r="Y419" s="106">
        <v>318.90909090909093</v>
      </c>
      <c r="Z419" s="106">
        <v>10.62937062937063</v>
      </c>
      <c r="AA419" s="106">
        <v>200691.72225936389</v>
      </c>
      <c r="AB419" s="106">
        <v>1626.0764708103445</v>
      </c>
      <c r="AC419" s="106">
        <v>0.49827665473299904</v>
      </c>
      <c r="AD419" s="106">
        <v>26.039464411557432</v>
      </c>
      <c r="AE419" s="106">
        <v>123.42083897158322</v>
      </c>
      <c r="AF419" s="106">
        <v>7.4345495068951065E-2</v>
      </c>
      <c r="AG419" s="106">
        <v>49980</v>
      </c>
      <c r="AH419" s="106">
        <v>47918.400000000001</v>
      </c>
      <c r="AI419" s="106">
        <v>63616.300328947371</v>
      </c>
      <c r="AJ419" s="106">
        <v>81867.997697368424</v>
      </c>
      <c r="AK419" s="104">
        <v>49215.130263157895</v>
      </c>
      <c r="AM419" s="118">
        <v>2855</v>
      </c>
      <c r="AN419" s="118">
        <v>91208</v>
      </c>
      <c r="AO419" s="118">
        <v>739</v>
      </c>
      <c r="AP419" s="118">
        <f t="shared" si="6"/>
        <v>650</v>
      </c>
    </row>
    <row r="420" spans="1:42" ht="12.75">
      <c r="A420" s="106">
        <v>2018</v>
      </c>
      <c r="B420" s="106">
        <v>-226408</v>
      </c>
      <c r="C420" s="106">
        <v>0</v>
      </c>
      <c r="D420" s="106">
        <v>226408</v>
      </c>
      <c r="E420" s="106" t="s">
        <v>862</v>
      </c>
      <c r="F420" s="106" t="s">
        <v>863</v>
      </c>
      <c r="G420" s="106" t="s">
        <v>60</v>
      </c>
      <c r="H420" s="106">
        <v>4</v>
      </c>
      <c r="I420" s="106" t="s">
        <v>24</v>
      </c>
      <c r="J420" s="106">
        <v>1773</v>
      </c>
      <c r="K420" s="106">
        <v>3454</v>
      </c>
      <c r="L420" s="106">
        <v>2951</v>
      </c>
      <c r="M420" s="106">
        <v>0.43</v>
      </c>
      <c r="N420" s="106">
        <v>0.05</v>
      </c>
      <c r="O420" s="106">
        <v>0.16</v>
      </c>
      <c r="P420" s="106">
        <v>1541</v>
      </c>
      <c r="Q420" s="106">
        <v>92.388376753507018</v>
      </c>
      <c r="R420" s="106">
        <v>2.75046577110384E-2</v>
      </c>
      <c r="S420" s="106">
        <v>18329.535470941883</v>
      </c>
      <c r="T420" s="106">
        <v>18806.957515030059</v>
      </c>
      <c r="U420" s="106">
        <v>13986.024068926714</v>
      </c>
      <c r="V420" s="106">
        <v>0.23356316448344569</v>
      </c>
      <c r="W420" s="106">
        <v>77884.428797468354</v>
      </c>
      <c r="X420" s="110">
        <v>0.69933838282975436</v>
      </c>
      <c r="Y420" s="106">
        <v>468.7014613778706</v>
      </c>
      <c r="Z420" s="106">
        <v>15.626304801670146</v>
      </c>
      <c r="AA420" s="106">
        <v>45142.470959860482</v>
      </c>
      <c r="AB420" s="106">
        <v>466.28801715714565</v>
      </c>
      <c r="AC420" s="106">
        <v>2.2152088238350403</v>
      </c>
      <c r="AD420" s="106">
        <v>34.694793536804305</v>
      </c>
      <c r="AE420" s="106">
        <v>96.8124191461837</v>
      </c>
      <c r="AF420" s="106">
        <v>-3.424559866502238E-2</v>
      </c>
      <c r="AG420" s="106">
        <v>1350</v>
      </c>
      <c r="AH420" s="106">
        <v>18185.166332665332</v>
      </c>
      <c r="AI420" s="106">
        <v>18185.166332665332</v>
      </c>
      <c r="AJ420" s="106">
        <v>18526.080961923846</v>
      </c>
      <c r="AK420" s="104">
        <v>15341.146693386774</v>
      </c>
      <c r="AL420" s="119">
        <v>31507527</v>
      </c>
      <c r="AM420" s="118">
        <v>4328</v>
      </c>
      <c r="AN420" s="118">
        <v>74836</v>
      </c>
      <c r="AO420" s="118">
        <v>569</v>
      </c>
      <c r="AP420" s="118">
        <f t="shared" si="6"/>
        <v>423</v>
      </c>
    </row>
    <row r="421" spans="1:42" ht="12.75">
      <c r="A421" s="106">
        <v>2018</v>
      </c>
      <c r="B421" s="106">
        <v>-107521</v>
      </c>
      <c r="C421" s="106">
        <v>0</v>
      </c>
      <c r="D421" s="106">
        <v>107521</v>
      </c>
      <c r="E421" s="106" t="s">
        <v>864</v>
      </c>
      <c r="F421" s="106" t="s">
        <v>865</v>
      </c>
      <c r="G421" s="106" t="s">
        <v>200</v>
      </c>
      <c r="H421" s="106">
        <v>4</v>
      </c>
      <c r="I421" s="106" t="s">
        <v>24</v>
      </c>
      <c r="J421" s="106">
        <v>3680</v>
      </c>
      <c r="K421" s="106">
        <v>8506</v>
      </c>
      <c r="L421" s="106">
        <v>7419</v>
      </c>
      <c r="M421" s="106">
        <v>0.67</v>
      </c>
      <c r="N421" s="106">
        <v>0.16</v>
      </c>
      <c r="O421" s="106">
        <v>0.19</v>
      </c>
      <c r="P421" s="106">
        <v>2074</v>
      </c>
      <c r="Q421" s="106">
        <v>94.559681697612731</v>
      </c>
      <c r="R421" s="106">
        <v>2.3795244355312679E-2</v>
      </c>
      <c r="S421" s="106">
        <v>16238.968169761274</v>
      </c>
      <c r="T421" s="106">
        <v>15791.145888594165</v>
      </c>
      <c r="U421" s="106">
        <v>12658.538461538461</v>
      </c>
      <c r="V421" s="106">
        <v>0.30645956881307401</v>
      </c>
      <c r="W421" s="106">
        <v>56167.852731591447</v>
      </c>
      <c r="X421" s="110">
        <v>0.66200866012616277</v>
      </c>
      <c r="Y421" s="106">
        <v>317.28504672897196</v>
      </c>
      <c r="Z421" s="106">
        <v>10.570093457943926</v>
      </c>
      <c r="AA421" s="106">
        <v>15174.14626391097</v>
      </c>
      <c r="AB421" s="106">
        <v>421.70892060265982</v>
      </c>
      <c r="AC421" s="106">
        <v>6.5901565900832493</v>
      </c>
      <c r="AD421" s="106">
        <v>92.228739002932542</v>
      </c>
      <c r="AE421" s="106">
        <v>35.982511923688392</v>
      </c>
      <c r="AF421" s="106">
        <v>0.12341208505337672</v>
      </c>
      <c r="AG421" s="106">
        <v>2850</v>
      </c>
      <c r="AH421" s="106">
        <v>15734.766578249337</v>
      </c>
      <c r="AI421" s="106">
        <v>15754.628647214855</v>
      </c>
      <c r="AJ421" s="106">
        <v>16308.331564986738</v>
      </c>
      <c r="AK421" s="104">
        <v>13313.303713527852</v>
      </c>
      <c r="AL421" s="119">
        <v>4669112</v>
      </c>
      <c r="AM421" s="118">
        <v>1272</v>
      </c>
      <c r="AN421" s="118">
        <v>22633</v>
      </c>
      <c r="AO421" s="118">
        <v>136</v>
      </c>
      <c r="AP421" s="118">
        <f t="shared" si="6"/>
        <v>830</v>
      </c>
    </row>
    <row r="422" spans="1:42" ht="12.75">
      <c r="A422" s="106">
        <v>2018</v>
      </c>
      <c r="B422" s="106">
        <v>-178697</v>
      </c>
      <c r="C422" s="106">
        <v>0</v>
      </c>
      <c r="D422" s="106">
        <v>178697</v>
      </c>
      <c r="E422" s="106" t="s">
        <v>866</v>
      </c>
      <c r="F422" s="106" t="s">
        <v>867</v>
      </c>
      <c r="G422" s="106" t="s">
        <v>264</v>
      </c>
      <c r="H422" s="106">
        <v>7</v>
      </c>
      <c r="I422" s="106" t="s">
        <v>3641</v>
      </c>
      <c r="J422" s="106">
        <v>19130</v>
      </c>
      <c r="K422" s="106">
        <v>13077</v>
      </c>
      <c r="L422" s="106">
        <v>10152</v>
      </c>
      <c r="M422" s="106">
        <v>0.62</v>
      </c>
      <c r="N422" s="106">
        <v>0</v>
      </c>
      <c r="O422" s="106">
        <v>0.99</v>
      </c>
      <c r="P422" s="106">
        <v>12963</v>
      </c>
      <c r="Q422" s="106">
        <v>18021.187987987989</v>
      </c>
      <c r="R422" s="106">
        <v>0.96740156155639523</v>
      </c>
      <c r="S422" s="106">
        <v>26620.815615615615</v>
      </c>
      <c r="T422" s="106">
        <v>29658.012012012012</v>
      </c>
      <c r="U422" s="106">
        <v>18925.123933172545</v>
      </c>
      <c r="V422" s="106">
        <v>3.208741250004906E-2</v>
      </c>
      <c r="W422" s="106">
        <v>68892.991354466852</v>
      </c>
      <c r="X422" s="110">
        <v>0.48411466934680203</v>
      </c>
      <c r="Y422" s="106">
        <v>449.96396396396398</v>
      </c>
      <c r="Z422" s="106">
        <v>15</v>
      </c>
      <c r="AA422" s="106">
        <v>127057.78769650115</v>
      </c>
      <c r="AB422" s="106">
        <v>630.8879859995252</v>
      </c>
      <c r="AC422" s="106">
        <v>0.78704345332115155</v>
      </c>
      <c r="AD422" s="106">
        <v>16.655473472128946</v>
      </c>
      <c r="AE422" s="106">
        <v>201.39516129032259</v>
      </c>
      <c r="AF422" s="106">
        <v>9.9432296164862252E-2</v>
      </c>
      <c r="AG422" s="106">
        <v>18700</v>
      </c>
      <c r="AH422" s="106">
        <v>19942.244444444445</v>
      </c>
      <c r="AI422" s="106">
        <v>28442.204804804805</v>
      </c>
      <c r="AJ422" s="106">
        <v>64758.991591591592</v>
      </c>
      <c r="AK422" s="104">
        <v>21313.301501501501</v>
      </c>
      <c r="AL422" s="118"/>
      <c r="AM422" s="118">
        <v>1508</v>
      </c>
      <c r="AN422" s="118">
        <v>49946</v>
      </c>
      <c r="AO422" s="118">
        <v>248</v>
      </c>
      <c r="AP422" s="118">
        <f t="shared" si="6"/>
        <v>430</v>
      </c>
    </row>
    <row r="423" spans="1:42" ht="12.75">
      <c r="A423" s="106">
        <v>2018</v>
      </c>
      <c r="B423" s="106">
        <v>-121707</v>
      </c>
      <c r="C423" s="106">
        <v>0</v>
      </c>
      <c r="D423" s="106">
        <v>121707</v>
      </c>
      <c r="E423" s="106" t="s">
        <v>868</v>
      </c>
      <c r="F423" s="106" t="s">
        <v>869</v>
      </c>
      <c r="G423" s="106" t="s">
        <v>121</v>
      </c>
      <c r="H423" s="106">
        <v>4</v>
      </c>
      <c r="I423" s="106" t="s">
        <v>24</v>
      </c>
      <c r="J423" s="106">
        <v>1182</v>
      </c>
      <c r="K423" s="106">
        <v>5710</v>
      </c>
      <c r="L423" s="106">
        <v>3645</v>
      </c>
      <c r="M423" s="106">
        <v>0.62</v>
      </c>
      <c r="N423" s="106">
        <v>0.14000000000000001</v>
      </c>
      <c r="O423" s="106">
        <v>0.08</v>
      </c>
      <c r="P423" s="106">
        <v>1210</v>
      </c>
      <c r="Q423" s="106"/>
      <c r="R423" s="106"/>
      <c r="S423" s="106">
        <v>17529.216517055655</v>
      </c>
      <c r="T423" s="106">
        <v>19973.678635547578</v>
      </c>
      <c r="U423" s="106">
        <v>15366.460682226212</v>
      </c>
      <c r="V423" s="106">
        <v>6.5368272849963785E-2</v>
      </c>
      <c r="W423" s="106">
        <v>96971.642716535425</v>
      </c>
      <c r="X423" s="110">
        <v>0.59038314248222012</v>
      </c>
      <c r="Y423" s="106">
        <v>511.50612244897962</v>
      </c>
      <c r="Z423" s="106">
        <v>17.051020408163268</v>
      </c>
      <c r="AA423" s="106">
        <v>62566.656432748539</v>
      </c>
      <c r="AB423" s="106">
        <v>512.23987982668234</v>
      </c>
      <c r="AC423" s="106">
        <v>1.5982954132683711</v>
      </c>
      <c r="AD423" s="106">
        <v>26.918536009445099</v>
      </c>
      <c r="AE423" s="106">
        <v>122.14327485380117</v>
      </c>
      <c r="AF423" s="106">
        <v>-6.7731076213116179E-2</v>
      </c>
      <c r="AG423" s="106">
        <v>1143</v>
      </c>
      <c r="AH423" s="106">
        <v>15173.666786355476</v>
      </c>
      <c r="AI423" s="106">
        <v>15173.666786355476</v>
      </c>
      <c r="AJ423" s="106">
        <v>17565.254937163376</v>
      </c>
      <c r="AK423" s="104">
        <v>18045.905924596049</v>
      </c>
      <c r="AL423" s="119">
        <v>26366455</v>
      </c>
      <c r="AM423" s="118">
        <v>4399</v>
      </c>
      <c r="AN423" s="118">
        <v>83546</v>
      </c>
      <c r="AO423" s="118">
        <v>519</v>
      </c>
      <c r="AP423" s="118">
        <f t="shared" si="6"/>
        <v>39</v>
      </c>
    </row>
    <row r="424" spans="1:42" ht="12.75">
      <c r="A424" s="106">
        <v>2018</v>
      </c>
      <c r="B424" s="106">
        <v>-123217</v>
      </c>
      <c r="C424" s="106">
        <v>0</v>
      </c>
      <c r="D424" s="106">
        <v>123217</v>
      </c>
      <c r="E424" s="106" t="s">
        <v>870</v>
      </c>
      <c r="F424" s="106" t="s">
        <v>871</v>
      </c>
      <c r="G424" s="106" t="s">
        <v>121</v>
      </c>
      <c r="H424" s="106">
        <v>4</v>
      </c>
      <c r="I424" s="106" t="s">
        <v>24</v>
      </c>
      <c r="J424" s="106">
        <v>1390</v>
      </c>
      <c r="K424" s="106">
        <v>2347</v>
      </c>
      <c r="L424" s="106">
        <v>710</v>
      </c>
      <c r="M424" s="106">
        <v>0.65</v>
      </c>
      <c r="N424" s="106">
        <v>0.01</v>
      </c>
      <c r="O424" s="106">
        <v>0</v>
      </c>
      <c r="P424" s="106"/>
      <c r="Q424" s="106"/>
      <c r="R424" s="106"/>
      <c r="S424" s="106">
        <v>14877.584198813056</v>
      </c>
      <c r="T424" s="106">
        <v>15316.83246785361</v>
      </c>
      <c r="U424" s="106">
        <v>11206.382171117706</v>
      </c>
      <c r="V424" s="106">
        <v>0.14137062170894718</v>
      </c>
      <c r="W424" s="106">
        <v>121696.28784119106</v>
      </c>
      <c r="X424" s="110">
        <v>0.52785058711380484</v>
      </c>
      <c r="Y424" s="106">
        <v>812.37053571428567</v>
      </c>
      <c r="Z424" s="106">
        <v>27.080357142857142</v>
      </c>
      <c r="AA424" s="106">
        <v>37812.773884021692</v>
      </c>
      <c r="AB424" s="106">
        <v>373.56454737293308</v>
      </c>
      <c r="AC424" s="106">
        <v>2.6446089437055651</v>
      </c>
      <c r="AD424" s="106">
        <v>31.727332892124423</v>
      </c>
      <c r="AE424" s="106">
        <v>101.22152690863579</v>
      </c>
      <c r="AF424" s="106">
        <v>-2.3667540024070427E-2</v>
      </c>
      <c r="AG424" s="106">
        <v>1288</v>
      </c>
      <c r="AH424" s="106">
        <v>13340.664193867458</v>
      </c>
      <c r="AI424" s="106">
        <v>13376.341864490603</v>
      </c>
      <c r="AJ424" s="106">
        <v>14922.100890207716</v>
      </c>
      <c r="AK424" s="104">
        <v>13423.712289812067</v>
      </c>
      <c r="AL424" s="118">
        <v>71391742</v>
      </c>
      <c r="AM424" s="118">
        <v>12277</v>
      </c>
      <c r="AN424" s="118">
        <v>242628</v>
      </c>
      <c r="AO424" s="118">
        <v>1402</v>
      </c>
      <c r="AP424" s="118">
        <f t="shared" si="6"/>
        <v>102</v>
      </c>
    </row>
    <row r="425" spans="1:42" ht="12.75">
      <c r="A425" s="106">
        <v>2018</v>
      </c>
      <c r="B425" s="106">
        <v>-123484</v>
      </c>
      <c r="C425" s="106">
        <v>0</v>
      </c>
      <c r="D425" s="106">
        <v>123484</v>
      </c>
      <c r="E425" s="106" t="s">
        <v>872</v>
      </c>
      <c r="F425" s="106" t="s">
        <v>873</v>
      </c>
      <c r="G425" s="106" t="s">
        <v>121</v>
      </c>
      <c r="H425" s="106">
        <v>4</v>
      </c>
      <c r="I425" s="106" t="s">
        <v>24</v>
      </c>
      <c r="J425" s="106">
        <v>1154</v>
      </c>
      <c r="K425" s="106">
        <v>8208</v>
      </c>
      <c r="L425" s="106">
        <v>6290</v>
      </c>
      <c r="M425" s="106">
        <v>0.53</v>
      </c>
      <c r="N425" s="106">
        <v>0.2</v>
      </c>
      <c r="O425" s="106">
        <v>0.22</v>
      </c>
      <c r="P425" s="106">
        <v>400</v>
      </c>
      <c r="Q425" s="106"/>
      <c r="R425" s="106"/>
      <c r="S425" s="106">
        <v>25892.73544973545</v>
      </c>
      <c r="T425" s="106">
        <v>28895.000755857898</v>
      </c>
      <c r="U425" s="106">
        <v>22978.566908419431</v>
      </c>
      <c r="V425" s="106">
        <v>0.10273163943375399</v>
      </c>
      <c r="W425" s="106">
        <v>116138.98249027236</v>
      </c>
      <c r="X425" s="110">
        <v>0.52051988687061135</v>
      </c>
      <c r="Y425" s="106">
        <v>567.12857142857138</v>
      </c>
      <c r="Z425" s="106">
        <v>18.899999999999999</v>
      </c>
      <c r="AA425" s="106">
        <v>91568.204879032855</v>
      </c>
      <c r="AB425" s="106">
        <v>765.77858434315488</v>
      </c>
      <c r="AC425" s="106">
        <v>1.0920821275475048</v>
      </c>
      <c r="AD425" s="106">
        <v>26.328310864393341</v>
      </c>
      <c r="AE425" s="106">
        <v>119.57530120481928</v>
      </c>
      <c r="AF425" s="106">
        <v>-0.53001329809140296</v>
      </c>
      <c r="AG425" s="106">
        <v>1104</v>
      </c>
      <c r="AH425" s="106">
        <v>24403.040816326531</v>
      </c>
      <c r="AI425" s="106">
        <v>24403.040816326531</v>
      </c>
      <c r="AJ425" s="106">
        <v>25956.916099773243</v>
      </c>
      <c r="AK425" s="104">
        <v>25781.661375661377</v>
      </c>
      <c r="AL425" s="118">
        <v>18768978</v>
      </c>
      <c r="AM425" s="118">
        <v>2111</v>
      </c>
      <c r="AN425" s="118">
        <v>39699</v>
      </c>
      <c r="AO425" s="118">
        <v>220</v>
      </c>
      <c r="AP425" s="118">
        <f t="shared" si="6"/>
        <v>50</v>
      </c>
    </row>
    <row r="426" spans="1:42" ht="12.75">
      <c r="A426" s="106">
        <v>2018</v>
      </c>
      <c r="B426" s="106">
        <v>-455114</v>
      </c>
      <c r="C426" s="106">
        <v>0</v>
      </c>
      <c r="D426" s="106">
        <v>455114</v>
      </c>
      <c r="E426" s="106" t="s">
        <v>849</v>
      </c>
      <c r="F426" s="106" t="s">
        <v>850</v>
      </c>
      <c r="G426" s="106" t="s">
        <v>418</v>
      </c>
      <c r="H426" s="106">
        <v>4</v>
      </c>
      <c r="I426" s="106" t="s">
        <v>24</v>
      </c>
      <c r="J426" s="106">
        <v>3336</v>
      </c>
      <c r="K426" s="106">
        <v>4883</v>
      </c>
      <c r="L426" s="106">
        <v>4331</v>
      </c>
      <c r="M426" s="106">
        <v>0.59</v>
      </c>
      <c r="N426" s="106">
        <v>0.39</v>
      </c>
      <c r="O426" s="106">
        <v>0.19</v>
      </c>
      <c r="P426" s="106">
        <v>983</v>
      </c>
      <c r="Q426" s="106">
        <v>55.509377344336087</v>
      </c>
      <c r="R426" s="106">
        <v>1.1820887655781577E-2</v>
      </c>
      <c r="S426" s="106">
        <v>10578.200900225056</v>
      </c>
      <c r="T426" s="106">
        <v>9711.3440360090026</v>
      </c>
      <c r="U426" s="106">
        <v>8641.3551324301989</v>
      </c>
      <c r="V426" s="106">
        <v>0.53699480227155882</v>
      </c>
      <c r="W426" s="106">
        <v>50551.07300275482</v>
      </c>
      <c r="X426" s="110">
        <v>0.56700580544716206</v>
      </c>
      <c r="Y426" s="106">
        <v>743.25278810408918</v>
      </c>
      <c r="Z426" s="106">
        <v>24.776951672862452</v>
      </c>
      <c r="AA426" s="106">
        <v>32911.218261512724</v>
      </c>
      <c r="AB426" s="106">
        <v>288.06678149222131</v>
      </c>
      <c r="AC426" s="106">
        <v>3.0384776159119795</v>
      </c>
      <c r="AD426" s="106">
        <v>32.204637467795358</v>
      </c>
      <c r="AE426" s="106">
        <v>114.24857142857142</v>
      </c>
      <c r="AF426" s="106">
        <v>5.669141586436631E-2</v>
      </c>
      <c r="AG426" s="106">
        <v>2400</v>
      </c>
      <c r="AH426" s="106">
        <v>9764.7473368342089</v>
      </c>
      <c r="AI426" s="106">
        <v>9768.0624156039012</v>
      </c>
      <c r="AJ426" s="106">
        <v>10585.909227306827</v>
      </c>
      <c r="AK426" s="104">
        <v>9641.8247561890475</v>
      </c>
      <c r="AL426" s="119">
        <v>29620170</v>
      </c>
      <c r="AM426" s="118">
        <v>10303</v>
      </c>
      <c r="AN426" s="118">
        <v>199935</v>
      </c>
      <c r="AO426" s="118">
        <v>984</v>
      </c>
      <c r="AP426" s="118">
        <f t="shared" si="6"/>
        <v>936</v>
      </c>
    </row>
    <row r="427" spans="1:42" ht="12.75">
      <c r="A427" s="106">
        <v>2018</v>
      </c>
      <c r="B427" s="106">
        <v>-231624</v>
      </c>
      <c r="C427" s="106">
        <v>0</v>
      </c>
      <c r="D427" s="106">
        <v>231624</v>
      </c>
      <c r="E427" s="106" t="s">
        <v>851</v>
      </c>
      <c r="F427" s="106" t="s">
        <v>852</v>
      </c>
      <c r="G427" s="106" t="s">
        <v>261</v>
      </c>
      <c r="H427" s="106">
        <v>1</v>
      </c>
      <c r="I427" s="106" t="s">
        <v>23</v>
      </c>
      <c r="J427" s="106">
        <v>20287</v>
      </c>
      <c r="K427" s="107">
        <v>15622</v>
      </c>
      <c r="L427" s="107">
        <v>997</v>
      </c>
      <c r="M427" s="107">
        <v>0.13</v>
      </c>
      <c r="N427" s="107">
        <v>0.25</v>
      </c>
      <c r="O427" s="107">
        <v>0.43</v>
      </c>
      <c r="P427" s="107">
        <v>18649</v>
      </c>
      <c r="Q427" s="107">
        <v>2739.594504098834</v>
      </c>
      <c r="R427" s="106">
        <v>0.11472912205126896</v>
      </c>
      <c r="S427" s="106">
        <v>50302.677058076435</v>
      </c>
      <c r="T427" s="106">
        <v>52549.387253204019</v>
      </c>
      <c r="U427" s="106">
        <v>26000.618119435432</v>
      </c>
      <c r="V427" s="106">
        <v>0.81302728603047048</v>
      </c>
      <c r="W427" s="106">
        <v>101819.30766197923</v>
      </c>
      <c r="X427" s="110">
        <v>0.56741494983448071</v>
      </c>
      <c r="Y427" s="106">
        <v>289.63476807354789</v>
      </c>
      <c r="Z427" s="106">
        <v>10.857918930213122</v>
      </c>
      <c r="AA427" s="106">
        <v>85754.513911816568</v>
      </c>
      <c r="AB427" s="106">
        <v>974.71931824349133</v>
      </c>
      <c r="AC427" s="106">
        <v>1.1661193730610195</v>
      </c>
      <c r="AD427" s="106">
        <v>31.834161716571707</v>
      </c>
      <c r="AE427" s="106">
        <v>87.978674790555985</v>
      </c>
      <c r="AF427" s="106">
        <v>3.3720707565147459E-2</v>
      </c>
      <c r="AG427" s="106">
        <v>14613</v>
      </c>
      <c r="AH427" s="106">
        <v>48233.34060732017</v>
      </c>
      <c r="AI427" s="106">
        <v>53690.126659739057</v>
      </c>
      <c r="AJ427" s="106">
        <v>51049.05761459416</v>
      </c>
      <c r="AK427" s="104">
        <v>38333.161990532273</v>
      </c>
      <c r="AL427" s="119">
        <v>70039201</v>
      </c>
      <c r="AM427" s="118">
        <v>6285</v>
      </c>
      <c r="AN427" s="118">
        <v>231032</v>
      </c>
      <c r="AO427" s="118">
        <v>1558</v>
      </c>
      <c r="AP427" s="118">
        <f t="shared" si="6"/>
        <v>5674</v>
      </c>
    </row>
    <row r="428" spans="1:42" ht="12.75">
      <c r="A428" s="106">
        <v>2018</v>
      </c>
      <c r="B428" s="106">
        <v>-448752</v>
      </c>
      <c r="C428" s="106">
        <v>0</v>
      </c>
      <c r="D428" s="106">
        <v>448752</v>
      </c>
      <c r="E428" s="106" t="s">
        <v>875</v>
      </c>
      <c r="F428" s="106" t="s">
        <v>876</v>
      </c>
      <c r="G428" s="106" t="s">
        <v>66</v>
      </c>
      <c r="H428" s="106">
        <v>7</v>
      </c>
      <c r="I428" s="106" t="s">
        <v>3641</v>
      </c>
      <c r="J428" s="106">
        <v>18021</v>
      </c>
      <c r="K428" s="106">
        <v>25355</v>
      </c>
      <c r="L428" s="106">
        <v>23063</v>
      </c>
      <c r="M428" s="106">
        <v>0.88</v>
      </c>
      <c r="N428" s="106">
        <v>0.93</v>
      </c>
      <c r="O428" s="106">
        <v>0.37</v>
      </c>
      <c r="P428" s="106">
        <v>3426</v>
      </c>
      <c r="Q428" s="106">
        <v>1635.7446808510638</v>
      </c>
      <c r="R428" s="106">
        <v>0.10542003122286825</v>
      </c>
      <c r="S428" s="106">
        <v>13880.705673758865</v>
      </c>
      <c r="T428" s="106">
        <v>15608.453900709221</v>
      </c>
      <c r="U428" s="106">
        <v>15608.453900709221</v>
      </c>
      <c r="V428" s="106">
        <v>0.88930689497235538</v>
      </c>
      <c r="W428" s="106">
        <v>43649.202531645569</v>
      </c>
      <c r="X428" s="110">
        <v>0.26113985328917955</v>
      </c>
      <c r="Y428" s="106">
        <v>876.62068965517233</v>
      </c>
      <c r="Z428" s="106">
        <v>29.172413793103445</v>
      </c>
      <c r="AA428" s="106">
        <v>93650.723404255317</v>
      </c>
      <c r="AB428" s="106">
        <v>519.42223271182445</v>
      </c>
      <c r="AC428" s="106">
        <v>1.0677974111138173</v>
      </c>
      <c r="AD428" s="106">
        <v>22.815533980582526</v>
      </c>
      <c r="AE428" s="106">
        <v>180.29787234042553</v>
      </c>
      <c r="AF428" s="106">
        <v>-0.235250580115094</v>
      </c>
      <c r="AG428" s="106">
        <v>18021</v>
      </c>
      <c r="AH428" s="106">
        <v>13880.705673758865</v>
      </c>
      <c r="AI428" s="106">
        <v>13880.705673758865</v>
      </c>
      <c r="AJ428" s="106">
        <v>13880.705673758865</v>
      </c>
      <c r="AK428" s="104">
        <v>15608.453900709221</v>
      </c>
      <c r="AL428" s="118"/>
      <c r="AM428" s="118">
        <v>206</v>
      </c>
      <c r="AN428" s="118">
        <v>8474</v>
      </c>
      <c r="AO428" s="118">
        <v>47</v>
      </c>
      <c r="AP428" s="118">
        <f t="shared" si="6"/>
        <v>0</v>
      </c>
    </row>
    <row r="429" spans="1:42" ht="12.75">
      <c r="A429" s="106">
        <v>2018</v>
      </c>
      <c r="B429" s="106">
        <v>-247834</v>
      </c>
      <c r="C429" s="106">
        <v>0</v>
      </c>
      <c r="D429" s="106">
        <v>247834</v>
      </c>
      <c r="E429" s="106" t="s">
        <v>877</v>
      </c>
      <c r="F429" s="106" t="s">
        <v>878</v>
      </c>
      <c r="G429" s="106" t="s">
        <v>60</v>
      </c>
      <c r="H429" s="106">
        <v>4</v>
      </c>
      <c r="I429" s="106" t="s">
        <v>24</v>
      </c>
      <c r="J429" s="106">
        <v>1384</v>
      </c>
      <c r="K429" s="107">
        <v>5471</v>
      </c>
      <c r="L429" s="107">
        <v>4460</v>
      </c>
      <c r="M429" s="107">
        <v>0.32</v>
      </c>
      <c r="N429" s="107">
        <v>0.15</v>
      </c>
      <c r="O429" s="107">
        <v>0.03</v>
      </c>
      <c r="P429" s="107">
        <v>1686</v>
      </c>
      <c r="Q429" s="107">
        <v>100.96373394863564</v>
      </c>
      <c r="R429" s="106">
        <v>4.293139507981833E-2</v>
      </c>
      <c r="S429" s="106">
        <v>10546.263292536116</v>
      </c>
      <c r="T429" s="106">
        <v>9117.0775983146068</v>
      </c>
      <c r="U429" s="106">
        <v>8016.1622243881448</v>
      </c>
      <c r="V429" s="106">
        <v>0.28078052065888126</v>
      </c>
      <c r="W429" s="106">
        <v>76119.146020609522</v>
      </c>
      <c r="X429" s="110">
        <v>0.63670615562636479</v>
      </c>
      <c r="Y429" s="106">
        <v>825.69995398067192</v>
      </c>
      <c r="Z429" s="106">
        <v>27.523239760699497</v>
      </c>
      <c r="AA429" s="106">
        <v>45777.774306904052</v>
      </c>
      <c r="AB429" s="106">
        <v>267.20451393856035</v>
      </c>
      <c r="AC429" s="106">
        <v>2.1844661850438265</v>
      </c>
      <c r="AD429" s="106">
        <v>20.053998161764707</v>
      </c>
      <c r="AE429" s="106">
        <v>171.32111142938987</v>
      </c>
      <c r="AF429" s="106">
        <v>6.6992870157569134E-2</v>
      </c>
      <c r="AG429" s="106">
        <v>1320</v>
      </c>
      <c r="AH429" s="106">
        <v>9859.5256320224726</v>
      </c>
      <c r="AI429" s="106">
        <v>9861.0339586677364</v>
      </c>
      <c r="AJ429" s="106">
        <v>10866.073635634029</v>
      </c>
      <c r="AK429" s="104">
        <v>9004.0183085874796</v>
      </c>
      <c r="AL429" s="118">
        <v>142496847</v>
      </c>
      <c r="AM429" s="118">
        <v>31609</v>
      </c>
      <c r="AN429" s="118">
        <v>598082</v>
      </c>
      <c r="AO429" s="118">
        <v>2786</v>
      </c>
      <c r="AP429" s="118">
        <f t="shared" si="6"/>
        <v>64</v>
      </c>
    </row>
    <row r="430" spans="1:42" ht="12.75">
      <c r="A430" s="106">
        <v>2018</v>
      </c>
      <c r="B430" s="106">
        <v>-126669</v>
      </c>
      <c r="C430" s="106">
        <v>0</v>
      </c>
      <c r="D430" s="106">
        <v>126669</v>
      </c>
      <c r="E430" s="106" t="s">
        <v>879</v>
      </c>
      <c r="F430" s="106" t="s">
        <v>784</v>
      </c>
      <c r="G430" s="106" t="s">
        <v>66</v>
      </c>
      <c r="H430" s="106">
        <v>6</v>
      </c>
      <c r="I430" s="106" t="s">
        <v>3640</v>
      </c>
      <c r="J430" s="106">
        <v>22310</v>
      </c>
      <c r="K430" s="106">
        <v>25031</v>
      </c>
      <c r="L430" s="106">
        <v>21859</v>
      </c>
      <c r="M430" s="106">
        <v>0.25</v>
      </c>
      <c r="N430" s="106">
        <v>0.55000000000000004</v>
      </c>
      <c r="O430" s="106">
        <v>0.98</v>
      </c>
      <c r="P430" s="106">
        <v>16627</v>
      </c>
      <c r="Q430" s="106">
        <v>4392.9127516778526</v>
      </c>
      <c r="R430" s="106">
        <v>0.25290689183510945</v>
      </c>
      <c r="S430" s="106">
        <v>15983.915109740614</v>
      </c>
      <c r="T430" s="106">
        <v>14121.625974968258</v>
      </c>
      <c r="U430" s="106">
        <v>11839.323217329746</v>
      </c>
      <c r="V430" s="106">
        <v>1.0960737238365184</v>
      </c>
      <c r="W430" s="106">
        <v>69943.815882352952</v>
      </c>
      <c r="X430" s="110">
        <v>0.50910140048895525</v>
      </c>
      <c r="Y430" s="106">
        <v>704.37026239067063</v>
      </c>
      <c r="Z430" s="106">
        <v>24.109329446064141</v>
      </c>
      <c r="AA430" s="106">
        <v>52091.132399951224</v>
      </c>
      <c r="AB430" s="106">
        <v>405.23877725366549</v>
      </c>
      <c r="AC430" s="106">
        <v>1.9197125382533176</v>
      </c>
      <c r="AD430" s="106">
        <v>29.153094462540718</v>
      </c>
      <c r="AE430" s="106">
        <v>128.54429369513167</v>
      </c>
      <c r="AF430" s="106">
        <v>0.10243477583540639</v>
      </c>
      <c r="AG430" s="106">
        <v>21810</v>
      </c>
      <c r="AH430" s="106">
        <v>15406.414837656448</v>
      </c>
      <c r="AI430" s="106">
        <v>16303.243968801016</v>
      </c>
      <c r="AJ430" s="106">
        <v>16113.438418284057</v>
      </c>
      <c r="AK430" s="104">
        <v>12480.810085253039</v>
      </c>
      <c r="AM430" s="118">
        <v>6537</v>
      </c>
      <c r="AN430" s="118">
        <v>161066</v>
      </c>
      <c r="AO430" s="118">
        <v>943</v>
      </c>
      <c r="AP430" s="118">
        <f t="shared" si="6"/>
        <v>500</v>
      </c>
    </row>
    <row r="431" spans="1:42" ht="12.75">
      <c r="A431" s="106">
        <v>2018</v>
      </c>
      <c r="B431" s="106">
        <v>-126678</v>
      </c>
      <c r="C431" s="106">
        <v>0</v>
      </c>
      <c r="D431" s="106">
        <v>126678</v>
      </c>
      <c r="E431" s="106" t="s">
        <v>880</v>
      </c>
      <c r="F431" s="106" t="s">
        <v>876</v>
      </c>
      <c r="G431" s="106" t="s">
        <v>66</v>
      </c>
      <c r="H431" s="106">
        <v>7</v>
      </c>
      <c r="I431" s="106" t="s">
        <v>3641</v>
      </c>
      <c r="J431" s="106">
        <v>52818</v>
      </c>
      <c r="K431" s="107">
        <v>28390</v>
      </c>
      <c r="L431" s="107">
        <v>7300</v>
      </c>
      <c r="M431" s="107">
        <v>0.12</v>
      </c>
      <c r="N431" s="107">
        <v>0.25</v>
      </c>
      <c r="O431" s="107">
        <v>0.45</v>
      </c>
      <c r="P431" s="107">
        <v>38710</v>
      </c>
      <c r="Q431" s="106">
        <v>17079.780062583817</v>
      </c>
      <c r="R431" s="106">
        <v>0.31747524825201717</v>
      </c>
      <c r="S431" s="106">
        <v>55620.618685739828</v>
      </c>
      <c r="T431" s="106">
        <v>69196.514975413505</v>
      </c>
      <c r="U431" s="106">
        <v>59609.407536219638</v>
      </c>
      <c r="V431" s="106">
        <v>0.6159933203244482</v>
      </c>
      <c r="W431" s="106">
        <v>89630.377042646462</v>
      </c>
      <c r="X431" s="110">
        <v>0.48426649635017444</v>
      </c>
      <c r="Y431" s="106">
        <v>322.84894259818731</v>
      </c>
      <c r="Z431" s="106">
        <v>10.137462235649547</v>
      </c>
      <c r="AA431" s="106">
        <v>244672.00854774925</v>
      </c>
      <c r="AB431" s="106">
        <v>1871.7364006979496</v>
      </c>
      <c r="AC431" s="106">
        <v>0.40871042255119422</v>
      </c>
      <c r="AD431" s="106">
        <v>25.866160417655433</v>
      </c>
      <c r="AE431" s="106">
        <v>130.71926605504586</v>
      </c>
      <c r="AF431" s="106">
        <v>2.6542248250490185E-2</v>
      </c>
      <c r="AG431" s="106">
        <v>52380</v>
      </c>
      <c r="AH431" s="106">
        <v>49439.0514081359</v>
      </c>
      <c r="AI431" s="106">
        <v>55778.649977648638</v>
      </c>
      <c r="AJ431" s="106">
        <v>71852.874385337505</v>
      </c>
      <c r="AK431" s="104">
        <v>62551.785873938308</v>
      </c>
      <c r="AM431" s="118">
        <v>2107</v>
      </c>
      <c r="AN431" s="118">
        <v>71242</v>
      </c>
      <c r="AO431" s="118">
        <v>523</v>
      </c>
      <c r="AP431" s="118">
        <f t="shared" si="6"/>
        <v>438</v>
      </c>
    </row>
    <row r="432" spans="1:42" ht="12.75">
      <c r="A432" s="106">
        <v>2018</v>
      </c>
      <c r="B432" s="106">
        <v>-127556</v>
      </c>
      <c r="C432" s="106">
        <v>0</v>
      </c>
      <c r="D432" s="106">
        <v>127556</v>
      </c>
      <c r="E432" s="106" t="s">
        <v>881</v>
      </c>
      <c r="F432" s="106" t="s">
        <v>882</v>
      </c>
      <c r="G432" s="106" t="s">
        <v>66</v>
      </c>
      <c r="H432" s="106">
        <v>3</v>
      </c>
      <c r="I432" s="104" t="s">
        <v>26</v>
      </c>
      <c r="J432" s="106">
        <v>8374</v>
      </c>
      <c r="K432" s="106">
        <v>14403</v>
      </c>
      <c r="L432" s="106">
        <v>15884</v>
      </c>
      <c r="M432" s="106">
        <v>0.4</v>
      </c>
      <c r="N432" s="106">
        <v>0.62</v>
      </c>
      <c r="O432" s="106">
        <v>0.47</v>
      </c>
      <c r="P432" s="106">
        <v>4226</v>
      </c>
      <c r="Q432" s="106">
        <v>1535.8388680708101</v>
      </c>
      <c r="R432" s="106">
        <v>0.13709270916607161</v>
      </c>
      <c r="S432" s="106">
        <v>18061.668432614031</v>
      </c>
      <c r="T432" s="106">
        <v>20213.125985269413</v>
      </c>
      <c r="U432" s="106">
        <v>9825.3860454461119</v>
      </c>
      <c r="V432" s="106">
        <v>0.98388833306997814</v>
      </c>
      <c r="W432" s="106">
        <v>106598.91534843951</v>
      </c>
      <c r="X432" s="110">
        <v>0.53130441313128762</v>
      </c>
      <c r="Y432" s="106">
        <v>596.7908777969019</v>
      </c>
      <c r="Z432" s="106">
        <v>19.980206540447504</v>
      </c>
      <c r="AA432" s="106">
        <v>39174.993614480918</v>
      </c>
      <c r="AB432" s="106">
        <v>328.94812878566285</v>
      </c>
      <c r="AC432" s="106">
        <v>2.5526487887680291</v>
      </c>
      <c r="AD432" s="106">
        <v>23.813029076186972</v>
      </c>
      <c r="AE432" s="106">
        <v>119.09170530654302</v>
      </c>
      <c r="AF432" s="106">
        <v>-6.1965199940421982E-2</v>
      </c>
      <c r="AG432" s="106">
        <v>7560</v>
      </c>
      <c r="AH432" s="106">
        <v>17315.357152086832</v>
      </c>
      <c r="AI432" s="106">
        <v>17423.273161907222</v>
      </c>
      <c r="AJ432" s="106">
        <v>18283.812120428996</v>
      </c>
      <c r="AK432" s="104">
        <v>11456.621010466468</v>
      </c>
      <c r="AM432" s="118">
        <v>9459</v>
      </c>
      <c r="AN432" s="118">
        <v>231157</v>
      </c>
      <c r="AO432" s="118">
        <v>1454</v>
      </c>
      <c r="AP432" s="118">
        <f t="shared" si="6"/>
        <v>814</v>
      </c>
    </row>
    <row r="433" spans="1:42" ht="12.75">
      <c r="A433" s="106">
        <v>2018</v>
      </c>
      <c r="B433" s="106">
        <v>-126711</v>
      </c>
      <c r="C433" s="106">
        <v>0</v>
      </c>
      <c r="D433" s="106">
        <v>126711</v>
      </c>
      <c r="E433" s="106" t="s">
        <v>883</v>
      </c>
      <c r="F433" s="106" t="s">
        <v>884</v>
      </c>
      <c r="G433" s="106" t="s">
        <v>66</v>
      </c>
      <c r="H433" s="106">
        <v>3</v>
      </c>
      <c r="I433" s="104" t="s">
        <v>26</v>
      </c>
      <c r="J433" s="106">
        <v>2248</v>
      </c>
      <c r="K433" s="106">
        <v>5818</v>
      </c>
      <c r="L433" s="106">
        <v>4449</v>
      </c>
      <c r="M433" s="106">
        <v>0.34</v>
      </c>
      <c r="N433" s="106">
        <v>0.36</v>
      </c>
      <c r="O433" s="106">
        <v>0.15</v>
      </c>
      <c r="P433" s="106">
        <v>2128</v>
      </c>
      <c r="Q433" s="106">
        <v>411.18526130358191</v>
      </c>
      <c r="R433" s="106">
        <v>0.12192595539703067</v>
      </c>
      <c r="S433" s="106">
        <v>24029.032295948327</v>
      </c>
      <c r="T433" s="106">
        <v>33201.650322959482</v>
      </c>
      <c r="U433" s="106">
        <v>26757.887264113975</v>
      </c>
      <c r="V433" s="106">
        <v>0.1106676510592588</v>
      </c>
      <c r="W433" s="106">
        <v>125601.13832424395</v>
      </c>
      <c r="X433" s="110">
        <v>0.74674771780378912</v>
      </c>
      <c r="Y433" s="106">
        <v>347.10645526613814</v>
      </c>
      <c r="Z433" s="106">
        <v>11.571913929784824</v>
      </c>
      <c r="AA433" s="106">
        <v>66089.459043924726</v>
      </c>
      <c r="AB433" s="106">
        <v>892.06052974670581</v>
      </c>
      <c r="AC433" s="106">
        <v>1.5131005979870022</v>
      </c>
      <c r="AD433" s="106">
        <v>40.087209302325583</v>
      </c>
      <c r="AE433" s="106">
        <v>74.086294416243661</v>
      </c>
      <c r="AF433" s="106">
        <v>-0.40495469200803519</v>
      </c>
      <c r="AG433" s="106">
        <v>1968</v>
      </c>
      <c r="AH433" s="106">
        <v>23178.684086905461</v>
      </c>
      <c r="AI433" s="106">
        <v>23424.43805049912</v>
      </c>
      <c r="AJ433" s="106">
        <v>24205.497357604228</v>
      </c>
      <c r="AK433" s="104">
        <v>28673.592190252497</v>
      </c>
      <c r="AL433" s="118">
        <v>53611718</v>
      </c>
      <c r="AM433" s="118">
        <v>5934</v>
      </c>
      <c r="AN433" s="118">
        <v>102165</v>
      </c>
      <c r="AO433" s="118">
        <v>707</v>
      </c>
      <c r="AP433" s="118">
        <f t="shared" si="6"/>
        <v>280</v>
      </c>
    </row>
    <row r="434" spans="1:42" ht="12.75">
      <c r="A434" s="106">
        <v>2018</v>
      </c>
      <c r="B434" s="106">
        <v>-126748</v>
      </c>
      <c r="C434" s="106">
        <v>0</v>
      </c>
      <c r="D434" s="106">
        <v>126748</v>
      </c>
      <c r="E434" s="106" t="s">
        <v>885</v>
      </c>
      <c r="F434" s="106" t="s">
        <v>886</v>
      </c>
      <c r="G434" s="106" t="s">
        <v>66</v>
      </c>
      <c r="H434" s="106">
        <v>4</v>
      </c>
      <c r="I434" s="106" t="s">
        <v>24</v>
      </c>
      <c r="J434" s="106">
        <v>3943</v>
      </c>
      <c r="K434" s="106">
        <v>13358</v>
      </c>
      <c r="L434" s="106">
        <v>11444</v>
      </c>
      <c r="M434" s="106">
        <v>0.47</v>
      </c>
      <c r="N434" s="106">
        <v>0.51</v>
      </c>
      <c r="O434" s="106">
        <v>0.63</v>
      </c>
      <c r="P434" s="106">
        <v>3020</v>
      </c>
      <c r="Q434" s="106">
        <v>763.40963855421683</v>
      </c>
      <c r="R434" s="106">
        <v>8.2215604481853125E-2</v>
      </c>
      <c r="S434" s="106">
        <v>19520.295850066934</v>
      </c>
      <c r="T434" s="106">
        <v>22829.848728246317</v>
      </c>
      <c r="U434" s="106">
        <v>14735.730923694779</v>
      </c>
      <c r="V434" s="106">
        <v>0.57832553916656237</v>
      </c>
      <c r="W434" s="106">
        <v>64408.53</v>
      </c>
      <c r="X434" s="110">
        <v>0.50356842192725804</v>
      </c>
      <c r="Y434" s="106">
        <v>397.72189349112432</v>
      </c>
      <c r="Z434" s="106">
        <v>13.260355029585799</v>
      </c>
      <c r="AA434" s="106">
        <v>34506.554858934171</v>
      </c>
      <c r="AB434" s="106">
        <v>491.30064717696945</v>
      </c>
      <c r="AC434" s="106">
        <v>2.898000116465083</v>
      </c>
      <c r="AD434" s="106">
        <v>44.182825484764543</v>
      </c>
      <c r="AE434" s="106">
        <v>70.23510971786834</v>
      </c>
      <c r="AF434" s="106">
        <v>-3.4691273343609157E-2</v>
      </c>
      <c r="AG434" s="106">
        <v>3469</v>
      </c>
      <c r="AH434" s="106">
        <v>19942.737617135208</v>
      </c>
      <c r="AI434" s="106">
        <v>19987.465863453814</v>
      </c>
      <c r="AJ434" s="106">
        <v>19539.598393574299</v>
      </c>
      <c r="AK434" s="104">
        <v>14810.696117804551</v>
      </c>
      <c r="AM434" s="118">
        <v>1201</v>
      </c>
      <c r="AN434" s="118">
        <v>22405</v>
      </c>
      <c r="AO434" s="118">
        <v>150</v>
      </c>
      <c r="AP434" s="118">
        <f t="shared" si="6"/>
        <v>474</v>
      </c>
    </row>
    <row r="435" spans="1:42" ht="12.75">
      <c r="A435" s="106">
        <v>2018</v>
      </c>
      <c r="B435" s="106">
        <v>-126775</v>
      </c>
      <c r="C435" s="106">
        <v>0</v>
      </c>
      <c r="D435" s="106">
        <v>126775</v>
      </c>
      <c r="E435" s="106" t="s">
        <v>887</v>
      </c>
      <c r="F435" s="106" t="s">
        <v>888</v>
      </c>
      <c r="G435" s="106" t="s">
        <v>66</v>
      </c>
      <c r="H435" s="106">
        <v>1</v>
      </c>
      <c r="I435" s="106" t="s">
        <v>23</v>
      </c>
      <c r="J435" s="106">
        <v>18386</v>
      </c>
      <c r="K435" s="106">
        <v>25767</v>
      </c>
      <c r="L435" s="106">
        <v>17386</v>
      </c>
      <c r="M435" s="106">
        <v>0.15</v>
      </c>
      <c r="N435" s="106">
        <v>0.43</v>
      </c>
      <c r="O435" s="106">
        <v>0.82</v>
      </c>
      <c r="P435" s="106">
        <v>9796</v>
      </c>
      <c r="Q435" s="106">
        <v>5167.1086277732129</v>
      </c>
      <c r="R435" s="106">
        <v>0.1904164226746991</v>
      </c>
      <c r="S435" s="106">
        <v>43734.638783894821</v>
      </c>
      <c r="T435" s="106">
        <v>61043.940345110932</v>
      </c>
      <c r="U435" s="106">
        <v>24686.421688535087</v>
      </c>
      <c r="V435" s="106">
        <v>0.88991133075143114</v>
      </c>
      <c r="W435" s="106">
        <v>238354.43136636165</v>
      </c>
      <c r="X435" s="110">
        <v>0.67783044769693312</v>
      </c>
      <c r="Y435" s="106">
        <v>377.83679312813172</v>
      </c>
      <c r="Z435" s="106">
        <v>13.067287043664995</v>
      </c>
      <c r="AA435" s="106">
        <v>95134.183644544653</v>
      </c>
      <c r="AB435" s="106">
        <v>853.76692834583343</v>
      </c>
      <c r="AC435" s="106">
        <v>1.0511468766435814</v>
      </c>
      <c r="AD435" s="106">
        <v>26.799049558723691</v>
      </c>
      <c r="AE435" s="106">
        <v>111.42875237492083</v>
      </c>
      <c r="AF435" s="106">
        <v>3.3310079953280618</v>
      </c>
      <c r="AG435" s="106">
        <v>16170</v>
      </c>
      <c r="AH435" s="106">
        <v>40710.36926869351</v>
      </c>
      <c r="AI435" s="106">
        <v>43874.49958915366</v>
      </c>
      <c r="AJ435" s="106">
        <v>44413.623993426459</v>
      </c>
      <c r="AK435" s="104">
        <v>38937.596055875103</v>
      </c>
      <c r="AL435" s="118">
        <v>3659385</v>
      </c>
      <c r="AM435" s="118">
        <v>4788</v>
      </c>
      <c r="AN435" s="118">
        <v>175946</v>
      </c>
      <c r="AO435" s="118">
        <v>1098</v>
      </c>
      <c r="AP435" s="118">
        <f t="shared" si="6"/>
        <v>2216</v>
      </c>
    </row>
    <row r="436" spans="1:42" ht="12.75">
      <c r="A436" s="106">
        <v>2018</v>
      </c>
      <c r="B436" s="106">
        <v>-126818</v>
      </c>
      <c r="C436" s="106">
        <v>0</v>
      </c>
      <c r="D436" s="106">
        <v>126818</v>
      </c>
      <c r="E436" s="106" t="s">
        <v>889</v>
      </c>
      <c r="F436" s="106" t="s">
        <v>890</v>
      </c>
      <c r="G436" s="106" t="s">
        <v>66</v>
      </c>
      <c r="H436" s="106">
        <v>1</v>
      </c>
      <c r="I436" s="106" t="s">
        <v>23</v>
      </c>
      <c r="J436" s="106">
        <v>11395</v>
      </c>
      <c r="K436" s="106">
        <v>17914</v>
      </c>
      <c r="L436" s="106">
        <v>12834</v>
      </c>
      <c r="M436" s="106">
        <v>0.22</v>
      </c>
      <c r="N436" s="106">
        <v>0.46</v>
      </c>
      <c r="O436" s="106">
        <v>0.53</v>
      </c>
      <c r="P436" s="106">
        <v>6939</v>
      </c>
      <c r="Q436" s="106">
        <v>3011.7643279274325</v>
      </c>
      <c r="R436" s="106">
        <v>0.15708630171180496</v>
      </c>
      <c r="S436" s="106">
        <v>41131.114245464538</v>
      </c>
      <c r="T436" s="106">
        <v>47944.045526388123</v>
      </c>
      <c r="U436" s="106">
        <v>17184.052061967919</v>
      </c>
      <c r="V436" s="106">
        <v>0.94045972511176879</v>
      </c>
      <c r="W436" s="106">
        <v>133523.70301544497</v>
      </c>
      <c r="X436" s="110">
        <v>0.65053918950113054</v>
      </c>
      <c r="Y436" s="106">
        <v>256.64881693648817</v>
      </c>
      <c r="Z436" s="106">
        <v>9.0610211706102124</v>
      </c>
      <c r="AA436" s="106">
        <v>69616.460357950215</v>
      </c>
      <c r="AB436" s="106">
        <v>606.68528064515124</v>
      </c>
      <c r="AC436" s="106">
        <v>1.4364418915558952</v>
      </c>
      <c r="AD436" s="106">
        <v>25.409401195486858</v>
      </c>
      <c r="AE436" s="106">
        <v>114.7488864142539</v>
      </c>
      <c r="AF436" s="106">
        <v>-0.24911473832238357</v>
      </c>
      <c r="AG436" s="106">
        <v>9152</v>
      </c>
      <c r="AH436" s="106">
        <v>38467.071570918088</v>
      </c>
      <c r="AI436" s="106">
        <v>41183.655786146235</v>
      </c>
      <c r="AJ436" s="106">
        <v>41238.136029411762</v>
      </c>
      <c r="AK436" s="104">
        <v>34555.30257009346</v>
      </c>
      <c r="AL436" s="118">
        <v>2768204</v>
      </c>
      <c r="AM436" s="118">
        <v>25523</v>
      </c>
      <c r="AN436" s="118">
        <v>824356</v>
      </c>
      <c r="AO436" s="118">
        <v>4982</v>
      </c>
      <c r="AP436" s="118">
        <f t="shared" si="6"/>
        <v>2243</v>
      </c>
    </row>
    <row r="437" spans="1:42" ht="12.75">
      <c r="A437" s="106">
        <v>2018</v>
      </c>
      <c r="B437" s="106">
        <v>-476975</v>
      </c>
      <c r="C437" s="106">
        <v>0</v>
      </c>
      <c r="D437" s="106">
        <v>476975</v>
      </c>
      <c r="E437" s="106" t="s">
        <v>891</v>
      </c>
      <c r="F437" s="106" t="s">
        <v>892</v>
      </c>
      <c r="G437" s="106" t="s">
        <v>66</v>
      </c>
      <c r="H437" s="106">
        <v>2</v>
      </c>
      <c r="I437" s="106" t="s">
        <v>25</v>
      </c>
      <c r="J437" s="106">
        <v>8400</v>
      </c>
      <c r="K437" s="106"/>
      <c r="L437" s="106"/>
      <c r="M437" s="106"/>
      <c r="N437" s="106"/>
      <c r="O437" s="106"/>
      <c r="P437" s="106"/>
      <c r="Q437" s="106"/>
      <c r="R437" s="106"/>
      <c r="S437" s="106">
        <v>12190.735857716581</v>
      </c>
      <c r="T437" s="106">
        <v>11367.832931726907</v>
      </c>
      <c r="U437" s="106">
        <v>7453.4633390705676</v>
      </c>
      <c r="V437" s="106">
        <v>1.4170174567817111</v>
      </c>
      <c r="W437" s="106">
        <v>94106.892230576443</v>
      </c>
      <c r="X437" s="110">
        <v>0.37900876489532764</v>
      </c>
      <c r="Y437" s="106">
        <v>1322.6499102333933</v>
      </c>
      <c r="Z437" s="106">
        <v>46.938958707360861</v>
      </c>
      <c r="AA437" s="106">
        <v>19494.877851140456</v>
      </c>
      <c r="AB437" s="106">
        <v>264.51278240190248</v>
      </c>
      <c r="AC437" s="106">
        <v>5.1295525298277242</v>
      </c>
      <c r="AD437" s="106">
        <v>53.158902361199743</v>
      </c>
      <c r="AE437" s="106">
        <v>73.701080432172873</v>
      </c>
      <c r="AF437" s="106">
        <v>9.9132512422148739E-2</v>
      </c>
      <c r="AG437" s="106">
        <v>8400</v>
      </c>
      <c r="AH437" s="106">
        <v>11076.571084337349</v>
      </c>
      <c r="AI437" s="106">
        <v>11076.571084337349</v>
      </c>
      <c r="AJ437" s="106">
        <v>12230.120022948939</v>
      </c>
      <c r="AK437" s="104">
        <v>8567.6281124498</v>
      </c>
      <c r="AL437" s="118"/>
      <c r="AM437" s="118">
        <v>8459</v>
      </c>
      <c r="AN437" s="118">
        <v>245572</v>
      </c>
      <c r="AO437" s="118">
        <v>2144</v>
      </c>
      <c r="AP437" s="118">
        <f t="shared" si="6"/>
        <v>0</v>
      </c>
    </row>
    <row r="438" spans="1:42" ht="12.75">
      <c r="A438" s="106">
        <v>2018</v>
      </c>
      <c r="B438" s="106">
        <v>-128106</v>
      </c>
      <c r="C438" s="106">
        <v>0</v>
      </c>
      <c r="D438" s="106">
        <v>128106</v>
      </c>
      <c r="E438" s="106" t="s">
        <v>893</v>
      </c>
      <c r="F438" s="106" t="s">
        <v>894</v>
      </c>
      <c r="G438" s="106" t="s">
        <v>66</v>
      </c>
      <c r="H438" s="106">
        <v>2</v>
      </c>
      <c r="I438" s="106" t="s">
        <v>25</v>
      </c>
      <c r="J438" s="107">
        <v>10090</v>
      </c>
      <c r="K438" s="107">
        <v>12243</v>
      </c>
      <c r="L438" s="107">
        <v>10276</v>
      </c>
      <c r="M438" s="107">
        <v>0.49</v>
      </c>
      <c r="N438" s="107">
        <v>0.94</v>
      </c>
      <c r="O438" s="107">
        <v>0.94</v>
      </c>
      <c r="P438" s="107">
        <v>3905</v>
      </c>
      <c r="Q438" s="108">
        <v>1650.1451668984701</v>
      </c>
      <c r="R438" s="106">
        <v>0.1903373948293817</v>
      </c>
      <c r="S438" s="106">
        <v>13381.052503477051</v>
      </c>
      <c r="T438" s="106">
        <v>18120.952538247566</v>
      </c>
      <c r="U438" s="107">
        <v>9388.5326284659295</v>
      </c>
      <c r="V438" s="106">
        <v>0.74766042378598652</v>
      </c>
      <c r="W438" s="106">
        <v>95690.889938854933</v>
      </c>
      <c r="X438" s="110">
        <v>0.55052950820085778</v>
      </c>
      <c r="Y438" s="106">
        <v>620.96113989637308</v>
      </c>
      <c r="Z438" s="106">
        <v>22.352331606217618</v>
      </c>
      <c r="AA438" s="106">
        <v>61576.784126494902</v>
      </c>
      <c r="AB438" s="106">
        <v>337.95286230356601</v>
      </c>
      <c r="AC438" s="106">
        <v>1.6239886739550042</v>
      </c>
      <c r="AD438" s="106">
        <v>18.316624895572264</v>
      </c>
      <c r="AE438" s="107">
        <v>182.20524515393387</v>
      </c>
      <c r="AF438" s="107">
        <v>-0.38716116391064104</v>
      </c>
      <c r="AG438" s="106">
        <v>7705</v>
      </c>
      <c r="AH438" s="106">
        <v>12801.009909596662</v>
      </c>
      <c r="AI438" s="106">
        <v>13419.998435326843</v>
      </c>
      <c r="AJ438" s="106">
        <v>13427.846835883171</v>
      </c>
      <c r="AK438" s="104">
        <v>11655.84961752434</v>
      </c>
      <c r="AL438" s="118">
        <v>1800000</v>
      </c>
      <c r="AM438" s="118">
        <v>4621</v>
      </c>
      <c r="AN438" s="118">
        <v>159794</v>
      </c>
      <c r="AO438" s="118">
        <v>744</v>
      </c>
      <c r="AP438" s="118">
        <f t="shared" si="6"/>
        <v>2385</v>
      </c>
    </row>
    <row r="439" spans="1:42" ht="12.75">
      <c r="A439" s="106">
        <v>2018</v>
      </c>
      <c r="B439" s="106">
        <v>-234979</v>
      </c>
      <c r="C439" s="106">
        <v>0</v>
      </c>
      <c r="D439" s="106">
        <v>234979</v>
      </c>
      <c r="E439" s="106" t="s">
        <v>895</v>
      </c>
      <c r="F439" s="106" t="s">
        <v>896</v>
      </c>
      <c r="G439" s="106" t="s">
        <v>182</v>
      </c>
      <c r="H439" s="106">
        <v>4</v>
      </c>
      <c r="I439" s="106" t="s">
        <v>24</v>
      </c>
      <c r="J439" s="106">
        <v>4554</v>
      </c>
      <c r="K439" s="107">
        <v>8717</v>
      </c>
      <c r="L439" s="107">
        <v>7751</v>
      </c>
      <c r="M439" s="107">
        <v>0.47</v>
      </c>
      <c r="N439" s="107">
        <v>7.0000000000000007E-2</v>
      </c>
      <c r="O439" s="107">
        <v>0.12</v>
      </c>
      <c r="P439" s="107">
        <v>1060</v>
      </c>
      <c r="Q439" s="106">
        <v>118.39394520022994</v>
      </c>
      <c r="R439" s="106">
        <v>2.8039025694476371E-2</v>
      </c>
      <c r="S439" s="106">
        <v>12583.358497796513</v>
      </c>
      <c r="T439" s="106">
        <v>12145.896340295076</v>
      </c>
      <c r="U439" s="106">
        <v>9922.3464265184903</v>
      </c>
      <c r="V439" s="106">
        <v>0.41361951012350628</v>
      </c>
      <c r="W439" s="106">
        <v>89021.959265175727</v>
      </c>
      <c r="X439" s="110">
        <v>0.5860887097696551</v>
      </c>
      <c r="Y439" s="106">
        <v>1302.2162661737523</v>
      </c>
      <c r="Z439" s="106">
        <v>28.940850277264325</v>
      </c>
      <c r="AA439" s="106">
        <v>33004.924155513065</v>
      </c>
      <c r="AB439" s="106">
        <v>220.51724416926072</v>
      </c>
      <c r="AC439" s="106">
        <v>3.0298509255412496</v>
      </c>
      <c r="AD439" s="106">
        <v>31.961702994499895</v>
      </c>
      <c r="AE439" s="106">
        <v>149.67049075844486</v>
      </c>
      <c r="AF439" s="106">
        <v>3.7488968392294215E-2</v>
      </c>
      <c r="AG439" s="106">
        <v>3944</v>
      </c>
      <c r="AH439" s="106">
        <v>12687.019160758766</v>
      </c>
      <c r="AI439" s="106">
        <v>12687.019160758766</v>
      </c>
      <c r="AJ439" s="106">
        <v>12588.24238359839</v>
      </c>
      <c r="AK439" s="104">
        <v>11312.029507568499</v>
      </c>
      <c r="AL439" s="118">
        <v>22944251</v>
      </c>
      <c r="AM439" s="118">
        <v>6708</v>
      </c>
      <c r="AN439" s="118">
        <v>234833</v>
      </c>
      <c r="AO439" s="118">
        <v>1164</v>
      </c>
      <c r="AP439" s="118">
        <f t="shared" si="6"/>
        <v>610</v>
      </c>
    </row>
    <row r="440" spans="1:42" ht="12.75">
      <c r="A440" s="106">
        <v>2018</v>
      </c>
      <c r="B440" s="106">
        <v>-112561</v>
      </c>
      <c r="C440" s="106">
        <v>0</v>
      </c>
      <c r="D440" s="106">
        <v>112561</v>
      </c>
      <c r="E440" s="106" t="s">
        <v>4248</v>
      </c>
      <c r="F440" s="106" t="s">
        <v>897</v>
      </c>
      <c r="G440" s="106" t="s">
        <v>121</v>
      </c>
      <c r="H440" s="106">
        <v>4</v>
      </c>
      <c r="I440" s="106" t="s">
        <v>24</v>
      </c>
      <c r="J440" s="106">
        <v>1162</v>
      </c>
      <c r="K440" s="107">
        <v>6946</v>
      </c>
      <c r="L440" s="107">
        <v>4858</v>
      </c>
      <c r="M440" s="107">
        <v>0.5</v>
      </c>
      <c r="N440" s="107">
        <v>0</v>
      </c>
      <c r="O440" s="107">
        <v>0.14000000000000001</v>
      </c>
      <c r="P440" s="108">
        <v>1956</v>
      </c>
      <c r="Q440" s="106">
        <v>65.734636871508386</v>
      </c>
      <c r="R440" s="106">
        <v>4.0776261641758717E-2</v>
      </c>
      <c r="S440" s="106">
        <v>8212.3680167597759</v>
      </c>
      <c r="T440" s="106">
        <v>16584.733938547484</v>
      </c>
      <c r="U440" s="106">
        <v>12822.108578639474</v>
      </c>
      <c r="V440" s="106">
        <v>0.12060000578151112</v>
      </c>
      <c r="W440" s="106">
        <v>103373.5</v>
      </c>
      <c r="X440" s="110">
        <v>0.71384108837723859</v>
      </c>
      <c r="Y440" s="106">
        <v>572.69333333333338</v>
      </c>
      <c r="Z440" s="106">
        <v>19.093333333333334</v>
      </c>
      <c r="AA440" s="106">
        <v>43510.09356543063</v>
      </c>
      <c r="AB440" s="106">
        <v>427.48322510271299</v>
      </c>
      <c r="AC440" s="106">
        <v>2.2983172823937887</v>
      </c>
      <c r="AD440" s="106">
        <v>33.020344287949918</v>
      </c>
      <c r="AE440" s="106">
        <v>101.78199052132702</v>
      </c>
      <c r="AF440" s="106"/>
      <c r="AG440" s="106">
        <v>1104</v>
      </c>
      <c r="AH440" s="106">
        <v>8396.9343575418989</v>
      </c>
      <c r="AI440" s="106">
        <v>8396.9343575418989</v>
      </c>
      <c r="AJ440" s="106">
        <v>8214.1843575418989</v>
      </c>
      <c r="AK440" s="104">
        <v>13402.958798882682</v>
      </c>
      <c r="AL440" s="118"/>
      <c r="AM440" s="118">
        <v>2545</v>
      </c>
      <c r="AN440" s="118">
        <v>42952</v>
      </c>
      <c r="AO440" s="118">
        <v>274</v>
      </c>
      <c r="AP440" s="118">
        <f t="shared" si="6"/>
        <v>58</v>
      </c>
    </row>
    <row r="441" spans="1:42" ht="12.75">
      <c r="A441" s="106">
        <v>2018</v>
      </c>
      <c r="B441" s="106">
        <v>-177065</v>
      </c>
      <c r="C441" s="106">
        <v>0</v>
      </c>
      <c r="D441" s="106">
        <v>177065</v>
      </c>
      <c r="E441" s="106" t="s">
        <v>3901</v>
      </c>
      <c r="F441" s="106" t="s">
        <v>131</v>
      </c>
      <c r="G441" s="106" t="s">
        <v>264</v>
      </c>
      <c r="H441" s="106">
        <v>6</v>
      </c>
      <c r="I441" s="106" t="s">
        <v>3640</v>
      </c>
      <c r="J441" s="106">
        <v>8712</v>
      </c>
      <c r="K441" s="106">
        <v>22306</v>
      </c>
      <c r="L441" s="106">
        <v>25162</v>
      </c>
      <c r="M441" s="106">
        <v>0.53</v>
      </c>
      <c r="N441" s="106">
        <v>0.55000000000000004</v>
      </c>
      <c r="O441" s="106">
        <v>0.56000000000000005</v>
      </c>
      <c r="P441" s="106">
        <v>12580</v>
      </c>
      <c r="Q441" s="106">
        <v>1276.6798767530811</v>
      </c>
      <c r="R441" s="106">
        <v>0.12725056337453178</v>
      </c>
      <c r="S441" s="106">
        <v>9865.7476625584368</v>
      </c>
      <c r="T441" s="106">
        <v>9985.6907139821506</v>
      </c>
      <c r="U441" s="106">
        <v>9492.6269655758606</v>
      </c>
      <c r="V441" s="106">
        <v>0.92241309925764403</v>
      </c>
      <c r="W441" s="106">
        <v>63892.286324786328</v>
      </c>
      <c r="X441" s="110">
        <v>0.63630340742252722</v>
      </c>
      <c r="Y441" s="106">
        <v>987.03180212014138</v>
      </c>
      <c r="Z441" s="106">
        <v>33.257950530035338</v>
      </c>
      <c r="AA441" s="106">
        <v>22131.435471885063</v>
      </c>
      <c r="AB441" s="106">
        <v>319.85323810546663</v>
      </c>
      <c r="AC441" s="106">
        <v>4.5184597324035405</v>
      </c>
      <c r="AD441" s="106">
        <v>47.583686940122583</v>
      </c>
      <c r="AE441" s="106">
        <v>69.192469655684917</v>
      </c>
      <c r="AF441" s="106">
        <v>4.8536968553107504E-2</v>
      </c>
      <c r="AG441" s="106">
        <v>8712</v>
      </c>
      <c r="AH441" s="106">
        <v>9280.9162770930725</v>
      </c>
      <c r="AI441" s="106">
        <v>9865.7476625584368</v>
      </c>
      <c r="AJ441" s="106">
        <v>11232.430832979175</v>
      </c>
      <c r="AK441" s="104">
        <v>9492.6269655758606</v>
      </c>
      <c r="AL441" s="118"/>
      <c r="AM441" s="118">
        <v>12754</v>
      </c>
      <c r="AN441" s="118">
        <v>279330</v>
      </c>
      <c r="AO441" s="118">
        <v>3687</v>
      </c>
      <c r="AP441" s="118">
        <f t="shared" si="6"/>
        <v>0</v>
      </c>
    </row>
    <row r="442" spans="1:42" ht="12.75">
      <c r="A442" s="106">
        <v>2018</v>
      </c>
      <c r="B442" s="106">
        <v>-217934</v>
      </c>
      <c r="C442" s="106">
        <v>0</v>
      </c>
      <c r="D442" s="106">
        <v>217934</v>
      </c>
      <c r="E442" s="106" t="s">
        <v>3902</v>
      </c>
      <c r="F442" s="106" t="s">
        <v>131</v>
      </c>
      <c r="G442" s="106" t="s">
        <v>79</v>
      </c>
      <c r="H442" s="106">
        <v>6</v>
      </c>
      <c r="I442" s="106" t="s">
        <v>3640</v>
      </c>
      <c r="J442" s="106">
        <v>17714</v>
      </c>
      <c r="K442" s="106">
        <v>16702</v>
      </c>
      <c r="L442" s="106">
        <v>14387</v>
      </c>
      <c r="M442" s="106">
        <v>0.56999999999999995</v>
      </c>
      <c r="N442" s="106">
        <v>0.73</v>
      </c>
      <c r="O442" s="106">
        <v>0.98</v>
      </c>
      <c r="P442" s="106">
        <v>6663</v>
      </c>
      <c r="Q442" s="106">
        <v>3605.670867309118</v>
      </c>
      <c r="R442" s="106">
        <v>0.24547325030191788</v>
      </c>
      <c r="S442" s="106">
        <v>17473.78947368421</v>
      </c>
      <c r="T442" s="106">
        <v>17125.757598220905</v>
      </c>
      <c r="U442" s="106">
        <v>14666.236471460341</v>
      </c>
      <c r="V442" s="106">
        <v>0.75567989148007053</v>
      </c>
      <c r="W442" s="106">
        <v>66662.324427480926</v>
      </c>
      <c r="X442" s="110">
        <v>0.503997918506914</v>
      </c>
      <c r="Y442" s="106">
        <v>565.2714285714286</v>
      </c>
      <c r="Z442" s="106">
        <v>19.271428571428572</v>
      </c>
      <c r="AA442" s="106">
        <v>37974.573896353169</v>
      </c>
      <c r="AB442" s="106">
        <v>500.00639389421013</v>
      </c>
      <c r="AC442" s="106">
        <v>2.6333409368315084</v>
      </c>
      <c r="AD442" s="106">
        <v>44.836488812392425</v>
      </c>
      <c r="AE442" s="106">
        <v>75.948176583493279</v>
      </c>
      <c r="AF442" s="106">
        <v>5.9772783061122679E-2</v>
      </c>
      <c r="AG442" s="106">
        <v>17714</v>
      </c>
      <c r="AH442" s="106">
        <v>14368.266123054114</v>
      </c>
      <c r="AI442" s="106">
        <v>17658.663454410675</v>
      </c>
      <c r="AJ442" s="106">
        <v>18681.911786508525</v>
      </c>
      <c r="AK442" s="104">
        <v>14666.236471460341</v>
      </c>
      <c r="AM442" s="118">
        <v>1380</v>
      </c>
      <c r="AN442" s="118">
        <v>39569</v>
      </c>
      <c r="AO442" s="118">
        <v>429</v>
      </c>
      <c r="AP442" s="118">
        <f t="shared" si="6"/>
        <v>0</v>
      </c>
    </row>
    <row r="443" spans="1:42" ht="12.75">
      <c r="A443" s="106">
        <v>2018</v>
      </c>
      <c r="B443" s="106">
        <v>-144281</v>
      </c>
      <c r="C443" s="106">
        <v>0</v>
      </c>
      <c r="D443" s="106">
        <v>144281</v>
      </c>
      <c r="E443" s="106" t="s">
        <v>4070</v>
      </c>
      <c r="F443" s="106" t="s">
        <v>725</v>
      </c>
      <c r="G443" s="106" t="s">
        <v>243</v>
      </c>
      <c r="H443" s="106">
        <v>6</v>
      </c>
      <c r="I443" s="106" t="s">
        <v>3640</v>
      </c>
      <c r="J443" s="106">
        <v>26474</v>
      </c>
      <c r="K443" s="106">
        <v>31269</v>
      </c>
      <c r="L443" s="106">
        <v>27020</v>
      </c>
      <c r="M443" s="106">
        <v>0.35</v>
      </c>
      <c r="N443" s="106">
        <v>0.67</v>
      </c>
      <c r="O443" s="106">
        <v>0.84</v>
      </c>
      <c r="P443" s="106">
        <v>8560</v>
      </c>
      <c r="Q443" s="106">
        <v>5889.2585979803889</v>
      </c>
      <c r="R443" s="106">
        <v>0.21942003754316583</v>
      </c>
      <c r="S443" s="106">
        <v>26785.671593736279</v>
      </c>
      <c r="T443" s="106">
        <v>27338.325771988879</v>
      </c>
      <c r="U443" s="106">
        <v>22549.925044011052</v>
      </c>
      <c r="V443" s="106">
        <v>0.9290875398588031</v>
      </c>
      <c r="W443" s="106">
        <v>90890.47380812242</v>
      </c>
      <c r="X443" s="110">
        <v>0.55110855416605686</v>
      </c>
      <c r="Y443" s="106">
        <v>400.79448456992782</v>
      </c>
      <c r="Z443" s="106">
        <v>13.459619172685491</v>
      </c>
      <c r="AA443" s="106">
        <v>86418.192835517402</v>
      </c>
      <c r="AB443" s="106">
        <v>757.27939168293858</v>
      </c>
      <c r="AC443" s="106">
        <v>1.157163748961209</v>
      </c>
      <c r="AD443" s="106">
        <v>25.777070984530866</v>
      </c>
      <c r="AE443" s="106">
        <v>114.11665731912507</v>
      </c>
      <c r="AF443" s="106">
        <v>0.10865337215316188</v>
      </c>
      <c r="AG443" s="106">
        <v>25580</v>
      </c>
      <c r="AH443" s="106">
        <v>25852.789843406994</v>
      </c>
      <c r="AI443" s="106">
        <v>26353.459680960048</v>
      </c>
      <c r="AJ443" s="106">
        <v>28751.368359432166</v>
      </c>
      <c r="AK443" s="104">
        <v>23402.829357529634</v>
      </c>
      <c r="AL443" s="118"/>
      <c r="AM443" s="118">
        <v>7027</v>
      </c>
      <c r="AN443" s="118">
        <v>203470</v>
      </c>
      <c r="AO443" s="118">
        <v>1677</v>
      </c>
      <c r="AP443" s="118">
        <f t="shared" si="6"/>
        <v>894</v>
      </c>
    </row>
    <row r="444" spans="1:42" ht="12.75">
      <c r="A444" s="106">
        <v>2018</v>
      </c>
      <c r="B444" s="106">
        <v>-420556</v>
      </c>
      <c r="C444" s="106">
        <v>0</v>
      </c>
      <c r="D444" s="106">
        <v>420556</v>
      </c>
      <c r="E444" s="106" t="s">
        <v>898</v>
      </c>
      <c r="F444" s="106" t="s">
        <v>899</v>
      </c>
      <c r="G444" s="106" t="s">
        <v>405</v>
      </c>
      <c r="H444" s="106">
        <v>4</v>
      </c>
      <c r="I444" s="106" t="s">
        <v>24</v>
      </c>
      <c r="J444" s="106">
        <v>4248</v>
      </c>
      <c r="K444" s="106">
        <v>7969</v>
      </c>
      <c r="L444" s="106">
        <v>7308</v>
      </c>
      <c r="M444" s="106">
        <v>0.47</v>
      </c>
      <c r="N444" s="106">
        <v>0.05</v>
      </c>
      <c r="O444" s="106">
        <v>0</v>
      </c>
      <c r="P444" s="106"/>
      <c r="Q444" s="106">
        <v>258.88013136288998</v>
      </c>
      <c r="R444" s="106">
        <v>4.8915626764627407E-2</v>
      </c>
      <c r="S444" s="106">
        <v>22927.155993431854</v>
      </c>
      <c r="T444" s="106">
        <v>23352.016420361248</v>
      </c>
      <c r="U444" s="106">
        <v>14159.869147152363</v>
      </c>
      <c r="V444" s="106">
        <v>0.35547650678892967</v>
      </c>
      <c r="W444" s="106">
        <v>63629.394230769234</v>
      </c>
      <c r="X444" s="110">
        <v>0.46531756627241044</v>
      </c>
      <c r="Y444" s="106">
        <v>596.10869565217388</v>
      </c>
      <c r="Z444" s="106">
        <v>13.239130434782609</v>
      </c>
      <c r="AA444" s="106">
        <v>30471.237846698903</v>
      </c>
      <c r="AB444" s="106">
        <v>314.48015428378937</v>
      </c>
      <c r="AC444" s="106">
        <v>3.2817833165525139</v>
      </c>
      <c r="AD444" s="106">
        <v>57.873210633946826</v>
      </c>
      <c r="AE444" s="106">
        <v>96.89399293286219</v>
      </c>
      <c r="AF444" s="106">
        <v>-1.5986044628011863E-2</v>
      </c>
      <c r="AG444" s="106">
        <v>3564</v>
      </c>
      <c r="AH444" s="106">
        <v>20509.610837438424</v>
      </c>
      <c r="AI444" s="106">
        <v>20558.581280788178</v>
      </c>
      <c r="AJ444" s="106">
        <v>23038.947454844005</v>
      </c>
      <c r="AK444" s="104">
        <v>17908.318555008209</v>
      </c>
      <c r="AL444" s="119">
        <v>6918635</v>
      </c>
      <c r="AM444" s="118">
        <v>791</v>
      </c>
      <c r="AN444" s="118">
        <v>27421</v>
      </c>
      <c r="AO444" s="118">
        <v>206</v>
      </c>
      <c r="AP444" s="118">
        <f t="shared" si="6"/>
        <v>684</v>
      </c>
    </row>
    <row r="445" spans="1:42" ht="12.75">
      <c r="A445" s="106">
        <v>2018</v>
      </c>
      <c r="B445" s="106">
        <v>-217925</v>
      </c>
      <c r="C445" s="106">
        <v>0</v>
      </c>
      <c r="D445" s="106">
        <v>217925</v>
      </c>
      <c r="E445" s="106" t="s">
        <v>900</v>
      </c>
      <c r="F445" s="106" t="s">
        <v>131</v>
      </c>
      <c r="G445" s="106" t="s">
        <v>79</v>
      </c>
      <c r="H445" s="106">
        <v>6</v>
      </c>
      <c r="I445" s="106" t="s">
        <v>3640</v>
      </c>
      <c r="J445" s="106">
        <v>22390</v>
      </c>
      <c r="K445" s="106">
        <v>18136</v>
      </c>
      <c r="L445" s="106">
        <v>17010</v>
      </c>
      <c r="M445" s="106">
        <v>0.55000000000000004</v>
      </c>
      <c r="N445" s="106">
        <v>0.69</v>
      </c>
      <c r="O445" s="106">
        <v>1</v>
      </c>
      <c r="P445" s="106">
        <v>10270</v>
      </c>
      <c r="Q445" s="106">
        <v>5553.4171494785633</v>
      </c>
      <c r="R445" s="106">
        <v>0.33375077142364096</v>
      </c>
      <c r="S445" s="106">
        <v>47505.3348783314</v>
      </c>
      <c r="T445" s="106">
        <v>39359.617612977985</v>
      </c>
      <c r="U445" s="106">
        <v>23576.01622247972</v>
      </c>
      <c r="V445" s="106">
        <v>0.47022348556003501</v>
      </c>
      <c r="W445" s="106">
        <v>101275.12886597938</v>
      </c>
      <c r="X445" s="110">
        <v>0.57841942335801877</v>
      </c>
      <c r="Y445" s="106">
        <v>470.6</v>
      </c>
      <c r="Z445" s="106">
        <v>17.260000000000002</v>
      </c>
      <c r="AA445" s="106">
        <v>65003.520766773167</v>
      </c>
      <c r="AB445" s="106">
        <v>864.68771780705481</v>
      </c>
      <c r="AC445" s="106">
        <v>1.5383782112170676</v>
      </c>
      <c r="AD445" s="106">
        <v>40.968586387434556</v>
      </c>
      <c r="AE445" s="106">
        <v>75.175718849840251</v>
      </c>
      <c r="AF445" s="106">
        <v>0.11974968154074704</v>
      </c>
      <c r="AG445" s="106">
        <v>21720</v>
      </c>
      <c r="AH445" s="106">
        <v>28574.659327925841</v>
      </c>
      <c r="AI445" s="106">
        <v>47505.3348783314</v>
      </c>
      <c r="AJ445" s="106">
        <v>49819.090382387025</v>
      </c>
      <c r="AK445" s="104">
        <v>23576.01622247972</v>
      </c>
      <c r="AL445" s="118"/>
      <c r="AM445" s="118">
        <v>491</v>
      </c>
      <c r="AN445" s="118">
        <v>23530</v>
      </c>
      <c r="AO445" s="118">
        <v>146</v>
      </c>
      <c r="AP445" s="118">
        <f t="shared" si="6"/>
        <v>670</v>
      </c>
    </row>
    <row r="446" spans="1:42" ht="12.75">
      <c r="A446" s="106">
        <v>2018</v>
      </c>
      <c r="B446" s="106">
        <v>-219888</v>
      </c>
      <c r="C446" s="106">
        <v>0</v>
      </c>
      <c r="D446" s="106">
        <v>219888</v>
      </c>
      <c r="E446" s="106" t="s">
        <v>901</v>
      </c>
      <c r="F446" s="106" t="s">
        <v>131</v>
      </c>
      <c r="G446" s="106" t="s">
        <v>255</v>
      </c>
      <c r="H446" s="106">
        <v>4</v>
      </c>
      <c r="I446" s="106" t="s">
        <v>24</v>
      </c>
      <c r="J446" s="106">
        <v>4155</v>
      </c>
      <c r="K446" s="106">
        <v>6517</v>
      </c>
      <c r="L446" s="106">
        <v>5449</v>
      </c>
      <c r="M446" s="106">
        <v>0.47</v>
      </c>
      <c r="N446" s="106">
        <v>0.06</v>
      </c>
      <c r="O446" s="106">
        <v>0.03</v>
      </c>
      <c r="P446" s="106">
        <v>5006</v>
      </c>
      <c r="Q446" s="106">
        <v>219.59904594526739</v>
      </c>
      <c r="R446" s="106">
        <v>4.253084345969569E-2</v>
      </c>
      <c r="S446" s="106">
        <v>11003.791614361035</v>
      </c>
      <c r="T446" s="106">
        <v>9987.8089379864432</v>
      </c>
      <c r="U446" s="106">
        <v>7779.6648311704985</v>
      </c>
      <c r="V446" s="106">
        <v>0.6354631324824217</v>
      </c>
      <c r="W446" s="106">
        <v>68907.597087378643</v>
      </c>
      <c r="X446" s="110">
        <v>0.59470630565110472</v>
      </c>
      <c r="Y446" s="106">
        <v>655.32175502742234</v>
      </c>
      <c r="Z446" s="106">
        <v>21.84460694698355</v>
      </c>
      <c r="AA446" s="106">
        <v>33282.926984481302</v>
      </c>
      <c r="AB446" s="106">
        <v>259.32867192708909</v>
      </c>
      <c r="AC446" s="106">
        <v>3.0045434419462747</v>
      </c>
      <c r="AD446" s="106">
        <v>23.216957605985037</v>
      </c>
      <c r="AE446" s="106">
        <v>128.34264232008593</v>
      </c>
      <c r="AF446" s="106">
        <v>6.7784840256429196E-2</v>
      </c>
      <c r="AG446" s="106">
        <v>3840</v>
      </c>
      <c r="AH446" s="106">
        <v>11168.5295003766</v>
      </c>
      <c r="AI446" s="106">
        <v>11305.583479789104</v>
      </c>
      <c r="AJ446" s="106">
        <v>11117.998242530755</v>
      </c>
      <c r="AK446" s="104">
        <v>9517.731609339693</v>
      </c>
      <c r="AL446" s="118">
        <v>15169156</v>
      </c>
      <c r="AM446" s="118">
        <v>5938</v>
      </c>
      <c r="AN446" s="118">
        <v>119487</v>
      </c>
      <c r="AO446" s="118">
        <v>767</v>
      </c>
      <c r="AP446" s="118">
        <f t="shared" si="6"/>
        <v>315</v>
      </c>
    </row>
    <row r="447" spans="1:42" ht="12.75">
      <c r="A447" s="106">
        <v>2018</v>
      </c>
      <c r="B447" s="106">
        <v>-190150</v>
      </c>
      <c r="C447" s="106">
        <v>0</v>
      </c>
      <c r="D447" s="106">
        <v>190150</v>
      </c>
      <c r="E447" s="106" t="s">
        <v>902</v>
      </c>
      <c r="F447" s="106" t="s">
        <v>290</v>
      </c>
      <c r="G447" s="106" t="s">
        <v>69</v>
      </c>
      <c r="H447" s="106">
        <v>5</v>
      </c>
      <c r="I447" s="106" t="s">
        <v>3639</v>
      </c>
      <c r="J447" s="106">
        <v>51640</v>
      </c>
      <c r="K447" s="106">
        <v>21220</v>
      </c>
      <c r="L447" s="106">
        <v>10245</v>
      </c>
      <c r="M447" s="106">
        <v>0.17</v>
      </c>
      <c r="N447" s="106">
        <v>0.11</v>
      </c>
      <c r="O447" s="106">
        <v>0.51</v>
      </c>
      <c r="P447" s="106">
        <v>51996</v>
      </c>
      <c r="Q447" s="106">
        <v>14162.770388284294</v>
      </c>
      <c r="R447" s="106">
        <v>0.2664394386026106</v>
      </c>
      <c r="S447" s="106">
        <v>158287.85435980116</v>
      </c>
      <c r="T447" s="106">
        <v>154403.4327556093</v>
      </c>
      <c r="U447" s="106">
        <v>109847.5083472175</v>
      </c>
      <c r="V447" s="106">
        <v>0.35497312037997264</v>
      </c>
      <c r="W447" s="106">
        <v>150049.48268106164</v>
      </c>
      <c r="X447" s="110">
        <v>0.58049567762963683</v>
      </c>
      <c r="Y447" s="106">
        <v>105.51255240443896</v>
      </c>
      <c r="Z447" s="106">
        <v>4.4052281134401978</v>
      </c>
      <c r="AA447" s="106">
        <v>241125.1211762412</v>
      </c>
      <c r="AB447" s="106">
        <v>4586.2157718228154</v>
      </c>
      <c r="AC447" s="106">
        <v>0.4147224458081612</v>
      </c>
      <c r="AD447" s="106">
        <v>49.608632040965617</v>
      </c>
      <c r="AE447" s="106">
        <v>52.576052495760528</v>
      </c>
      <c r="AF447" s="106">
        <v>7.1703293310830876E-2</v>
      </c>
      <c r="AG447" s="106">
        <v>48989</v>
      </c>
      <c r="AH447" s="106">
        <v>125649.87236329437</v>
      </c>
      <c r="AI447" s="106">
        <v>158658.57181244122</v>
      </c>
      <c r="AJ447" s="106">
        <v>188886.0338573156</v>
      </c>
      <c r="AK447" s="104">
        <v>145875.01679430337</v>
      </c>
      <c r="AL447" s="118">
        <v>2897000</v>
      </c>
      <c r="AM447" s="118">
        <v>8147</v>
      </c>
      <c r="AN447" s="118">
        <v>713089</v>
      </c>
      <c r="AO447" s="118">
        <v>2058</v>
      </c>
      <c r="AP447" s="118">
        <f t="shared" si="6"/>
        <v>2651</v>
      </c>
    </row>
    <row r="448" spans="1:42" ht="12.75">
      <c r="A448" s="106">
        <v>2018</v>
      </c>
      <c r="B448" s="106">
        <v>-190169</v>
      </c>
      <c r="C448" s="106">
        <v>0</v>
      </c>
      <c r="D448" s="106">
        <v>190169</v>
      </c>
      <c r="E448" s="106" t="s">
        <v>903</v>
      </c>
      <c r="F448" s="106" t="s">
        <v>525</v>
      </c>
      <c r="G448" s="106" t="s">
        <v>69</v>
      </c>
      <c r="H448" s="106">
        <v>4</v>
      </c>
      <c r="I448" s="106" t="s">
        <v>24</v>
      </c>
      <c r="J448" s="106">
        <v>4888</v>
      </c>
      <c r="K448" s="106">
        <v>5202</v>
      </c>
      <c r="L448" s="106">
        <v>3724</v>
      </c>
      <c r="M448" s="106">
        <v>0.5</v>
      </c>
      <c r="N448" s="106">
        <v>0.17</v>
      </c>
      <c r="O448" s="106">
        <v>0.18</v>
      </c>
      <c r="P448" s="106">
        <v>1523</v>
      </c>
      <c r="Q448" s="106"/>
      <c r="R448" s="106"/>
      <c r="S448" s="106">
        <v>17736.005170630819</v>
      </c>
      <c r="T448" s="106">
        <v>17923.077559462254</v>
      </c>
      <c r="U448" s="106">
        <v>16673.880989329056</v>
      </c>
      <c r="V448" s="106">
        <v>0.29846121158025085</v>
      </c>
      <c r="W448" s="106">
        <v>76852.398406374501</v>
      </c>
      <c r="X448" s="110">
        <v>0.74199474532553689</v>
      </c>
      <c r="Y448" s="106">
        <v>478.18681318681314</v>
      </c>
      <c r="Z448" s="106">
        <v>15.939560439560438</v>
      </c>
      <c r="AA448" s="106">
        <v>62494.739987136425</v>
      </c>
      <c r="AB448" s="106">
        <v>555.79603297763526</v>
      </c>
      <c r="AC448" s="106">
        <v>1.6001346676629655</v>
      </c>
      <c r="AD448" s="106">
        <v>27.446808510638299</v>
      </c>
      <c r="AE448" s="106">
        <v>112.44186046511628</v>
      </c>
      <c r="AF448" s="106">
        <v>-6.8499633409309368E-2</v>
      </c>
      <c r="AG448" s="106">
        <v>4536</v>
      </c>
      <c r="AH448" s="106">
        <v>18473.325749741467</v>
      </c>
      <c r="AI448" s="106">
        <v>18473.325749741467</v>
      </c>
      <c r="AJ448" s="106">
        <v>17745.400206825234</v>
      </c>
      <c r="AK448" s="104">
        <v>16975.855222337126</v>
      </c>
      <c r="AL448" s="119">
        <v>10798610</v>
      </c>
      <c r="AM448" s="118">
        <v>1620</v>
      </c>
      <c r="AN448" s="118">
        <v>29010</v>
      </c>
      <c r="AO448" s="118">
        <v>248</v>
      </c>
      <c r="AP448" s="118">
        <f t="shared" si="6"/>
        <v>352</v>
      </c>
    </row>
    <row r="449" spans="1:42" ht="12.75">
      <c r="A449" s="106">
        <v>2018</v>
      </c>
      <c r="B449" s="106">
        <v>-202222</v>
      </c>
      <c r="C449" s="106">
        <v>0</v>
      </c>
      <c r="D449" s="106">
        <v>202222</v>
      </c>
      <c r="E449" s="106" t="s">
        <v>904</v>
      </c>
      <c r="F449" s="106" t="s">
        <v>593</v>
      </c>
      <c r="G449" s="106" t="s">
        <v>82</v>
      </c>
      <c r="H449" s="106">
        <v>4</v>
      </c>
      <c r="I449" s="106" t="s">
        <v>24</v>
      </c>
      <c r="J449" s="106">
        <v>3808</v>
      </c>
      <c r="K449" s="106">
        <v>5532</v>
      </c>
      <c r="L449" s="106">
        <v>4131</v>
      </c>
      <c r="M449" s="106">
        <v>0.51</v>
      </c>
      <c r="N449" s="106">
        <v>0.36</v>
      </c>
      <c r="O449" s="106">
        <v>0.35</v>
      </c>
      <c r="P449" s="106">
        <v>1701</v>
      </c>
      <c r="Q449" s="106"/>
      <c r="R449" s="106"/>
      <c r="S449" s="106">
        <v>9450.4775896670617</v>
      </c>
      <c r="T449" s="106">
        <v>6687.3408120207896</v>
      </c>
      <c r="U449" s="106">
        <v>7329.4591098403662</v>
      </c>
      <c r="V449" s="106">
        <v>0.56601335047353485</v>
      </c>
      <c r="W449" s="106">
        <v>41926.300221238933</v>
      </c>
      <c r="X449" s="110">
        <v>0.48608297724750982</v>
      </c>
      <c r="Y449" s="106">
        <v>864.54869006426111</v>
      </c>
      <c r="Z449" s="106">
        <v>28.818091942659422</v>
      </c>
      <c r="AA449" s="106">
        <v>23499.980016751004</v>
      </c>
      <c r="AB449" s="106">
        <v>244.3136273812901</v>
      </c>
      <c r="AC449" s="106">
        <v>4.2553227674542304</v>
      </c>
      <c r="AD449" s="106">
        <v>43.996806039488966</v>
      </c>
      <c r="AE449" s="106">
        <v>96.187757795743281</v>
      </c>
      <c r="AF449" s="106">
        <v>0.76036565154307711</v>
      </c>
      <c r="AG449" s="106">
        <v>3808</v>
      </c>
      <c r="AH449" s="106">
        <v>8944.2657335460299</v>
      </c>
      <c r="AI449" s="106">
        <v>8944.2657335460299</v>
      </c>
      <c r="AJ449" s="106">
        <v>9484.7561364688936</v>
      </c>
      <c r="AK449" s="104">
        <v>8699.4098698090875</v>
      </c>
      <c r="AL449" s="119">
        <v>67598348</v>
      </c>
      <c r="AM449" s="118">
        <v>27204</v>
      </c>
      <c r="AN449" s="118">
        <v>582994</v>
      </c>
      <c r="AO449" s="118">
        <v>2516</v>
      </c>
      <c r="AP449" s="118">
        <f t="shared" si="6"/>
        <v>0</v>
      </c>
    </row>
    <row r="450" spans="1:42" ht="12.75">
      <c r="A450" s="106">
        <v>2018</v>
      </c>
      <c r="B450" s="106">
        <v>-139366</v>
      </c>
      <c r="C450" s="106">
        <v>0</v>
      </c>
      <c r="D450" s="106">
        <v>139366</v>
      </c>
      <c r="E450" s="106" t="s">
        <v>905</v>
      </c>
      <c r="F450" s="106" t="s">
        <v>593</v>
      </c>
      <c r="G450" s="106" t="s">
        <v>63</v>
      </c>
      <c r="H450" s="106">
        <v>2</v>
      </c>
      <c r="I450" s="106" t="s">
        <v>25</v>
      </c>
      <c r="J450" s="106">
        <v>6134</v>
      </c>
      <c r="K450" s="106">
        <v>11316</v>
      </c>
      <c r="L450" s="106">
        <v>10224</v>
      </c>
      <c r="M450" s="106">
        <v>0.52</v>
      </c>
      <c r="N450" s="106">
        <v>0.61</v>
      </c>
      <c r="O450" s="106">
        <v>0.18</v>
      </c>
      <c r="P450" s="106">
        <v>8045</v>
      </c>
      <c r="Q450" s="106">
        <v>411.7843053173242</v>
      </c>
      <c r="R450" s="106">
        <v>5.4465676397339104E-2</v>
      </c>
      <c r="S450" s="106">
        <v>17608.494854202403</v>
      </c>
      <c r="T450" s="106">
        <v>18143.167238421956</v>
      </c>
      <c r="U450" s="106">
        <v>14703.561621830893</v>
      </c>
      <c r="V450" s="106">
        <v>0.48618509580083069</v>
      </c>
      <c r="W450" s="106">
        <v>76528.710810810808</v>
      </c>
      <c r="X450" s="110">
        <v>0.594883535359499</v>
      </c>
      <c r="Y450" s="106">
        <v>514.82188295165395</v>
      </c>
      <c r="Z450" s="106">
        <v>17.801526717557252</v>
      </c>
      <c r="AA450" s="106">
        <v>55067.514510882727</v>
      </c>
      <c r="AB450" s="106">
        <v>508.42020069852435</v>
      </c>
      <c r="AC450" s="106">
        <v>1.8159526698855726</v>
      </c>
      <c r="AD450" s="106">
        <v>28.597672994488672</v>
      </c>
      <c r="AE450" s="106">
        <v>108.3110278372591</v>
      </c>
      <c r="AF450" s="106">
        <v>-4.581536825108342E-2</v>
      </c>
      <c r="AG450" s="106">
        <v>4264</v>
      </c>
      <c r="AH450" s="106">
        <v>15531.566323613493</v>
      </c>
      <c r="AI450" s="106">
        <v>16072.194253859348</v>
      </c>
      <c r="AJ450" s="106">
        <v>17662.781589479702</v>
      </c>
      <c r="AK450" s="104">
        <v>16414.46540880503</v>
      </c>
      <c r="AL450" s="119">
        <v>41002242</v>
      </c>
      <c r="AM450" s="118">
        <v>6799</v>
      </c>
      <c r="AN450" s="118">
        <v>202325</v>
      </c>
      <c r="AO450" s="118">
        <v>1062</v>
      </c>
      <c r="AP450" s="118">
        <f t="shared" si="6"/>
        <v>1870</v>
      </c>
    </row>
    <row r="451" spans="1:42" ht="12.75">
      <c r="A451" s="106">
        <v>2018</v>
      </c>
      <c r="B451" s="106">
        <v>-139357</v>
      </c>
      <c r="C451" s="106">
        <v>0</v>
      </c>
      <c r="D451" s="106">
        <v>139357</v>
      </c>
      <c r="E451" s="106" t="s">
        <v>906</v>
      </c>
      <c r="F451" s="106" t="s">
        <v>593</v>
      </c>
      <c r="G451" s="106" t="s">
        <v>63</v>
      </c>
      <c r="H451" s="106">
        <v>4</v>
      </c>
      <c r="I451" s="106" t="s">
        <v>24</v>
      </c>
      <c r="J451" s="106">
        <v>2774</v>
      </c>
      <c r="K451" s="106">
        <v>5958</v>
      </c>
      <c r="L451" s="106">
        <v>5080</v>
      </c>
      <c r="M451" s="106">
        <v>0.74</v>
      </c>
      <c r="N451" s="106">
        <v>0.01</v>
      </c>
      <c r="O451" s="106">
        <v>0</v>
      </c>
      <c r="P451" s="106"/>
      <c r="Q451" s="107"/>
      <c r="R451" s="106"/>
      <c r="S451" s="106">
        <v>12087.148984198646</v>
      </c>
      <c r="T451" s="106">
        <v>11945.97381489842</v>
      </c>
      <c r="U451" s="106">
        <v>8960.9029345372455</v>
      </c>
      <c r="V451" s="106">
        <v>0.40373486024062394</v>
      </c>
      <c r="W451" s="106">
        <v>60258.282741738069</v>
      </c>
      <c r="X451" s="110">
        <v>0.62018643605832313</v>
      </c>
      <c r="Y451" s="106">
        <v>530.20212765957444</v>
      </c>
      <c r="Z451" s="106">
        <v>17.672872340425531</v>
      </c>
      <c r="AA451" s="106">
        <v>13650.894085281981</v>
      </c>
      <c r="AB451" s="106">
        <v>298.68777463432252</v>
      </c>
      <c r="AC451" s="106">
        <v>7.3255274984381611</v>
      </c>
      <c r="AD451" s="106">
        <v>86.342042755344423</v>
      </c>
      <c r="AE451" s="106">
        <v>45.702888583218709</v>
      </c>
      <c r="AF451" s="106">
        <v>1.4650364455410115E-2</v>
      </c>
      <c r="AG451" s="106">
        <v>2136</v>
      </c>
      <c r="AH451" s="106">
        <v>9700.6772009029337</v>
      </c>
      <c r="AI451" s="106">
        <v>9943.9729119638832</v>
      </c>
      <c r="AJ451" s="106">
        <v>12087.153047404063</v>
      </c>
      <c r="AK451" s="104">
        <v>11104.079006772008</v>
      </c>
      <c r="AL451" s="119">
        <v>11019626</v>
      </c>
      <c r="AM451" s="118">
        <v>3097</v>
      </c>
      <c r="AN451" s="118">
        <v>66452</v>
      </c>
      <c r="AO451" s="118">
        <v>479</v>
      </c>
      <c r="AP451" s="118">
        <f t="shared" si="6"/>
        <v>638</v>
      </c>
    </row>
    <row r="452" spans="1:42" ht="12.75">
      <c r="A452" s="106">
        <v>2018</v>
      </c>
      <c r="B452" s="106">
        <v>-210605</v>
      </c>
      <c r="C452" s="106">
        <v>0</v>
      </c>
      <c r="D452" s="106">
        <v>210605</v>
      </c>
      <c r="E452" s="106" t="s">
        <v>907</v>
      </c>
      <c r="F452" s="106" t="s">
        <v>602</v>
      </c>
      <c r="G452" s="106" t="s">
        <v>104</v>
      </c>
      <c r="H452" s="106">
        <v>4</v>
      </c>
      <c r="I452" s="106" t="s">
        <v>24</v>
      </c>
      <c r="J452" s="106">
        <v>4198</v>
      </c>
      <c r="K452" s="106">
        <v>8377</v>
      </c>
      <c r="L452" s="106">
        <v>7812</v>
      </c>
      <c r="M452" s="106">
        <v>0.47</v>
      </c>
      <c r="N452" s="106">
        <v>0.28999999999999998</v>
      </c>
      <c r="O452" s="106">
        <v>0</v>
      </c>
      <c r="P452" s="106"/>
      <c r="Q452" s="106">
        <v>188.551411641687</v>
      </c>
      <c r="R452" s="106">
        <v>3.8309515116982579E-2</v>
      </c>
      <c r="S452" s="106">
        <v>11626.234750784246</v>
      </c>
      <c r="T452" s="106">
        <v>11486.636023004532</v>
      </c>
      <c r="U452" s="106">
        <v>9584.9474555594279</v>
      </c>
      <c r="V452" s="106">
        <v>0.49382004614913677</v>
      </c>
      <c r="W452" s="106">
        <v>79188.545766590396</v>
      </c>
      <c r="X452" s="110">
        <v>0.7000501249292268</v>
      </c>
      <c r="Y452" s="106">
        <v>598.38180764774052</v>
      </c>
      <c r="Z452" s="106">
        <v>19.946697566628043</v>
      </c>
      <c r="AA452" s="106">
        <v>42984.313012895662</v>
      </c>
      <c r="AB452" s="106">
        <v>319.50845704957459</v>
      </c>
      <c r="AC452" s="106">
        <v>2.3264301088166546</v>
      </c>
      <c r="AD452" s="106">
        <v>27.854577119843256</v>
      </c>
      <c r="AE452" s="106">
        <v>134.53262993356779</v>
      </c>
      <c r="AF452" s="106">
        <v>1.4939744044390966E-2</v>
      </c>
      <c r="AG452" s="106">
        <v>3300</v>
      </c>
      <c r="AH452" s="106">
        <v>11478.270390379923</v>
      </c>
      <c r="AI452" s="106">
        <v>11545.480132450331</v>
      </c>
      <c r="AJ452" s="106">
        <v>11643.526838619728</v>
      </c>
      <c r="AK452" s="104">
        <v>10088.570843499478</v>
      </c>
      <c r="AL452" s="119">
        <v>64205464</v>
      </c>
      <c r="AM452" s="118">
        <v>16147</v>
      </c>
      <c r="AN452" s="118">
        <v>344269</v>
      </c>
      <c r="AO452" s="118">
        <v>1935</v>
      </c>
      <c r="AP452" s="118">
        <f t="shared" si="6"/>
        <v>898</v>
      </c>
    </row>
    <row r="453" spans="1:42" ht="12.75">
      <c r="A453" s="106">
        <v>2018</v>
      </c>
      <c r="B453" s="106">
        <v>-126863</v>
      </c>
      <c r="C453" s="106">
        <v>0</v>
      </c>
      <c r="D453" s="106">
        <v>126863</v>
      </c>
      <c r="E453" s="106" t="s">
        <v>908</v>
      </c>
      <c r="F453" s="106" t="s">
        <v>248</v>
      </c>
      <c r="G453" s="106" t="s">
        <v>66</v>
      </c>
      <c r="H453" s="106">
        <v>4</v>
      </c>
      <c r="I453" s="106" t="s">
        <v>24</v>
      </c>
      <c r="J453" s="106">
        <v>3702</v>
      </c>
      <c r="K453" s="106">
        <v>14154</v>
      </c>
      <c r="L453" s="106">
        <v>15072</v>
      </c>
      <c r="M453" s="106">
        <v>0.52</v>
      </c>
      <c r="N453" s="106">
        <v>0.2</v>
      </c>
      <c r="O453" s="106">
        <v>0.05</v>
      </c>
      <c r="P453" s="106">
        <v>906</v>
      </c>
      <c r="Q453" s="106">
        <v>52.054785330948121</v>
      </c>
      <c r="R453" s="106">
        <v>6.63624643919192E-3</v>
      </c>
      <c r="S453" s="106">
        <v>10051.622763864043</v>
      </c>
      <c r="T453" s="106">
        <v>9927.4941860465115</v>
      </c>
      <c r="U453" s="106">
        <v>8581.0659077826167</v>
      </c>
      <c r="V453" s="106">
        <v>0.90804051438732369</v>
      </c>
      <c r="W453" s="106">
        <v>66875.202459791864</v>
      </c>
      <c r="X453" s="110">
        <v>0.53073460583640497</v>
      </c>
      <c r="Y453" s="106">
        <v>818.05487804878044</v>
      </c>
      <c r="Z453" s="106">
        <v>27.26829268292683</v>
      </c>
      <c r="AA453" s="106">
        <v>38412.939679283147</v>
      </c>
      <c r="AB453" s="106">
        <v>286.03339822753156</v>
      </c>
      <c r="AC453" s="106">
        <v>2.603289434105247</v>
      </c>
      <c r="AD453" s="106">
        <v>26.477604028624434</v>
      </c>
      <c r="AE453" s="106">
        <v>134.29529529529529</v>
      </c>
      <c r="AF453" s="106">
        <v>3.7847559490327587E-2</v>
      </c>
      <c r="AG453" s="106">
        <v>3264</v>
      </c>
      <c r="AH453" s="106">
        <v>10365.730992844365</v>
      </c>
      <c r="AI453" s="106">
        <v>10462.175313059033</v>
      </c>
      <c r="AJ453" s="106">
        <v>10106.168157423972</v>
      </c>
      <c r="AK453" s="104">
        <v>9015.6965563506255</v>
      </c>
      <c r="AM453" s="118">
        <v>8026</v>
      </c>
      <c r="AN453" s="118">
        <v>134161</v>
      </c>
      <c r="AO453" s="118">
        <v>652</v>
      </c>
      <c r="AP453" s="118">
        <f t="shared" si="6"/>
        <v>438</v>
      </c>
    </row>
    <row r="454" spans="1:42" ht="12.75">
      <c r="A454" s="106">
        <v>2018</v>
      </c>
      <c r="B454" s="106">
        <v>-434672</v>
      </c>
      <c r="C454" s="106">
        <v>0</v>
      </c>
      <c r="D454" s="106">
        <v>434672</v>
      </c>
      <c r="E454" s="106" t="s">
        <v>4071</v>
      </c>
      <c r="F454" s="106" t="s">
        <v>284</v>
      </c>
      <c r="G454" s="106" t="s">
        <v>124</v>
      </c>
      <c r="H454" s="106">
        <v>4</v>
      </c>
      <c r="I454" s="106" t="s">
        <v>24</v>
      </c>
      <c r="J454" s="106">
        <v>3730</v>
      </c>
      <c r="K454" s="106">
        <v>8678</v>
      </c>
      <c r="L454" s="106">
        <v>7586</v>
      </c>
      <c r="M454" s="106">
        <v>0.57999999999999996</v>
      </c>
      <c r="N454" s="106">
        <v>0.28999999999999998</v>
      </c>
      <c r="O454" s="106">
        <v>0.15</v>
      </c>
      <c r="P454" s="106">
        <v>966</v>
      </c>
      <c r="Q454" s="106">
        <v>168.97144828775984</v>
      </c>
      <c r="R454" s="106">
        <v>2.4802038712018862E-2</v>
      </c>
      <c r="S454" s="106">
        <v>17650.060467523504</v>
      </c>
      <c r="T454" s="106">
        <v>18111.248339515223</v>
      </c>
      <c r="U454" s="106">
        <v>15861.827115649243</v>
      </c>
      <c r="V454" s="106">
        <v>0.41885674955787622</v>
      </c>
      <c r="W454" s="106">
        <v>74329.161135758652</v>
      </c>
      <c r="X454" s="110">
        <v>0.66494798705730573</v>
      </c>
      <c r="Y454" s="106">
        <v>423.79447603574329</v>
      </c>
      <c r="Z454" s="106">
        <v>14.126320064987814</v>
      </c>
      <c r="AA454" s="106">
        <v>67530.724110070398</v>
      </c>
      <c r="AB454" s="106">
        <v>528.72148959361482</v>
      </c>
      <c r="AC454" s="106">
        <v>1.4808074593870331</v>
      </c>
      <c r="AD454" s="106">
        <v>26.989790861334129</v>
      </c>
      <c r="AE454" s="106">
        <v>127.72456849063533</v>
      </c>
      <c r="AF454" s="106">
        <v>2.3489493983706141E-2</v>
      </c>
      <c r="AG454" s="106">
        <v>2880</v>
      </c>
      <c r="AH454" s="106">
        <v>16510.348917450185</v>
      </c>
      <c r="AI454" s="106">
        <v>16574.11688087639</v>
      </c>
      <c r="AJ454" s="106">
        <v>17671.137496765288</v>
      </c>
      <c r="AK454" s="104">
        <v>17177.385663762616</v>
      </c>
      <c r="AL454" s="119">
        <v>88037030</v>
      </c>
      <c r="AM454" s="118">
        <v>19349</v>
      </c>
      <c r="AN454" s="118">
        <v>347794</v>
      </c>
      <c r="AO454" s="118">
        <v>2131</v>
      </c>
      <c r="AP454" s="118">
        <f t="shared" ref="AP454:AP517" si="7">J454-AG454</f>
        <v>850</v>
      </c>
    </row>
    <row r="455" spans="1:42" ht="12.75">
      <c r="A455" s="106">
        <v>2018</v>
      </c>
      <c r="B455" s="106">
        <v>-211079</v>
      </c>
      <c r="C455" s="106">
        <v>0</v>
      </c>
      <c r="D455" s="106">
        <v>211079</v>
      </c>
      <c r="E455" s="106" t="s">
        <v>909</v>
      </c>
      <c r="F455" s="106" t="s">
        <v>910</v>
      </c>
      <c r="G455" s="106" t="s">
        <v>104</v>
      </c>
      <c r="H455" s="106">
        <v>4</v>
      </c>
      <c r="I455" s="106" t="s">
        <v>24</v>
      </c>
      <c r="J455" s="106">
        <v>5880</v>
      </c>
      <c r="K455" s="106">
        <v>8350</v>
      </c>
      <c r="L455" s="106">
        <v>7644</v>
      </c>
      <c r="M455" s="106">
        <v>0.43</v>
      </c>
      <c r="N455" s="106">
        <v>0.33</v>
      </c>
      <c r="O455" s="106">
        <v>0.06</v>
      </c>
      <c r="P455" s="106">
        <v>4256</v>
      </c>
      <c r="Q455" s="106">
        <v>334.46658338538413</v>
      </c>
      <c r="R455" s="106">
        <v>3.1405066183466987E-2</v>
      </c>
      <c r="S455" s="106">
        <v>20936.837601499064</v>
      </c>
      <c r="T455" s="106">
        <v>18528.923797626485</v>
      </c>
      <c r="U455" s="106">
        <v>11621.250468457214</v>
      </c>
      <c r="V455" s="106">
        <v>0.88765121639040068</v>
      </c>
      <c r="W455" s="106">
        <v>67969.954703832744</v>
      </c>
      <c r="X455" s="110">
        <v>0.43839550346644762</v>
      </c>
      <c r="Y455" s="106">
        <v>585.69512195121956</v>
      </c>
      <c r="Z455" s="106">
        <v>19.524390243902438</v>
      </c>
      <c r="AA455" s="106">
        <v>53464.431034482761</v>
      </c>
      <c r="AB455" s="106">
        <v>387.39921294271971</v>
      </c>
      <c r="AC455" s="106">
        <v>1.8704023977268804</v>
      </c>
      <c r="AD455" s="106">
        <v>24.576271186440678</v>
      </c>
      <c r="AE455" s="106">
        <v>138.00862068965517</v>
      </c>
      <c r="AF455" s="106">
        <v>1.9442980037195496</v>
      </c>
      <c r="AG455" s="106">
        <v>4680</v>
      </c>
      <c r="AH455" s="106">
        <v>21065.031855090569</v>
      </c>
      <c r="AI455" s="106">
        <v>21065.031855090569</v>
      </c>
      <c r="AJ455" s="106">
        <v>20947.058713304184</v>
      </c>
      <c r="AK455" s="104">
        <v>12092.743285446595</v>
      </c>
      <c r="AL455" s="119">
        <v>8953928</v>
      </c>
      <c r="AM455" s="118">
        <v>2510</v>
      </c>
      <c r="AN455" s="118">
        <v>48027</v>
      </c>
      <c r="AO455" s="118">
        <v>318</v>
      </c>
      <c r="AP455" s="118">
        <f t="shared" si="7"/>
        <v>1200</v>
      </c>
    </row>
    <row r="456" spans="1:42" ht="12.75">
      <c r="A456" s="106">
        <v>2018</v>
      </c>
      <c r="B456" s="106">
        <v>-126942</v>
      </c>
      <c r="C456" s="106">
        <v>0</v>
      </c>
      <c r="D456" s="106">
        <v>126942</v>
      </c>
      <c r="E456" s="106" t="s">
        <v>911</v>
      </c>
      <c r="F456" s="106" t="s">
        <v>912</v>
      </c>
      <c r="G456" s="106" t="s">
        <v>66</v>
      </c>
      <c r="H456" s="106">
        <v>4</v>
      </c>
      <c r="I456" s="106" t="s">
        <v>24</v>
      </c>
      <c r="J456" s="106">
        <v>4448</v>
      </c>
      <c r="K456" s="106">
        <v>6736</v>
      </c>
      <c r="L456" s="106">
        <v>5512</v>
      </c>
      <c r="M456" s="106">
        <v>0.56999999999999995</v>
      </c>
      <c r="N456" s="106">
        <v>0.24</v>
      </c>
      <c r="O456" s="106">
        <v>0.25</v>
      </c>
      <c r="P456" s="106">
        <v>1008</v>
      </c>
      <c r="Q456" s="106">
        <v>226.27759893959478</v>
      </c>
      <c r="R456" s="106">
        <v>2.6877999722531565E-2</v>
      </c>
      <c r="S456" s="106">
        <v>10607.946790380609</v>
      </c>
      <c r="T456" s="106">
        <v>11354.097330051127</v>
      </c>
      <c r="U456" s="106">
        <v>9909.5522878435058</v>
      </c>
      <c r="V456" s="106">
        <v>0.82671891499281536</v>
      </c>
      <c r="W456" s="106">
        <v>83887.443307086622</v>
      </c>
      <c r="X456" s="110">
        <v>0.59225760255985105</v>
      </c>
      <c r="Y456" s="106">
        <v>767.79644588045244</v>
      </c>
      <c r="Z456" s="106">
        <v>25.594507269789986</v>
      </c>
      <c r="AA456" s="106">
        <v>34981.514459960934</v>
      </c>
      <c r="AB456" s="106">
        <v>330.3350900260163</v>
      </c>
      <c r="AC456" s="106">
        <v>2.8586526782440416</v>
      </c>
      <c r="AD456" s="106">
        <v>30.474638419229986</v>
      </c>
      <c r="AE456" s="106">
        <v>105.89705882352941</v>
      </c>
      <c r="AF456" s="106">
        <v>-3.8427455025499151E-2</v>
      </c>
      <c r="AG456" s="106">
        <v>3469</v>
      </c>
      <c r="AH456" s="106">
        <v>11204.515432683203</v>
      </c>
      <c r="AI456" s="106">
        <v>11318.816890740391</v>
      </c>
      <c r="AJ456" s="106">
        <v>10676.915546298049</v>
      </c>
      <c r="AK456" s="104">
        <v>10403.490248059079</v>
      </c>
      <c r="AM456" s="118">
        <v>8556</v>
      </c>
      <c r="AN456" s="118">
        <v>158422</v>
      </c>
      <c r="AO456" s="118">
        <v>789</v>
      </c>
      <c r="AP456" s="118">
        <f t="shared" si="7"/>
        <v>979</v>
      </c>
    </row>
    <row r="457" spans="1:42" ht="12.75">
      <c r="A457" s="106">
        <v>2018</v>
      </c>
      <c r="B457" s="106">
        <v>-215239</v>
      </c>
      <c r="C457" s="106">
        <v>0</v>
      </c>
      <c r="D457" s="106">
        <v>215239</v>
      </c>
      <c r="E457" s="106" t="s">
        <v>913</v>
      </c>
      <c r="F457" s="106" t="s">
        <v>721</v>
      </c>
      <c r="G457" s="106" t="s">
        <v>104</v>
      </c>
      <c r="H457" s="106">
        <v>4</v>
      </c>
      <c r="I457" s="106" t="s">
        <v>24</v>
      </c>
      <c r="J457" s="106">
        <v>5142</v>
      </c>
      <c r="K457" s="106">
        <v>6072</v>
      </c>
      <c r="L457" s="106">
        <v>6557</v>
      </c>
      <c r="M457" s="106">
        <v>0.73</v>
      </c>
      <c r="N457" s="106">
        <v>0.39</v>
      </c>
      <c r="O457" s="106">
        <v>0.09</v>
      </c>
      <c r="P457" s="106">
        <v>687</v>
      </c>
      <c r="Q457" s="106">
        <v>102.09899970579582</v>
      </c>
      <c r="R457" s="106">
        <v>1.8489819129737701E-2</v>
      </c>
      <c r="S457" s="106">
        <v>10900.841497499265</v>
      </c>
      <c r="T457" s="106">
        <v>12342.849661665196</v>
      </c>
      <c r="U457" s="106">
        <v>11728.617786394807</v>
      </c>
      <c r="V457" s="106">
        <v>0.46210088410528471</v>
      </c>
      <c r="W457" s="106">
        <v>110417.57543753771</v>
      </c>
      <c r="X457" s="110">
        <v>0.72684676330703157</v>
      </c>
      <c r="Y457" s="106">
        <v>653.66185897435901</v>
      </c>
      <c r="Z457" s="106">
        <v>21.78846153846154</v>
      </c>
      <c r="AA457" s="106">
        <v>71636.247719597392</v>
      </c>
      <c r="AB457" s="106">
        <v>390.94913376030939</v>
      </c>
      <c r="AC457" s="106">
        <v>1.3959413451054219</v>
      </c>
      <c r="AD457" s="106">
        <v>24.237804878048781</v>
      </c>
      <c r="AE457" s="106">
        <v>183.23674752920036</v>
      </c>
      <c r="AF457" s="106">
        <v>-0.13702074208325685</v>
      </c>
      <c r="AG457" s="106">
        <v>4632</v>
      </c>
      <c r="AH457" s="106">
        <v>10716.459473374522</v>
      </c>
      <c r="AI457" s="106">
        <v>10734.29339511621</v>
      </c>
      <c r="AJ457" s="106">
        <v>10903.515739923507</v>
      </c>
      <c r="AK457" s="104">
        <v>12277.894307149161</v>
      </c>
      <c r="AL457" s="119">
        <v>54202063</v>
      </c>
      <c r="AM457" s="118">
        <v>17296</v>
      </c>
      <c r="AN457" s="118">
        <v>407885</v>
      </c>
      <c r="AO457" s="118">
        <v>1731</v>
      </c>
      <c r="AP457" s="118">
        <f t="shared" si="7"/>
        <v>510</v>
      </c>
    </row>
    <row r="458" spans="1:42" ht="12.75">
      <c r="A458" s="106">
        <v>2018</v>
      </c>
      <c r="B458" s="106">
        <v>-217475</v>
      </c>
      <c r="C458" s="106">
        <v>0</v>
      </c>
      <c r="D458" s="106">
        <v>217475</v>
      </c>
      <c r="E458" s="106" t="s">
        <v>914</v>
      </c>
      <c r="F458" s="106" t="s">
        <v>915</v>
      </c>
      <c r="G458" s="106" t="s">
        <v>469</v>
      </c>
      <c r="H458" s="106">
        <v>4</v>
      </c>
      <c r="I458" s="106" t="s">
        <v>24</v>
      </c>
      <c r="J458" s="106">
        <v>4564</v>
      </c>
      <c r="K458" s="106">
        <v>4926</v>
      </c>
      <c r="L458" s="106">
        <v>5493</v>
      </c>
      <c r="M458" s="106">
        <v>0.54</v>
      </c>
      <c r="N458" s="106">
        <v>0.12</v>
      </c>
      <c r="O458" s="106">
        <v>0.49</v>
      </c>
      <c r="P458" s="106">
        <v>676</v>
      </c>
      <c r="Q458" s="106">
        <v>283.6908053543998</v>
      </c>
      <c r="R458" s="106">
        <v>4.7240169003280555E-2</v>
      </c>
      <c r="S458" s="106">
        <v>13373.093921439544</v>
      </c>
      <c r="T458" s="106">
        <v>14193.855935922757</v>
      </c>
      <c r="U458" s="106">
        <v>12853.882015764748</v>
      </c>
      <c r="V458" s="106">
        <v>0.44512598426666417</v>
      </c>
      <c r="W458" s="106">
        <v>95162.667759562843</v>
      </c>
      <c r="X458" s="110">
        <v>0.67309797701275842</v>
      </c>
      <c r="Y458" s="106">
        <v>562.20493488690875</v>
      </c>
      <c r="Z458" s="106">
        <v>18.740233036326249</v>
      </c>
      <c r="AA458" s="106">
        <v>52136.306493849537</v>
      </c>
      <c r="AB458" s="106">
        <v>428.46430091427408</v>
      </c>
      <c r="AC458" s="106">
        <v>1.918049181558285</v>
      </c>
      <c r="AD458" s="106">
        <v>26.932758000719165</v>
      </c>
      <c r="AE458" s="106">
        <v>121.68179795282599</v>
      </c>
      <c r="AF458" s="106">
        <v>2.3886376786925005E-2</v>
      </c>
      <c r="AG458" s="106">
        <v>4148</v>
      </c>
      <c r="AH458" s="106">
        <v>13385.575597981127</v>
      </c>
      <c r="AI458" s="106">
        <v>13385.575597981127</v>
      </c>
      <c r="AJ458" s="106">
        <v>13388.013715163484</v>
      </c>
      <c r="AK458" s="104">
        <v>13407.696291419794</v>
      </c>
      <c r="AL458" s="118">
        <v>49709247</v>
      </c>
      <c r="AM458" s="118">
        <v>14758</v>
      </c>
      <c r="AN458" s="118">
        <v>273419</v>
      </c>
      <c r="AO458" s="118">
        <v>1944</v>
      </c>
      <c r="AP458" s="118">
        <f t="shared" si="7"/>
        <v>416</v>
      </c>
    </row>
    <row r="459" spans="1:42" ht="12.75">
      <c r="A459" s="106">
        <v>2018</v>
      </c>
      <c r="B459" s="106">
        <v>-230861</v>
      </c>
      <c r="C459" s="106">
        <v>0</v>
      </c>
      <c r="D459" s="106">
        <v>230861</v>
      </c>
      <c r="E459" s="106" t="s">
        <v>4072</v>
      </c>
      <c r="F459" s="106" t="s">
        <v>3407</v>
      </c>
      <c r="G459" s="106" t="s">
        <v>345</v>
      </c>
      <c r="H459" s="106">
        <v>4</v>
      </c>
      <c r="I459" s="106" t="s">
        <v>24</v>
      </c>
      <c r="J459" s="106">
        <v>6414</v>
      </c>
      <c r="K459" s="106">
        <v>10539</v>
      </c>
      <c r="L459" s="106">
        <v>8414</v>
      </c>
      <c r="M459" s="106">
        <v>0.46</v>
      </c>
      <c r="N459" s="106">
        <v>0.31</v>
      </c>
      <c r="O459" s="106">
        <v>0.19</v>
      </c>
      <c r="P459" s="106">
        <v>833</v>
      </c>
      <c r="Q459" s="106">
        <v>235.54221251819504</v>
      </c>
      <c r="R459" s="106">
        <v>2.8908091277699048E-2</v>
      </c>
      <c r="S459" s="106">
        <v>11978.765283842795</v>
      </c>
      <c r="T459" s="106">
        <v>11685.768558951964</v>
      </c>
      <c r="U459" s="106">
        <v>9864.3152583723731</v>
      </c>
      <c r="V459" s="106">
        <v>0.80212624199915539</v>
      </c>
      <c r="W459" s="106">
        <v>64315.516129032258</v>
      </c>
      <c r="X459" s="110">
        <v>0.74504874925309439</v>
      </c>
      <c r="Y459" s="106">
        <v>406.75164473684214</v>
      </c>
      <c r="Z459" s="106">
        <v>13.559210526315789</v>
      </c>
      <c r="AA459" s="106">
        <v>46656.004010339551</v>
      </c>
      <c r="AB459" s="106">
        <v>328.83045223518263</v>
      </c>
      <c r="AC459" s="106">
        <v>2.1433468665220183</v>
      </c>
      <c r="AD459" s="106">
        <v>24.340175953079179</v>
      </c>
      <c r="AE459" s="106">
        <v>141.88468158347678</v>
      </c>
      <c r="AF459" s="106"/>
      <c r="AG459" s="106">
        <v>6264</v>
      </c>
      <c r="AH459" s="106">
        <v>11388.883915574963</v>
      </c>
      <c r="AI459" s="106">
        <v>11439.053493449781</v>
      </c>
      <c r="AJ459" s="106">
        <v>12060.675036390101</v>
      </c>
      <c r="AK459" s="104">
        <v>11685.768558951964</v>
      </c>
      <c r="AL459" s="118">
        <v>5464514</v>
      </c>
      <c r="AM459" s="118">
        <v>5504</v>
      </c>
      <c r="AN459" s="118">
        <v>82435</v>
      </c>
      <c r="AO459" s="118">
        <v>506</v>
      </c>
      <c r="AP459" s="118">
        <f t="shared" si="7"/>
        <v>150</v>
      </c>
    </row>
    <row r="460" spans="1:42" ht="12.75">
      <c r="A460" s="106">
        <v>2018</v>
      </c>
      <c r="B460" s="106">
        <v>-237330</v>
      </c>
      <c r="C460" s="106">
        <v>0</v>
      </c>
      <c r="D460" s="106">
        <v>237330</v>
      </c>
      <c r="E460" s="106" t="s">
        <v>916</v>
      </c>
      <c r="F460" s="106" t="s">
        <v>227</v>
      </c>
      <c r="G460" s="106" t="s">
        <v>110</v>
      </c>
      <c r="H460" s="106">
        <v>2</v>
      </c>
      <c r="I460" s="106" t="s">
        <v>25</v>
      </c>
      <c r="J460" s="106">
        <v>7732</v>
      </c>
      <c r="K460" s="106">
        <v>9073</v>
      </c>
      <c r="L460" s="106">
        <v>7046</v>
      </c>
      <c r="M460" s="106">
        <v>0.53</v>
      </c>
      <c r="N460" s="106">
        <v>0.76</v>
      </c>
      <c r="O460" s="106">
        <v>0.71</v>
      </c>
      <c r="P460" s="106">
        <v>2379</v>
      </c>
      <c r="Q460" s="106">
        <v>2302.6621368322399</v>
      </c>
      <c r="R460" s="106">
        <v>0.28521481188774406</v>
      </c>
      <c r="S460" s="106">
        <v>17739.915182755391</v>
      </c>
      <c r="T460" s="106">
        <v>17859.520149953139</v>
      </c>
      <c r="U460" s="106">
        <v>8585.7748315448716</v>
      </c>
      <c r="V460" s="106">
        <v>0.67213141407365318</v>
      </c>
      <c r="W460" s="106">
        <v>72125.587951807218</v>
      </c>
      <c r="X460" s="110">
        <v>0.5235787391633171</v>
      </c>
      <c r="Y460" s="106">
        <v>475.56122448979596</v>
      </c>
      <c r="Z460" s="106">
        <v>16.331632653061227</v>
      </c>
      <c r="AA460" s="106">
        <v>39402.244065627434</v>
      </c>
      <c r="AB460" s="106">
        <v>294.85103782614669</v>
      </c>
      <c r="AC460" s="106">
        <v>2.5379265158969728</v>
      </c>
      <c r="AD460" s="106">
        <v>23.532388663967609</v>
      </c>
      <c r="AE460" s="106">
        <v>133.63440860215053</v>
      </c>
      <c r="AF460" s="106">
        <v>2.7026067868985374E-3</v>
      </c>
      <c r="AG460" s="106">
        <v>7574</v>
      </c>
      <c r="AH460" s="106">
        <v>17701.74320524836</v>
      </c>
      <c r="AI460" s="106">
        <v>17978.007497656981</v>
      </c>
      <c r="AJ460" s="106">
        <v>17899.097938144329</v>
      </c>
      <c r="AK460" s="104">
        <v>11566.719775070291</v>
      </c>
      <c r="AL460" s="119">
        <v>8278077</v>
      </c>
      <c r="AM460" s="118">
        <v>1853</v>
      </c>
      <c r="AN460" s="118">
        <v>62140</v>
      </c>
      <c r="AO460" s="118">
        <v>363</v>
      </c>
      <c r="AP460" s="118">
        <f t="shared" si="7"/>
        <v>158</v>
      </c>
    </row>
    <row r="461" spans="1:42" ht="12.75">
      <c r="A461" s="106">
        <v>2018</v>
      </c>
      <c r="B461" s="106">
        <v>-173300</v>
      </c>
      <c r="C461" s="106">
        <v>0</v>
      </c>
      <c r="D461" s="106">
        <v>173300</v>
      </c>
      <c r="E461" s="106" t="s">
        <v>918</v>
      </c>
      <c r="F461" s="106" t="s">
        <v>919</v>
      </c>
      <c r="G461" s="106" t="s">
        <v>113</v>
      </c>
      <c r="H461" s="106">
        <v>7</v>
      </c>
      <c r="I461" s="106" t="s">
        <v>3641</v>
      </c>
      <c r="J461" s="106">
        <v>38378</v>
      </c>
      <c r="K461" s="106">
        <v>23109</v>
      </c>
      <c r="L461" s="106">
        <v>18465</v>
      </c>
      <c r="M461" s="106">
        <v>0.26</v>
      </c>
      <c r="N461" s="106">
        <v>0.75</v>
      </c>
      <c r="O461" s="106">
        <v>1</v>
      </c>
      <c r="P461" s="106">
        <v>22729</v>
      </c>
      <c r="Q461" s="106">
        <v>18595.437379576109</v>
      </c>
      <c r="R461" s="106">
        <v>0.50758949226440075</v>
      </c>
      <c r="S461" s="106">
        <v>37216.299614643547</v>
      </c>
      <c r="T461" s="106">
        <v>40399.802504816958</v>
      </c>
      <c r="U461" s="106">
        <v>27409.932430983601</v>
      </c>
      <c r="V461" s="106">
        <v>0.6581321725956385</v>
      </c>
      <c r="W461" s="106">
        <v>77173.244644870341</v>
      </c>
      <c r="X461" s="110">
        <v>0.54411729392122254</v>
      </c>
      <c r="Y461" s="106">
        <v>333.64937388193198</v>
      </c>
      <c r="Z461" s="106">
        <v>11.141323792486583</v>
      </c>
      <c r="AA461" s="106">
        <v>131112.94867908285</v>
      </c>
      <c r="AB461" s="106">
        <v>915.28099930387577</v>
      </c>
      <c r="AC461" s="106">
        <v>0.76270117488367906</v>
      </c>
      <c r="AD461" s="106">
        <v>21.474517565561605</v>
      </c>
      <c r="AE461" s="106">
        <v>143.24884792626727</v>
      </c>
      <c r="AF461" s="106">
        <v>2.533875452988155E-2</v>
      </c>
      <c r="AG461" s="106">
        <v>38150</v>
      </c>
      <c r="AH461" s="106">
        <v>31703.871387283238</v>
      </c>
      <c r="AI461" s="106">
        <v>37496.840077071291</v>
      </c>
      <c r="AJ461" s="106">
        <v>42517.705684007706</v>
      </c>
      <c r="AK461" s="104">
        <v>27710.631502890174</v>
      </c>
      <c r="AL461" s="118"/>
      <c r="AM461" s="118">
        <v>2034</v>
      </c>
      <c r="AN461" s="118">
        <v>62170</v>
      </c>
      <c r="AO461" s="118">
        <v>426</v>
      </c>
      <c r="AP461" s="118">
        <f t="shared" si="7"/>
        <v>228</v>
      </c>
    </row>
    <row r="462" spans="1:42" ht="12.75">
      <c r="A462" s="106">
        <v>2018</v>
      </c>
      <c r="B462" s="106">
        <v>-190248</v>
      </c>
      <c r="C462" s="106">
        <v>0</v>
      </c>
      <c r="D462" s="106">
        <v>190248</v>
      </c>
      <c r="E462" s="106" t="s">
        <v>920</v>
      </c>
      <c r="F462" s="106" t="s">
        <v>921</v>
      </c>
      <c r="G462" s="106" t="s">
        <v>69</v>
      </c>
      <c r="H462" s="106">
        <v>7</v>
      </c>
      <c r="I462" s="106" t="s">
        <v>3641</v>
      </c>
      <c r="J462" s="106">
        <v>31600</v>
      </c>
      <c r="K462" s="106">
        <v>17593</v>
      </c>
      <c r="L462" s="106">
        <v>12181</v>
      </c>
      <c r="M462" s="106">
        <v>0.38</v>
      </c>
      <c r="N462" s="106">
        <v>0.5</v>
      </c>
      <c r="O462" s="106">
        <v>0.85</v>
      </c>
      <c r="P462" s="106">
        <v>19303</v>
      </c>
      <c r="Q462" s="106">
        <v>10979.4</v>
      </c>
      <c r="R462" s="106">
        <v>0.28637672739062342</v>
      </c>
      <c r="S462" s="106">
        <v>38593.331791907513</v>
      </c>
      <c r="T462" s="106">
        <v>40333.900578034685</v>
      </c>
      <c r="U462" s="106">
        <v>29481.676300578034</v>
      </c>
      <c r="V462" s="106">
        <v>0.92802081433946426</v>
      </c>
      <c r="W462" s="106">
        <v>76980.231428571438</v>
      </c>
      <c r="X462" s="110">
        <v>0.51483690020620931</v>
      </c>
      <c r="Y462" s="106">
        <v>233.82636655948556</v>
      </c>
      <c r="Z462" s="106">
        <v>8.344051446945338</v>
      </c>
      <c r="AA462" s="106">
        <v>61155.03597122302</v>
      </c>
      <c r="AB462" s="106">
        <v>1052.0482673267327</v>
      </c>
      <c r="AC462" s="106">
        <v>1.6351883113445602</v>
      </c>
      <c r="AD462" s="106">
        <v>28.503075871496925</v>
      </c>
      <c r="AE462" s="106">
        <v>58.129496402877699</v>
      </c>
      <c r="AF462" s="106">
        <v>-1.8203446407795715E-2</v>
      </c>
      <c r="AG462" s="106">
        <v>30250</v>
      </c>
      <c r="AH462" s="106">
        <v>36646.79421965318</v>
      </c>
      <c r="AI462" s="106">
        <v>38593.331791907513</v>
      </c>
      <c r="AJ462" s="106">
        <v>39828.590751445088</v>
      </c>
      <c r="AK462" s="104">
        <v>29481.676300578034</v>
      </c>
      <c r="AL462" s="118"/>
      <c r="AM462" s="118">
        <v>1129</v>
      </c>
      <c r="AN462" s="118">
        <v>24240</v>
      </c>
      <c r="AO462" s="118">
        <v>209</v>
      </c>
      <c r="AP462" s="118">
        <f t="shared" si="7"/>
        <v>1350</v>
      </c>
    </row>
    <row r="463" spans="1:42" ht="12.75">
      <c r="A463" s="106">
        <v>2018</v>
      </c>
      <c r="B463" s="106">
        <v>-224004</v>
      </c>
      <c r="C463" s="106">
        <v>0</v>
      </c>
      <c r="D463" s="106">
        <v>224004</v>
      </c>
      <c r="E463" s="106" t="s">
        <v>4073</v>
      </c>
      <c r="F463" s="106" t="s">
        <v>252</v>
      </c>
      <c r="G463" s="106" t="s">
        <v>60</v>
      </c>
      <c r="H463" s="106">
        <v>6</v>
      </c>
      <c r="I463" s="106" t="s">
        <v>3640</v>
      </c>
      <c r="J463" s="106">
        <v>30600</v>
      </c>
      <c r="K463" s="106">
        <v>23606</v>
      </c>
      <c r="L463" s="106">
        <v>18821</v>
      </c>
      <c r="M463" s="106">
        <v>0.45</v>
      </c>
      <c r="N463" s="106">
        <v>0.74</v>
      </c>
      <c r="O463" s="106">
        <v>0.99</v>
      </c>
      <c r="P463" s="106">
        <v>15701</v>
      </c>
      <c r="Q463" s="106">
        <v>8223.376893939394</v>
      </c>
      <c r="R463" s="106">
        <v>0.33738338577141874</v>
      </c>
      <c r="S463" s="106">
        <v>18917.10369318182</v>
      </c>
      <c r="T463" s="106">
        <v>18851.591382575756</v>
      </c>
      <c r="U463" s="106">
        <v>17747.140625</v>
      </c>
      <c r="V463" s="106">
        <v>0.91003989892631287</v>
      </c>
      <c r="W463" s="106">
        <v>74515.760631834753</v>
      </c>
      <c r="X463" s="110">
        <v>0.51343419308327931</v>
      </c>
      <c r="Y463" s="106">
        <v>536.74029850746274</v>
      </c>
      <c r="Z463" s="106">
        <v>18.913432835820895</v>
      </c>
      <c r="AA463" s="106">
        <v>53776.127690100431</v>
      </c>
      <c r="AB463" s="106">
        <v>625.36640750133472</v>
      </c>
      <c r="AC463" s="106">
        <v>1.8595611899814954</v>
      </c>
      <c r="AD463" s="106">
        <v>36.89782953943886</v>
      </c>
      <c r="AE463" s="106">
        <v>85.991391678622662</v>
      </c>
      <c r="AF463" s="106">
        <v>1.9721136723533171E-2</v>
      </c>
      <c r="AG463" s="106">
        <v>29840</v>
      </c>
      <c r="AH463" s="106">
        <v>19316.86505681818</v>
      </c>
      <c r="AI463" s="106">
        <v>20190.364583333332</v>
      </c>
      <c r="AJ463" s="106">
        <v>19596.306344696968</v>
      </c>
      <c r="AK463" s="104">
        <v>17747.140625</v>
      </c>
      <c r="AL463" s="118"/>
      <c r="AM463" s="118">
        <v>1723</v>
      </c>
      <c r="AN463" s="118">
        <v>59936</v>
      </c>
      <c r="AO463" s="118">
        <v>295</v>
      </c>
      <c r="AP463" s="118">
        <f t="shared" si="7"/>
        <v>760</v>
      </c>
    </row>
    <row r="464" spans="1:42" ht="12.75">
      <c r="A464" s="106">
        <v>2018</v>
      </c>
      <c r="B464" s="106">
        <v>-169363</v>
      </c>
      <c r="C464" s="106">
        <v>0</v>
      </c>
      <c r="D464" s="106">
        <v>169363</v>
      </c>
      <c r="E464" s="106" t="s">
        <v>922</v>
      </c>
      <c r="F464" s="106" t="s">
        <v>923</v>
      </c>
      <c r="G464" s="106" t="s">
        <v>74</v>
      </c>
      <c r="H464" s="106">
        <v>7</v>
      </c>
      <c r="I464" s="106" t="s">
        <v>3641</v>
      </c>
      <c r="J464" s="106">
        <v>28420</v>
      </c>
      <c r="K464" s="106">
        <v>25088</v>
      </c>
      <c r="L464" s="106">
        <v>21602</v>
      </c>
      <c r="M464" s="106">
        <v>0.32</v>
      </c>
      <c r="N464" s="106">
        <v>0.54</v>
      </c>
      <c r="O464" s="106">
        <v>0.99</v>
      </c>
      <c r="P464" s="106">
        <v>15314</v>
      </c>
      <c r="Q464" s="106">
        <v>11626.422912205568</v>
      </c>
      <c r="R464" s="106">
        <v>0.43785049911327756</v>
      </c>
      <c r="S464" s="106">
        <v>22400.70449678801</v>
      </c>
      <c r="T464" s="106">
        <v>25740.184154175589</v>
      </c>
      <c r="U464" s="106">
        <v>23494.51650146352</v>
      </c>
      <c r="V464" s="106">
        <v>0.63533910177622965</v>
      </c>
      <c r="W464" s="106">
        <v>60618.724137931029</v>
      </c>
      <c r="X464" s="110">
        <v>0.48747798166923528</v>
      </c>
      <c r="Y464" s="106">
        <v>306.45895522388054</v>
      </c>
      <c r="Z464" s="106">
        <v>10.455223880597014</v>
      </c>
      <c r="AA464" s="106">
        <v>190816.33402058197</v>
      </c>
      <c r="AB464" s="106">
        <v>801.54430406424831</v>
      </c>
      <c r="AC464" s="106">
        <v>0.52406415055229871</v>
      </c>
      <c r="AD464" s="106">
        <v>12.432432432432433</v>
      </c>
      <c r="AE464" s="106">
        <v>238.06086956521739</v>
      </c>
      <c r="AF464" s="106">
        <v>7.5279903783168942E-2</v>
      </c>
      <c r="AG464" s="106">
        <v>28330</v>
      </c>
      <c r="AH464" s="106">
        <v>19374.011777301926</v>
      </c>
      <c r="AI464" s="106">
        <v>22400.70449678801</v>
      </c>
      <c r="AJ464" s="106">
        <v>23102.353319057816</v>
      </c>
      <c r="AK464" s="104">
        <v>23503.998929336187</v>
      </c>
      <c r="AL464" s="118"/>
      <c r="AM464" s="118">
        <v>904</v>
      </c>
      <c r="AN464" s="118">
        <v>27377</v>
      </c>
      <c r="AO464" s="118">
        <v>88</v>
      </c>
      <c r="AP464" s="118">
        <f t="shared" si="7"/>
        <v>90</v>
      </c>
    </row>
    <row r="465" spans="1:42" ht="12.75">
      <c r="A465" s="106">
        <v>2018</v>
      </c>
      <c r="B465" s="106">
        <v>-144351</v>
      </c>
      <c r="C465" s="106">
        <v>0</v>
      </c>
      <c r="D465" s="106">
        <v>144351</v>
      </c>
      <c r="E465" s="106" t="s">
        <v>4074</v>
      </c>
      <c r="F465" s="106" t="s">
        <v>1057</v>
      </c>
      <c r="G465" s="106" t="s">
        <v>243</v>
      </c>
      <c r="H465" s="106">
        <v>6</v>
      </c>
      <c r="I465" s="106" t="s">
        <v>3640</v>
      </c>
      <c r="J465" s="106">
        <v>31588</v>
      </c>
      <c r="K465" s="106">
        <v>16775</v>
      </c>
      <c r="L465" s="106">
        <v>14242</v>
      </c>
      <c r="M465" s="106">
        <v>0.55000000000000004</v>
      </c>
      <c r="N465" s="106">
        <v>0.81</v>
      </c>
      <c r="O465" s="106">
        <v>1</v>
      </c>
      <c r="P465" s="106">
        <v>18576</v>
      </c>
      <c r="Q465" s="106">
        <v>4595.2986381322953</v>
      </c>
      <c r="R465" s="106">
        <v>0.23746701455693273</v>
      </c>
      <c r="S465" s="106">
        <v>17953.809581712063</v>
      </c>
      <c r="T465" s="106">
        <v>18011.935554474709</v>
      </c>
      <c r="U465" s="106">
        <v>16506.053745136185</v>
      </c>
      <c r="V465" s="106">
        <v>0.89397593528244035</v>
      </c>
      <c r="W465" s="106">
        <v>64178.967542503866</v>
      </c>
      <c r="X465" s="110">
        <v>0.56063927238908362</v>
      </c>
      <c r="Y465" s="106">
        <v>265.69511184755595</v>
      </c>
      <c r="Z465" s="106">
        <v>10.220381110190555</v>
      </c>
      <c r="AA465" s="106">
        <v>34968.002575991755</v>
      </c>
      <c r="AB465" s="106">
        <v>634.93136447828772</v>
      </c>
      <c r="AC465" s="106">
        <v>2.8597572818945554</v>
      </c>
      <c r="AD465" s="106">
        <v>62.958157638663636</v>
      </c>
      <c r="AE465" s="106">
        <v>55.073673364245238</v>
      </c>
      <c r="AF465" s="106">
        <v>3.242467740484662E-2</v>
      </c>
      <c r="AG465" s="106">
        <v>30656</v>
      </c>
      <c r="AH465" s="106">
        <v>17004.467898832685</v>
      </c>
      <c r="AI465" s="106">
        <v>17953.809581712063</v>
      </c>
      <c r="AJ465" s="106">
        <v>18306.16755836576</v>
      </c>
      <c r="AK465" s="104">
        <v>16506.053745136185</v>
      </c>
      <c r="AM465" s="118">
        <v>1458</v>
      </c>
      <c r="AN465" s="118">
        <v>106898</v>
      </c>
      <c r="AO465" s="118">
        <v>464</v>
      </c>
      <c r="AP465" s="118">
        <f t="shared" si="7"/>
        <v>932</v>
      </c>
    </row>
    <row r="466" spans="1:42" ht="12.75">
      <c r="A466" s="106">
        <v>2018</v>
      </c>
      <c r="B466" s="106">
        <v>-112075</v>
      </c>
      <c r="C466" s="106">
        <v>0</v>
      </c>
      <c r="D466" s="106">
        <v>112075</v>
      </c>
      <c r="E466" s="106" t="s">
        <v>924</v>
      </c>
      <c r="F466" s="106" t="s">
        <v>434</v>
      </c>
      <c r="G466" s="106" t="s">
        <v>121</v>
      </c>
      <c r="H466" s="106">
        <v>6</v>
      </c>
      <c r="I466" s="106" t="s">
        <v>3640</v>
      </c>
      <c r="J466" s="107">
        <v>34100</v>
      </c>
      <c r="K466" s="107">
        <v>28588</v>
      </c>
      <c r="L466" s="107">
        <v>22489</v>
      </c>
      <c r="M466" s="107">
        <v>0.3</v>
      </c>
      <c r="N466" s="107">
        <v>0.63</v>
      </c>
      <c r="O466" s="107">
        <v>1</v>
      </c>
      <c r="P466" s="107">
        <v>17799</v>
      </c>
      <c r="Q466" s="107">
        <v>6034.1114256304681</v>
      </c>
      <c r="R466" s="106">
        <v>0.278194232027342</v>
      </c>
      <c r="S466" s="106">
        <v>19967.53576942872</v>
      </c>
      <c r="T466" s="106">
        <v>18070.33787956768</v>
      </c>
      <c r="U466" s="107">
        <v>16121.219505918683</v>
      </c>
      <c r="V466" s="106">
        <v>0.97115301134886478</v>
      </c>
      <c r="W466" s="106">
        <v>83308.685097774767</v>
      </c>
      <c r="X466" s="110">
        <v>0.58646366055170163</v>
      </c>
      <c r="Y466" s="106">
        <v>479.27064220183485</v>
      </c>
      <c r="Z466" s="106">
        <v>17.825688073394495</v>
      </c>
      <c r="AA466" s="106">
        <v>37830.34963768116</v>
      </c>
      <c r="AB466" s="106">
        <v>599.60240617911393</v>
      </c>
      <c r="AC466" s="106">
        <v>2.6433802742439996</v>
      </c>
      <c r="AD466" s="106">
        <v>44.720496894409941</v>
      </c>
      <c r="AE466" s="107">
        <v>63.092391304347828</v>
      </c>
      <c r="AF466" s="107">
        <v>9.4928785755073089E-2</v>
      </c>
      <c r="AG466" s="106">
        <v>33400</v>
      </c>
      <c r="AH466" s="106">
        <v>18293.128152341738</v>
      </c>
      <c r="AI466" s="106">
        <v>19967.53576942872</v>
      </c>
      <c r="AJ466" s="106">
        <v>20588.500514668038</v>
      </c>
      <c r="AK466" s="104">
        <v>16121.219505918683</v>
      </c>
      <c r="AM466" s="118">
        <v>1833</v>
      </c>
      <c r="AN466" s="118">
        <v>104481</v>
      </c>
      <c r="AO466" s="118">
        <v>481</v>
      </c>
      <c r="AP466" s="118">
        <f t="shared" si="7"/>
        <v>700</v>
      </c>
    </row>
    <row r="467" spans="1:42" ht="12.75">
      <c r="A467" s="106">
        <v>2018</v>
      </c>
      <c r="B467" s="106">
        <v>-180984</v>
      </c>
      <c r="C467" s="106">
        <v>0</v>
      </c>
      <c r="D467" s="106">
        <v>180984</v>
      </c>
      <c r="E467" s="106" t="s">
        <v>925</v>
      </c>
      <c r="F467" s="106" t="s">
        <v>926</v>
      </c>
      <c r="G467" s="106" t="s">
        <v>323</v>
      </c>
      <c r="H467" s="106">
        <v>6</v>
      </c>
      <c r="I467" s="106" t="s">
        <v>3640</v>
      </c>
      <c r="J467" s="106">
        <v>31000</v>
      </c>
      <c r="K467" s="106">
        <v>20681</v>
      </c>
      <c r="L467" s="106">
        <v>16754</v>
      </c>
      <c r="M467" s="106">
        <v>0.31</v>
      </c>
      <c r="N467" s="106">
        <v>0.72</v>
      </c>
      <c r="O467" s="106">
        <v>1</v>
      </c>
      <c r="P467" s="106">
        <v>20056</v>
      </c>
      <c r="Q467" s="106">
        <v>11445.660786290322</v>
      </c>
      <c r="R467" s="106">
        <v>0.51057580945978309</v>
      </c>
      <c r="S467" s="106">
        <v>27497.075100806451</v>
      </c>
      <c r="T467" s="106">
        <v>19546.180947580644</v>
      </c>
      <c r="U467" s="106">
        <v>17400.774697580644</v>
      </c>
      <c r="V467" s="106">
        <v>0.63051799145599086</v>
      </c>
      <c r="W467" s="106">
        <v>67397.726205997387</v>
      </c>
      <c r="X467" s="110">
        <v>0.44434036916759095</v>
      </c>
      <c r="Y467" s="106">
        <v>451.48053763440862</v>
      </c>
      <c r="Z467" s="106">
        <v>16</v>
      </c>
      <c r="AA467" s="106">
        <v>47356.840877914954</v>
      </c>
      <c r="AB467" s="106">
        <v>616.66533095771638</v>
      </c>
      <c r="AC467" s="106">
        <v>2.111627341397162</v>
      </c>
      <c r="AD467" s="106">
        <v>33.563535911602209</v>
      </c>
      <c r="AE467" s="106">
        <v>76.79504343850023</v>
      </c>
      <c r="AF467" s="106">
        <v>0.1932803134181677</v>
      </c>
      <c r="AG467" s="106">
        <v>30400</v>
      </c>
      <c r="AH467" s="106">
        <v>16402.474294354837</v>
      </c>
      <c r="AI467" s="106">
        <v>27632.98941532258</v>
      </c>
      <c r="AJ467" s="106">
        <v>28754.085181451614</v>
      </c>
      <c r="AK467" s="104">
        <v>17400.774697580644</v>
      </c>
      <c r="AL467" s="118"/>
      <c r="AM467" s="118">
        <v>1684</v>
      </c>
      <c r="AN467" s="118">
        <v>55983.58666666667</v>
      </c>
      <c r="AO467" s="118">
        <v>283</v>
      </c>
      <c r="AP467" s="118">
        <f t="shared" si="7"/>
        <v>600</v>
      </c>
    </row>
    <row r="468" spans="1:42" ht="12.75">
      <c r="A468" s="106">
        <v>2018</v>
      </c>
      <c r="B468" s="106">
        <v>-173328</v>
      </c>
      <c r="C468" s="106">
        <v>0</v>
      </c>
      <c r="D468" s="106">
        <v>173328</v>
      </c>
      <c r="E468" s="106" t="s">
        <v>927</v>
      </c>
      <c r="F468" s="106" t="s">
        <v>366</v>
      </c>
      <c r="G468" s="106" t="s">
        <v>113</v>
      </c>
      <c r="H468" s="106">
        <v>6</v>
      </c>
      <c r="I468" s="106" t="s">
        <v>3640</v>
      </c>
      <c r="J468" s="106">
        <v>21750</v>
      </c>
      <c r="K468" s="106">
        <v>18591</v>
      </c>
      <c r="L468" s="106">
        <v>13735</v>
      </c>
      <c r="M468" s="106">
        <v>0.42</v>
      </c>
      <c r="N468" s="106">
        <v>0.72</v>
      </c>
      <c r="O468" s="106">
        <v>0.99</v>
      </c>
      <c r="P468" s="106">
        <v>8997</v>
      </c>
      <c r="Q468" s="106">
        <v>2547.0235294117647</v>
      </c>
      <c r="R468" s="106">
        <v>0.17075918848567473</v>
      </c>
      <c r="S468" s="106">
        <v>15993.575959079284</v>
      </c>
      <c r="T468" s="106">
        <v>14523.176726342712</v>
      </c>
      <c r="U468" s="106">
        <v>13358.156010230179</v>
      </c>
      <c r="V468" s="106">
        <v>0.9259403960031698</v>
      </c>
      <c r="W468" s="106">
        <v>78925.69964028777</v>
      </c>
      <c r="X468" s="110">
        <v>0.51518545513484826</v>
      </c>
      <c r="Y468" s="106">
        <v>575.44623655913983</v>
      </c>
      <c r="Z468" s="106">
        <v>21.021505376344088</v>
      </c>
      <c r="AA468" s="106">
        <v>30260.944380069526</v>
      </c>
      <c r="AB468" s="106">
        <v>487.98398624723217</v>
      </c>
      <c r="AC468" s="106">
        <v>3.3045895311139741</v>
      </c>
      <c r="AD468" s="106">
        <v>45.053510832680757</v>
      </c>
      <c r="AE468" s="106">
        <v>62.012166859791428</v>
      </c>
      <c r="AF468" s="106">
        <v>7.908448551028302E-2</v>
      </c>
      <c r="AG468" s="106">
        <v>21750</v>
      </c>
      <c r="AH468" s="106">
        <v>14744.212787723785</v>
      </c>
      <c r="AI468" s="106">
        <v>15993.575959079284</v>
      </c>
      <c r="AJ468" s="106">
        <v>16527.910485933502</v>
      </c>
      <c r="AK468" s="104">
        <v>13358.156010230179</v>
      </c>
      <c r="AM468" s="118">
        <v>2870</v>
      </c>
      <c r="AN468" s="118">
        <v>107033</v>
      </c>
      <c r="AO468" s="118">
        <v>767</v>
      </c>
      <c r="AP468" s="118">
        <f t="shared" si="7"/>
        <v>0</v>
      </c>
    </row>
    <row r="469" spans="1:42" ht="12.75">
      <c r="A469" s="106">
        <v>2018</v>
      </c>
      <c r="B469" s="106">
        <v>-238616</v>
      </c>
      <c r="C469" s="106">
        <v>0</v>
      </c>
      <c r="D469" s="106">
        <v>238616</v>
      </c>
      <c r="E469" s="106" t="s">
        <v>928</v>
      </c>
      <c r="F469" s="106" t="s">
        <v>929</v>
      </c>
      <c r="G469" s="106" t="s">
        <v>139</v>
      </c>
      <c r="H469" s="106">
        <v>6</v>
      </c>
      <c r="I469" s="106" t="s">
        <v>3640</v>
      </c>
      <c r="J469" s="106">
        <v>28600</v>
      </c>
      <c r="K469" s="106">
        <v>24803</v>
      </c>
      <c r="L469" s="106">
        <v>20859</v>
      </c>
      <c r="M469" s="106">
        <v>0.25</v>
      </c>
      <c r="N469" s="106">
        <v>0.64</v>
      </c>
      <c r="O469" s="106">
        <v>1</v>
      </c>
      <c r="P469" s="106">
        <v>16300</v>
      </c>
      <c r="Q469" s="106">
        <v>5536.0381852551982</v>
      </c>
      <c r="R469" s="106">
        <v>0.26664999454055549</v>
      </c>
      <c r="S469" s="106">
        <v>19254.46956521739</v>
      </c>
      <c r="T469" s="106">
        <v>18034.234026465027</v>
      </c>
      <c r="U469" s="106">
        <v>15954.093992104197</v>
      </c>
      <c r="V469" s="106">
        <v>0.95432576943008096</v>
      </c>
      <c r="W469" s="106">
        <v>80832.213532513182</v>
      </c>
      <c r="X469" s="110">
        <v>0.64280922636760429</v>
      </c>
      <c r="Y469" s="106">
        <v>362.40480427046265</v>
      </c>
      <c r="Z469" s="106">
        <v>14.119217081850536</v>
      </c>
      <c r="AA469" s="106">
        <v>53415.922290019749</v>
      </c>
      <c r="AB469" s="106">
        <v>621.56824016785265</v>
      </c>
      <c r="AC469" s="106">
        <v>1.8721009712619723</v>
      </c>
      <c r="AD469" s="106">
        <v>28.65953201523671</v>
      </c>
      <c r="AE469" s="106">
        <v>85.937341772151896</v>
      </c>
      <c r="AF469" s="106">
        <v>3.61969487724303E-2</v>
      </c>
      <c r="AG469" s="106">
        <v>28330</v>
      </c>
      <c r="AH469" s="106">
        <v>18195.104158790171</v>
      </c>
      <c r="AI469" s="106">
        <v>19254.46956521739</v>
      </c>
      <c r="AJ469" s="106">
        <v>20331.231947069944</v>
      </c>
      <c r="AK469" s="104">
        <v>16004.627977315689</v>
      </c>
      <c r="AL469" s="118"/>
      <c r="AM469" s="118">
        <v>3709</v>
      </c>
      <c r="AN469" s="118">
        <v>135781</v>
      </c>
      <c r="AO469" s="118">
        <v>621</v>
      </c>
      <c r="AP469" s="118">
        <f t="shared" si="7"/>
        <v>270</v>
      </c>
    </row>
    <row r="470" spans="1:42" ht="12.75">
      <c r="A470" s="106">
        <v>2018</v>
      </c>
      <c r="B470" s="106">
        <v>-128902</v>
      </c>
      <c r="C470" s="106">
        <v>0</v>
      </c>
      <c r="D470" s="106">
        <v>128902</v>
      </c>
      <c r="E470" s="106" t="s">
        <v>930</v>
      </c>
      <c r="F470" s="106" t="s">
        <v>813</v>
      </c>
      <c r="G470" s="106" t="s">
        <v>99</v>
      </c>
      <c r="H470" s="106">
        <v>7</v>
      </c>
      <c r="I470" s="106" t="s">
        <v>3641</v>
      </c>
      <c r="J470" s="106">
        <v>52850</v>
      </c>
      <c r="K470" s="106">
        <v>38890</v>
      </c>
      <c r="L470" s="106">
        <v>19893</v>
      </c>
      <c r="M470" s="106">
        <v>0.16</v>
      </c>
      <c r="N470" s="106">
        <v>0.46</v>
      </c>
      <c r="O470" s="106">
        <v>0.86</v>
      </c>
      <c r="P470" s="106">
        <v>29630</v>
      </c>
      <c r="Q470" s="106">
        <v>19645.983413590155</v>
      </c>
      <c r="R470" s="106">
        <v>0.42185744586831847</v>
      </c>
      <c r="S470" s="106">
        <v>68711.075441412526</v>
      </c>
      <c r="T470" s="106">
        <v>62857.677902621726</v>
      </c>
      <c r="U470" s="106">
        <v>51957.397021062308</v>
      </c>
      <c r="V470" s="106">
        <v>0.51819784836506932</v>
      </c>
      <c r="W470" s="106">
        <v>98296.935692706087</v>
      </c>
      <c r="X470" s="110">
        <v>0.64621513265974928</v>
      </c>
      <c r="Y470" s="106">
        <v>246.30746705710104</v>
      </c>
      <c r="Z470" s="106">
        <v>8.2093704245973651</v>
      </c>
      <c r="AA470" s="106">
        <v>229029.18639708834</v>
      </c>
      <c r="AB470" s="106">
        <v>1731.7279233962026</v>
      </c>
      <c r="AC470" s="106">
        <v>0.43662557411622233</v>
      </c>
      <c r="AD470" s="106">
        <v>23.74020156774916</v>
      </c>
      <c r="AE470" s="106">
        <v>132.25471698113208</v>
      </c>
      <c r="AF470" s="106">
        <v>9.4968521811086143E-2</v>
      </c>
      <c r="AG470" s="106">
        <v>52530</v>
      </c>
      <c r="AH470" s="106">
        <v>42024.799892990901</v>
      </c>
      <c r="AI470" s="106">
        <v>65916.720706260036</v>
      </c>
      <c r="AJ470" s="106">
        <v>81033.707865168544</v>
      </c>
      <c r="AK470" s="104">
        <v>54044.408774745854</v>
      </c>
      <c r="AL470" s="118"/>
      <c r="AM470" s="118">
        <v>1817</v>
      </c>
      <c r="AN470" s="118">
        <v>56076</v>
      </c>
      <c r="AO470" s="118">
        <v>424</v>
      </c>
      <c r="AP470" s="118">
        <f t="shared" si="7"/>
        <v>320</v>
      </c>
    </row>
    <row r="471" spans="1:42" ht="12.75">
      <c r="A471" s="106">
        <v>2018</v>
      </c>
      <c r="B471" s="106">
        <v>-206996</v>
      </c>
      <c r="C471" s="106">
        <v>0</v>
      </c>
      <c r="D471" s="106">
        <v>206996</v>
      </c>
      <c r="E471" s="106" t="s">
        <v>931</v>
      </c>
      <c r="F471" s="106" t="s">
        <v>932</v>
      </c>
      <c r="G471" s="106" t="s">
        <v>271</v>
      </c>
      <c r="H471" s="106">
        <v>4</v>
      </c>
      <c r="I471" s="106" t="s">
        <v>24</v>
      </c>
      <c r="J471" s="106">
        <v>3512</v>
      </c>
      <c r="K471" s="106">
        <v>9878</v>
      </c>
      <c r="L471" s="106">
        <v>9431</v>
      </c>
      <c r="M471" s="106">
        <v>0.72</v>
      </c>
      <c r="N471" s="106">
        <v>0.35</v>
      </c>
      <c r="O471" s="106">
        <v>0.14000000000000001</v>
      </c>
      <c r="P471" s="106">
        <v>2176</v>
      </c>
      <c r="Q471" s="106">
        <v>1128.6531614487415</v>
      </c>
      <c r="R471" s="106">
        <v>0.27855836211726509</v>
      </c>
      <c r="S471" s="106">
        <v>12820.486801718846</v>
      </c>
      <c r="T471" s="106">
        <v>12787.49969306323</v>
      </c>
      <c r="U471" s="106">
        <v>7855.4027010435848</v>
      </c>
      <c r="V471" s="106">
        <v>0.37211489341849546</v>
      </c>
      <c r="W471" s="106">
        <v>55948.565517241383</v>
      </c>
      <c r="X471" s="110">
        <v>0.38944868129878796</v>
      </c>
      <c r="Y471" s="106">
        <v>842.55172413793105</v>
      </c>
      <c r="Z471" s="106">
        <v>28.086206896551722</v>
      </c>
      <c r="AA471" s="106">
        <v>29282.496567505721</v>
      </c>
      <c r="AB471" s="106">
        <v>261.85747319309161</v>
      </c>
      <c r="AC471" s="106">
        <v>3.4150093647058859</v>
      </c>
      <c r="AD471" s="106">
        <v>27.536231884057973</v>
      </c>
      <c r="AE471" s="106">
        <v>111.82608695652173</v>
      </c>
      <c r="AF471" s="106">
        <v>0.34272024727789296</v>
      </c>
      <c r="AG471" s="106">
        <v>2304</v>
      </c>
      <c r="AH471" s="106">
        <v>11212.24248004911</v>
      </c>
      <c r="AI471" s="106">
        <v>11212.24248004911</v>
      </c>
      <c r="AJ471" s="106">
        <v>12823.225291589932</v>
      </c>
      <c r="AK471" s="104">
        <v>9545.9343155309998</v>
      </c>
      <c r="AL471" s="119">
        <v>5650267</v>
      </c>
      <c r="AM471" s="118">
        <v>2393</v>
      </c>
      <c r="AN471" s="118">
        <v>48868</v>
      </c>
      <c r="AO471" s="118">
        <v>379</v>
      </c>
      <c r="AP471" s="118">
        <f t="shared" si="7"/>
        <v>1208</v>
      </c>
    </row>
    <row r="472" spans="1:42" ht="12.75">
      <c r="A472" s="106">
        <v>2018</v>
      </c>
      <c r="B472" s="106">
        <v>-112826</v>
      </c>
      <c r="C472" s="106">
        <v>0</v>
      </c>
      <c r="D472" s="106">
        <v>112826</v>
      </c>
      <c r="E472" s="106" t="s">
        <v>4075</v>
      </c>
      <c r="F472" s="106" t="s">
        <v>933</v>
      </c>
      <c r="G472" s="106" t="s">
        <v>121</v>
      </c>
      <c r="H472" s="106">
        <v>4</v>
      </c>
      <c r="I472" s="106" t="s">
        <v>24</v>
      </c>
      <c r="J472" s="106">
        <v>1312</v>
      </c>
      <c r="K472" s="106">
        <v>7808</v>
      </c>
      <c r="L472" s="106">
        <v>6046</v>
      </c>
      <c r="M472" s="106">
        <v>0.49</v>
      </c>
      <c r="N472" s="106">
        <v>0.01</v>
      </c>
      <c r="O472" s="106">
        <v>0.16</v>
      </c>
      <c r="P472" s="106">
        <v>1085</v>
      </c>
      <c r="Q472" s="106">
        <v>12.253873966942148</v>
      </c>
      <c r="R472" s="106">
        <v>7.5335119579239855E-3</v>
      </c>
      <c r="S472" s="106">
        <v>14374.041064049587</v>
      </c>
      <c r="T472" s="106">
        <v>16221.810175619834</v>
      </c>
      <c r="U472" s="106">
        <v>11900.472500985681</v>
      </c>
      <c r="V472" s="106">
        <v>0.13565242856819834</v>
      </c>
      <c r="W472" s="106">
        <v>124158.26849642006</v>
      </c>
      <c r="X472" s="110">
        <v>0.55215848141138801</v>
      </c>
      <c r="Y472" s="106">
        <v>705.47368421052624</v>
      </c>
      <c r="Z472" s="106">
        <v>23.514170040485826</v>
      </c>
      <c r="AA472" s="106">
        <v>31932.522192527067</v>
      </c>
      <c r="AB472" s="106">
        <v>396.65509885524892</v>
      </c>
      <c r="AC472" s="106">
        <v>3.1316035544289784</v>
      </c>
      <c r="AD472" s="106">
        <v>42.033207107486163</v>
      </c>
      <c r="AE472" s="106">
        <v>80.50450450450451</v>
      </c>
      <c r="AF472" s="106"/>
      <c r="AG472" s="106">
        <v>1288</v>
      </c>
      <c r="AH472" s="106">
        <v>13365.963068181818</v>
      </c>
      <c r="AI472" s="106">
        <v>13406.942407024793</v>
      </c>
      <c r="AJ472" s="106">
        <v>14374.041064049587</v>
      </c>
      <c r="AK472" s="104">
        <v>14801.100723140496</v>
      </c>
      <c r="AL472" s="118">
        <v>29662673</v>
      </c>
      <c r="AM472" s="118">
        <v>6727</v>
      </c>
      <c r="AN472" s="118">
        <v>116168</v>
      </c>
      <c r="AO472" s="118">
        <v>912</v>
      </c>
      <c r="AP472" s="118">
        <f t="shared" si="7"/>
        <v>24</v>
      </c>
    </row>
    <row r="473" spans="1:42" ht="12.75">
      <c r="A473" s="106">
        <v>2018</v>
      </c>
      <c r="B473" s="106">
        <v>-217961</v>
      </c>
      <c r="C473" s="106">
        <v>0</v>
      </c>
      <c r="D473" s="106">
        <v>217961</v>
      </c>
      <c r="E473" s="106" t="s">
        <v>934</v>
      </c>
      <c r="F473" s="106" t="s">
        <v>935</v>
      </c>
      <c r="G473" s="106" t="s">
        <v>79</v>
      </c>
      <c r="H473" s="106">
        <v>6</v>
      </c>
      <c r="I473" s="106" t="s">
        <v>3640</v>
      </c>
      <c r="J473" s="106">
        <v>17680</v>
      </c>
      <c r="K473" s="106">
        <v>19058</v>
      </c>
      <c r="L473" s="106">
        <v>15971</v>
      </c>
      <c r="M473" s="106">
        <v>0.43</v>
      </c>
      <c r="N473" s="106">
        <v>0.76</v>
      </c>
      <c r="O473" s="106">
        <v>0.95</v>
      </c>
      <c r="P473" s="106">
        <v>6311</v>
      </c>
      <c r="Q473" s="106">
        <v>2655.8212083847102</v>
      </c>
      <c r="R473" s="106">
        <v>0.23213914266332786</v>
      </c>
      <c r="S473" s="106">
        <v>15860.910604192355</v>
      </c>
      <c r="T473" s="106">
        <v>17615.551787916153</v>
      </c>
      <c r="U473" s="106">
        <v>15668.448992055135</v>
      </c>
      <c r="V473" s="106">
        <v>0.56066956250007749</v>
      </c>
      <c r="W473" s="106">
        <v>69613.2130637636</v>
      </c>
      <c r="X473" s="110">
        <v>0.52219690838282018</v>
      </c>
      <c r="Y473" s="106">
        <v>515.919540229885</v>
      </c>
      <c r="Z473" s="106">
        <v>18.643678160919539</v>
      </c>
      <c r="AA473" s="106">
        <v>92415.360964048828</v>
      </c>
      <c r="AB473" s="106">
        <v>566.20751398269863</v>
      </c>
      <c r="AC473" s="106">
        <v>1.0820711941914258</v>
      </c>
      <c r="AD473" s="106">
        <v>23.089840470193117</v>
      </c>
      <c r="AE473" s="106">
        <v>163.21818181818182</v>
      </c>
      <c r="AF473" s="106">
        <v>3.511248336890125E-2</v>
      </c>
      <c r="AG473" s="106">
        <v>16680</v>
      </c>
      <c r="AH473" s="106">
        <v>12877.135635018496</v>
      </c>
      <c r="AI473" s="106">
        <v>15860.910604192355</v>
      </c>
      <c r="AJ473" s="106">
        <v>19643.574599260173</v>
      </c>
      <c r="AK473" s="104">
        <v>15733.397657213316</v>
      </c>
      <c r="AM473" s="118">
        <v>918</v>
      </c>
      <c r="AN473" s="118">
        <v>44885</v>
      </c>
      <c r="AO473" s="118">
        <v>169</v>
      </c>
      <c r="AP473" s="118">
        <f t="shared" si="7"/>
        <v>1000</v>
      </c>
    </row>
    <row r="474" spans="1:42" ht="12.75">
      <c r="A474" s="106">
        <v>2018</v>
      </c>
      <c r="B474" s="106">
        <v>-190372</v>
      </c>
      <c r="C474" s="106">
        <v>0</v>
      </c>
      <c r="D474" s="106">
        <v>190372</v>
      </c>
      <c r="E474" s="106" t="s">
        <v>936</v>
      </c>
      <c r="F474" s="106" t="s">
        <v>290</v>
      </c>
      <c r="G474" s="106" t="s">
        <v>69</v>
      </c>
      <c r="H474" s="106">
        <v>7</v>
      </c>
      <c r="I474" s="106" t="s">
        <v>3641</v>
      </c>
      <c r="J474" s="106">
        <v>45100</v>
      </c>
      <c r="K474" s="106">
        <v>28579</v>
      </c>
      <c r="L474" s="106">
        <v>8252</v>
      </c>
      <c r="M474" s="106">
        <v>0.27</v>
      </c>
      <c r="N474" s="106">
        <v>0.25</v>
      </c>
      <c r="O474" s="106">
        <v>0.98</v>
      </c>
      <c r="P474" s="106">
        <v>32656</v>
      </c>
      <c r="Q474" s="106">
        <v>28500.02995169082</v>
      </c>
      <c r="R474" s="106">
        <v>0.70472920281742302</v>
      </c>
      <c r="S474" s="106">
        <v>29785.580676328504</v>
      </c>
      <c r="T474" s="106">
        <v>75652.332367149764</v>
      </c>
      <c r="U474" s="106">
        <v>68082.553012597622</v>
      </c>
      <c r="V474" s="106">
        <v>0.17539116458602919</v>
      </c>
      <c r="W474" s="106">
        <v>149602.73992673992</v>
      </c>
      <c r="X474" s="110">
        <v>0.52160233023266722</v>
      </c>
      <c r="Y474" s="106">
        <v>298.55844155844159</v>
      </c>
      <c r="Z474" s="106">
        <v>10.081168831168831</v>
      </c>
      <c r="AA474" s="106">
        <v>272067.34505034186</v>
      </c>
      <c r="AB474" s="106">
        <v>2298.8856312161861</v>
      </c>
      <c r="AC474" s="106">
        <v>0.36755605484920123</v>
      </c>
      <c r="AD474" s="106">
        <v>28.091106290672453</v>
      </c>
      <c r="AE474" s="106">
        <v>118.34749034749035</v>
      </c>
      <c r="AF474" s="106">
        <v>4.1686813542539024E-2</v>
      </c>
      <c r="AG474" s="106">
        <v>43250</v>
      </c>
      <c r="AH474" s="106">
        <v>18299.437681159419</v>
      </c>
      <c r="AI474" s="106">
        <v>29839.840579710144</v>
      </c>
      <c r="AJ474" s="106">
        <v>98664.375845410628</v>
      </c>
      <c r="AK474" s="104">
        <v>73884.052173913049</v>
      </c>
      <c r="AL474" s="118">
        <v>62580</v>
      </c>
      <c r="AM474" s="118">
        <v>868</v>
      </c>
      <c r="AN474" s="118">
        <v>30652</v>
      </c>
      <c r="AO474" s="118">
        <v>209</v>
      </c>
      <c r="AP474" s="118">
        <f t="shared" si="7"/>
        <v>1850</v>
      </c>
    </row>
    <row r="475" spans="1:42" ht="12.75">
      <c r="A475" s="106">
        <v>2018</v>
      </c>
      <c r="B475" s="106">
        <v>1795</v>
      </c>
      <c r="C475" s="106">
        <v>1</v>
      </c>
      <c r="D475" s="106">
        <v>175573</v>
      </c>
      <c r="E475" s="106" t="s">
        <v>3842</v>
      </c>
      <c r="F475" s="106" t="s">
        <v>937</v>
      </c>
      <c r="G475" s="106" t="s">
        <v>107</v>
      </c>
      <c r="H475" s="106">
        <v>4</v>
      </c>
      <c r="I475" s="106" t="s">
        <v>24</v>
      </c>
      <c r="J475" s="106">
        <v>3180</v>
      </c>
      <c r="K475" s="106">
        <v>4990</v>
      </c>
      <c r="L475" s="106">
        <v>2854</v>
      </c>
      <c r="M475" s="106">
        <v>0.66</v>
      </c>
      <c r="N475" s="106">
        <v>0.22</v>
      </c>
      <c r="O475" s="106">
        <v>0.26</v>
      </c>
      <c r="P475" s="106">
        <v>2265</v>
      </c>
      <c r="Q475" s="106">
        <v>707.50423429781233</v>
      </c>
      <c r="R475" s="106">
        <v>0.22322549731141944</v>
      </c>
      <c r="S475" s="106">
        <v>13988.916372618207</v>
      </c>
      <c r="T475" s="106">
        <v>12429.417078334509</v>
      </c>
      <c r="U475" s="106">
        <v>8836.5148200423428</v>
      </c>
      <c r="V475" s="106">
        <v>0.27861160084165104</v>
      </c>
      <c r="W475" s="106">
        <v>66026.351926977688</v>
      </c>
      <c r="X475" s="110">
        <v>0.61605906923747955</v>
      </c>
      <c r="Y475" s="106">
        <v>722.60906515580734</v>
      </c>
      <c r="Z475" s="106">
        <v>24.084985835694049</v>
      </c>
      <c r="AA475" s="106">
        <v>29496.681978798588</v>
      </c>
      <c r="AB475" s="106">
        <v>294.52624460465501</v>
      </c>
      <c r="AC475" s="106">
        <v>3.3902118235494179</v>
      </c>
      <c r="AD475" s="106">
        <v>34.909539473684212</v>
      </c>
      <c r="AE475" s="106">
        <v>100.14958775029446</v>
      </c>
      <c r="AF475" s="106">
        <v>0.30398713564086877</v>
      </c>
      <c r="AG475" s="106">
        <v>2800</v>
      </c>
      <c r="AH475" s="106">
        <v>13081.930134086097</v>
      </c>
      <c r="AI475" s="106">
        <v>13081.930134086097</v>
      </c>
      <c r="AJ475" s="106">
        <v>13996.913549752999</v>
      </c>
      <c r="AK475" s="104">
        <v>9900.2702893436835</v>
      </c>
      <c r="AL475" s="118">
        <v>15738694</v>
      </c>
      <c r="AM475" s="118">
        <v>3075</v>
      </c>
      <c r="AN475" s="118">
        <v>85027</v>
      </c>
      <c r="AO475" s="118">
        <v>738</v>
      </c>
      <c r="AP475" s="118">
        <f t="shared" si="7"/>
        <v>380</v>
      </c>
    </row>
    <row r="476" spans="1:42" ht="12.75">
      <c r="A476" s="106">
        <v>2018</v>
      </c>
      <c r="B476" s="106">
        <v>-395362</v>
      </c>
      <c r="C476" s="106">
        <v>0</v>
      </c>
      <c r="D476" s="106">
        <v>395362</v>
      </c>
      <c r="E476" s="106" t="s">
        <v>938</v>
      </c>
      <c r="F476" s="106" t="s">
        <v>939</v>
      </c>
      <c r="G476" s="106" t="s">
        <v>121</v>
      </c>
      <c r="H476" s="106">
        <v>4</v>
      </c>
      <c r="I476" s="106" t="s">
        <v>24</v>
      </c>
      <c r="J476" s="106">
        <v>1112</v>
      </c>
      <c r="K476" s="106">
        <v>8736</v>
      </c>
      <c r="L476" s="106">
        <v>8039</v>
      </c>
      <c r="M476" s="106">
        <v>0.64</v>
      </c>
      <c r="N476" s="106">
        <v>0.04</v>
      </c>
      <c r="O476" s="106">
        <v>0.04</v>
      </c>
      <c r="P476" s="106">
        <v>758</v>
      </c>
      <c r="Q476" s="106">
        <v>683.89625108979942</v>
      </c>
      <c r="R476" s="106">
        <v>2.8697817012449649</v>
      </c>
      <c r="S476" s="106">
        <v>24556.037489102004</v>
      </c>
      <c r="T476" s="106">
        <v>22087.817785527463</v>
      </c>
      <c r="U476" s="106">
        <v>10934.810899383261</v>
      </c>
      <c r="V476" s="106">
        <v>-4.0749378488428425E-2</v>
      </c>
      <c r="W476" s="106">
        <v>105866.05694760819</v>
      </c>
      <c r="X476" s="110">
        <v>0.61148213675245044</v>
      </c>
      <c r="Y476" s="106">
        <v>430.15</v>
      </c>
      <c r="Z476" s="106">
        <v>14.3375</v>
      </c>
      <c r="AA476" s="106">
        <v>41530.556627790065</v>
      </c>
      <c r="AB476" s="106">
        <v>364.47251254192145</v>
      </c>
      <c r="AC476" s="106">
        <v>2.4078656324361725</v>
      </c>
      <c r="AD476" s="106">
        <v>28.982725527831093</v>
      </c>
      <c r="AE476" s="106">
        <v>113.94701986754967</v>
      </c>
      <c r="AF476" s="106">
        <v>0.37180929592294859</v>
      </c>
      <c r="AG476" s="106">
        <v>1104</v>
      </c>
      <c r="AH476" s="106">
        <v>20580.971229293809</v>
      </c>
      <c r="AI476" s="106">
        <v>20580.971229293809</v>
      </c>
      <c r="AJ476" s="106">
        <v>24003.908456843939</v>
      </c>
      <c r="AK476" s="104">
        <v>15491.886660854403</v>
      </c>
      <c r="AL476" s="119">
        <v>13668958</v>
      </c>
      <c r="AM476" s="118">
        <v>1844</v>
      </c>
      <c r="AN476" s="118">
        <v>34412</v>
      </c>
      <c r="AO476" s="118">
        <v>226</v>
      </c>
      <c r="AP476" s="118">
        <f t="shared" si="7"/>
        <v>8</v>
      </c>
    </row>
    <row r="477" spans="1:42" ht="12.75">
      <c r="A477" s="106">
        <v>2018</v>
      </c>
      <c r="B477" s="106">
        <v>-162283</v>
      </c>
      <c r="C477" s="106">
        <v>0</v>
      </c>
      <c r="D477" s="106">
        <v>162283</v>
      </c>
      <c r="E477" s="106" t="s">
        <v>940</v>
      </c>
      <c r="F477" s="106" t="s">
        <v>284</v>
      </c>
      <c r="G477" s="106" t="s">
        <v>124</v>
      </c>
      <c r="H477" s="106">
        <v>2</v>
      </c>
      <c r="I477" s="106" t="s">
        <v>25</v>
      </c>
      <c r="J477" s="106">
        <v>7474</v>
      </c>
      <c r="K477" s="106">
        <v>9689</v>
      </c>
      <c r="L477" s="106">
        <v>10396</v>
      </c>
      <c r="M477" s="106">
        <v>0.77</v>
      </c>
      <c r="N477" s="106">
        <v>0.67</v>
      </c>
      <c r="O477" s="106">
        <v>0.54</v>
      </c>
      <c r="P477" s="106">
        <v>4065</v>
      </c>
      <c r="Q477" s="106">
        <v>1905.5102754700481</v>
      </c>
      <c r="R477" s="106">
        <v>0.29885183589881026</v>
      </c>
      <c r="S477" s="106">
        <v>35438.163533012681</v>
      </c>
      <c r="T477" s="106">
        <v>39078.724092697856</v>
      </c>
      <c r="U477" s="106">
        <v>28622.520720651275</v>
      </c>
      <c r="V477" s="106">
        <v>0.1561914618691487</v>
      </c>
      <c r="W477" s="106">
        <v>93390.158415841579</v>
      </c>
      <c r="X477" s="110">
        <v>0.52769860960981951</v>
      </c>
      <c r="Y477" s="106">
        <v>409.53987730061351</v>
      </c>
      <c r="Z477" s="106">
        <v>14.030674846625766</v>
      </c>
      <c r="AA477" s="106">
        <v>136659.0916244874</v>
      </c>
      <c r="AB477" s="106">
        <v>980.59628324664016</v>
      </c>
      <c r="AC477" s="106">
        <v>0.73174787576358657</v>
      </c>
      <c r="AD477" s="106">
        <v>20.356991075223117</v>
      </c>
      <c r="AE477" s="106">
        <v>139.36325678496868</v>
      </c>
      <c r="AF477" s="106">
        <v>-2.9646207003500586E-2</v>
      </c>
      <c r="AG477" s="106">
        <v>4468</v>
      </c>
      <c r="AH477" s="106">
        <v>35591.253607345869</v>
      </c>
      <c r="AI477" s="106">
        <v>35591.253607345869</v>
      </c>
      <c r="AJ477" s="106">
        <v>35580.780935723655</v>
      </c>
      <c r="AK477" s="104">
        <v>29233.077393965894</v>
      </c>
      <c r="AL477" s="118">
        <v>46566387</v>
      </c>
      <c r="AM477" s="118">
        <v>2507</v>
      </c>
      <c r="AN477" s="118">
        <v>66755</v>
      </c>
      <c r="AO477" s="118">
        <v>399</v>
      </c>
      <c r="AP477" s="118">
        <f t="shared" si="7"/>
        <v>3006</v>
      </c>
    </row>
    <row r="478" spans="1:42" ht="12.75">
      <c r="A478" s="106">
        <v>2018</v>
      </c>
      <c r="B478" s="106">
        <v>-210331</v>
      </c>
      <c r="C478" s="106">
        <v>0</v>
      </c>
      <c r="D478" s="106">
        <v>210331</v>
      </c>
      <c r="E478" s="106" t="s">
        <v>941</v>
      </c>
      <c r="F478" s="106" t="s">
        <v>717</v>
      </c>
      <c r="G478" s="106" t="s">
        <v>405</v>
      </c>
      <c r="H478" s="106">
        <v>6</v>
      </c>
      <c r="I478" s="106" t="s">
        <v>3640</v>
      </c>
      <c r="J478" s="106">
        <v>31640</v>
      </c>
      <c r="K478" s="106">
        <v>24260</v>
      </c>
      <c r="L478" s="106">
        <v>18556</v>
      </c>
      <c r="M478" s="106">
        <v>0.33</v>
      </c>
      <c r="N478" s="106">
        <v>0.72</v>
      </c>
      <c r="O478" s="106">
        <v>0.99</v>
      </c>
      <c r="P478" s="106">
        <v>17931</v>
      </c>
      <c r="Q478" s="106">
        <v>12853.478260869566</v>
      </c>
      <c r="R478" s="106">
        <v>0.52942981860917426</v>
      </c>
      <c r="S478" s="106">
        <v>22745.405217391304</v>
      </c>
      <c r="T478" s="106">
        <v>22484.206086956521</v>
      </c>
      <c r="U478" s="106">
        <v>16916.720869565219</v>
      </c>
      <c r="V478" s="106">
        <v>0.67533691517664363</v>
      </c>
      <c r="W478" s="106">
        <v>58047.005263157895</v>
      </c>
      <c r="X478" s="110">
        <v>0.42653828849986564</v>
      </c>
      <c r="Y478" s="106">
        <v>419</v>
      </c>
      <c r="Z478" s="106">
        <v>14.375</v>
      </c>
      <c r="AA478" s="106">
        <v>84952.965065502183</v>
      </c>
      <c r="AB478" s="106">
        <v>580.37676014319811</v>
      </c>
      <c r="AC478" s="106">
        <v>1.1771219512220197</v>
      </c>
      <c r="AD478" s="106">
        <v>21.342031686859272</v>
      </c>
      <c r="AE478" s="106">
        <v>146.37554585152839</v>
      </c>
      <c r="AF478" s="106">
        <v>4.5669987854947816E-2</v>
      </c>
      <c r="AG478" s="106">
        <v>30980</v>
      </c>
      <c r="AH478" s="106">
        <v>18692.373913043477</v>
      </c>
      <c r="AI478" s="106">
        <v>22745.405217391304</v>
      </c>
      <c r="AJ478" s="106">
        <v>22745.405217391304</v>
      </c>
      <c r="AK478" s="104">
        <v>16916.720869565219</v>
      </c>
      <c r="AM478" s="118">
        <v>1021</v>
      </c>
      <c r="AN478" s="118">
        <v>33520</v>
      </c>
      <c r="AO478" s="118">
        <v>188</v>
      </c>
      <c r="AP478" s="118">
        <f t="shared" si="7"/>
        <v>660</v>
      </c>
    </row>
    <row r="479" spans="1:42" ht="12.75">
      <c r="A479" s="106">
        <v>2018</v>
      </c>
      <c r="B479" s="106">
        <v>-153162</v>
      </c>
      <c r="C479" s="106">
        <v>0</v>
      </c>
      <c r="D479" s="106">
        <v>153162</v>
      </c>
      <c r="E479" s="106" t="s">
        <v>942</v>
      </c>
      <c r="F479" s="106" t="s">
        <v>444</v>
      </c>
      <c r="G479" s="106" t="s">
        <v>447</v>
      </c>
      <c r="H479" s="106">
        <v>7</v>
      </c>
      <c r="I479" s="106" t="s">
        <v>3641</v>
      </c>
      <c r="J479" s="106">
        <v>40880</v>
      </c>
      <c r="K479" s="106">
        <v>27962</v>
      </c>
      <c r="L479" s="106">
        <v>22796</v>
      </c>
      <c r="M479" s="106">
        <v>0.22</v>
      </c>
      <c r="N479" s="106">
        <v>0.61</v>
      </c>
      <c r="O479" s="106">
        <v>1</v>
      </c>
      <c r="P479" s="106">
        <v>26392</v>
      </c>
      <c r="Q479" s="106">
        <v>22761.208910891088</v>
      </c>
      <c r="R479" s="106">
        <v>0.58041535734085337</v>
      </c>
      <c r="S479" s="106">
        <v>38889.122772277231</v>
      </c>
      <c r="T479" s="106">
        <v>39421.269306930692</v>
      </c>
      <c r="U479" s="106">
        <v>31772.498543136735</v>
      </c>
      <c r="V479" s="106">
        <v>0.51787464132823202</v>
      </c>
      <c r="W479" s="106">
        <v>81060.535433070865</v>
      </c>
      <c r="X479" s="110">
        <v>0.51711984800284472</v>
      </c>
      <c r="Y479" s="106">
        <v>304.13377926421401</v>
      </c>
      <c r="Z479" s="106">
        <v>10.133779264214047</v>
      </c>
      <c r="AA479" s="106">
        <v>145864.65240258229</v>
      </c>
      <c r="AB479" s="106">
        <v>1058.6640118952264</v>
      </c>
      <c r="AC479" s="106">
        <v>0.68556705379177707</v>
      </c>
      <c r="AD479" s="106">
        <v>21.890547263681594</v>
      </c>
      <c r="AE479" s="106">
        <v>137.78181818181818</v>
      </c>
      <c r="AF479" s="106">
        <v>2.3612074942497653E-2</v>
      </c>
      <c r="AG479" s="106">
        <v>40655</v>
      </c>
      <c r="AH479" s="106">
        <v>26317.609900990097</v>
      </c>
      <c r="AI479" s="106">
        <v>38885.900990099013</v>
      </c>
      <c r="AJ479" s="106">
        <v>43138.774257425743</v>
      </c>
      <c r="AK479" s="104">
        <v>32016.159405940594</v>
      </c>
      <c r="AM479" s="118">
        <v>1009</v>
      </c>
      <c r="AN479" s="118">
        <v>30312</v>
      </c>
      <c r="AO479" s="118">
        <v>220</v>
      </c>
      <c r="AP479" s="118">
        <f t="shared" si="7"/>
        <v>225</v>
      </c>
    </row>
    <row r="480" spans="1:42" ht="12.75">
      <c r="A480" s="106">
        <v>2018</v>
      </c>
      <c r="B480" s="106">
        <v>-190415</v>
      </c>
      <c r="C480" s="106">
        <v>0</v>
      </c>
      <c r="D480" s="106">
        <v>190415</v>
      </c>
      <c r="E480" s="106" t="s">
        <v>943</v>
      </c>
      <c r="F480" s="106" t="s">
        <v>944</v>
      </c>
      <c r="G480" s="106" t="s">
        <v>69</v>
      </c>
      <c r="H480" s="106">
        <v>5</v>
      </c>
      <c r="I480" s="106" t="s">
        <v>3639</v>
      </c>
      <c r="J480" s="106">
        <v>52853</v>
      </c>
      <c r="K480" s="106">
        <v>28890</v>
      </c>
      <c r="L480" s="106">
        <v>6048</v>
      </c>
      <c r="M480" s="106">
        <v>0.16</v>
      </c>
      <c r="N480" s="106">
        <v>0.32</v>
      </c>
      <c r="O480" s="106">
        <v>0.46</v>
      </c>
      <c r="P480" s="106">
        <v>40638</v>
      </c>
      <c r="Q480" s="106">
        <v>17522.174219579527</v>
      </c>
      <c r="R480" s="106">
        <v>0.38715855877114774</v>
      </c>
      <c r="S480" s="106">
        <v>96693.36547037588</v>
      </c>
      <c r="T480" s="106">
        <v>99965.889403270339</v>
      </c>
      <c r="U480" s="106">
        <v>54027.388520409993</v>
      </c>
      <c r="V480" s="106">
        <v>0.51337330147943561</v>
      </c>
      <c r="W480" s="106">
        <v>135375.99198200842</v>
      </c>
      <c r="X480" s="110">
        <v>0.5882194474570881</v>
      </c>
      <c r="Y480" s="106">
        <v>234.93819060773481</v>
      </c>
      <c r="Z480" s="106">
        <v>8.130179558011049</v>
      </c>
      <c r="AA480" s="106">
        <v>175337.67921613416</v>
      </c>
      <c r="AB480" s="106">
        <v>1869.6507731889239</v>
      </c>
      <c r="AC480" s="106">
        <v>0.57032806894137478</v>
      </c>
      <c r="AD480" s="106">
        <v>31.599808354022386</v>
      </c>
      <c r="AE480" s="106">
        <v>93.78097863542385</v>
      </c>
      <c r="AF480" s="106">
        <v>5.4292019665760555E-2</v>
      </c>
      <c r="AG480" s="106">
        <v>52612</v>
      </c>
      <c r="AH480" s="106">
        <v>78512.952346570397</v>
      </c>
      <c r="AI480" s="106">
        <v>94776.862433637711</v>
      </c>
      <c r="AJ480" s="106">
        <v>118174.33582501592</v>
      </c>
      <c r="AK480" s="104">
        <v>90011.346230622206</v>
      </c>
      <c r="AL480" s="118">
        <v>370231039</v>
      </c>
      <c r="AM480" s="118">
        <v>14907</v>
      </c>
      <c r="AN480" s="118">
        <v>680381</v>
      </c>
      <c r="AO480" s="118">
        <v>3675</v>
      </c>
      <c r="AP480" s="118">
        <f t="shared" si="7"/>
        <v>241</v>
      </c>
    </row>
    <row r="481" spans="1:42" ht="12.75">
      <c r="A481" s="106">
        <v>2018</v>
      </c>
      <c r="B481" s="106">
        <v>-170037</v>
      </c>
      <c r="C481" s="106">
        <v>0</v>
      </c>
      <c r="D481" s="106">
        <v>170037</v>
      </c>
      <c r="E481" s="106" t="s">
        <v>945</v>
      </c>
      <c r="F481" s="106" t="s">
        <v>186</v>
      </c>
      <c r="G481" s="106" t="s">
        <v>74</v>
      </c>
      <c r="H481" s="106">
        <v>6</v>
      </c>
      <c r="I481" s="106" t="s">
        <v>3640</v>
      </c>
      <c r="J481" s="106">
        <v>27520</v>
      </c>
      <c r="K481" s="106">
        <v>20461</v>
      </c>
      <c r="L481" s="106">
        <v>17600</v>
      </c>
      <c r="M481" s="106">
        <v>0.38</v>
      </c>
      <c r="N481" s="106">
        <v>0.91</v>
      </c>
      <c r="O481" s="106">
        <v>1</v>
      </c>
      <c r="P481" s="106">
        <v>15971</v>
      </c>
      <c r="Q481" s="106">
        <v>7392.1063106796119</v>
      </c>
      <c r="R481" s="106">
        <v>0.38690789284795057</v>
      </c>
      <c r="S481" s="106">
        <v>23082.936407766989</v>
      </c>
      <c r="T481" s="106">
        <v>19046.19563106796</v>
      </c>
      <c r="U481" s="106">
        <v>14969.008252427184</v>
      </c>
      <c r="V481" s="106">
        <v>0.782516154655718</v>
      </c>
      <c r="W481" s="106">
        <v>72806.56297918949</v>
      </c>
      <c r="X481" s="110">
        <v>0.56473485276459789</v>
      </c>
      <c r="Y481" s="106">
        <v>631.70357142857142</v>
      </c>
      <c r="Z481" s="106">
        <v>22.071428571428573</v>
      </c>
      <c r="AA481" s="106">
        <v>45280.700440528635</v>
      </c>
      <c r="AB481" s="106">
        <v>523.01017656337456</v>
      </c>
      <c r="AC481" s="106">
        <v>2.2084464027083528</v>
      </c>
      <c r="AD481" s="106">
        <v>36.4951768488746</v>
      </c>
      <c r="AE481" s="106">
        <v>86.57709251101322</v>
      </c>
      <c r="AF481" s="106">
        <v>0.12770168518463207</v>
      </c>
      <c r="AG481" s="106">
        <v>27150</v>
      </c>
      <c r="AH481" s="106">
        <v>16855.64854368932</v>
      </c>
      <c r="AI481" s="106">
        <v>23082.936407766989</v>
      </c>
      <c r="AJ481" s="106">
        <v>23495.941262135922</v>
      </c>
      <c r="AK481" s="104">
        <v>14969.008252427184</v>
      </c>
      <c r="AM481" s="118">
        <v>1755</v>
      </c>
      <c r="AN481" s="118">
        <v>58959</v>
      </c>
      <c r="AO481" s="118">
        <v>469</v>
      </c>
      <c r="AP481" s="118">
        <f t="shared" si="7"/>
        <v>370</v>
      </c>
    </row>
    <row r="482" spans="1:42" ht="12.75">
      <c r="A482" s="106">
        <v>2018</v>
      </c>
      <c r="B482" s="106">
        <v>-190442</v>
      </c>
      <c r="C482" s="106">
        <v>0</v>
      </c>
      <c r="D482" s="106">
        <v>190442</v>
      </c>
      <c r="E482" s="106" t="s">
        <v>946</v>
      </c>
      <c r="F482" s="106" t="s">
        <v>947</v>
      </c>
      <c r="G482" s="106" t="s">
        <v>69</v>
      </c>
      <c r="H482" s="106">
        <v>4</v>
      </c>
      <c r="I482" s="106" t="s">
        <v>24</v>
      </c>
      <c r="J482" s="106">
        <v>5102</v>
      </c>
      <c r="K482" s="106">
        <v>6847</v>
      </c>
      <c r="L482" s="106">
        <v>4428</v>
      </c>
      <c r="M482" s="106">
        <v>0.54</v>
      </c>
      <c r="N482" s="106">
        <v>0.48</v>
      </c>
      <c r="O482" s="106">
        <v>7.0000000000000007E-2</v>
      </c>
      <c r="P482" s="107">
        <v>2447</v>
      </c>
      <c r="Q482" s="106"/>
      <c r="R482" s="106"/>
      <c r="S482" s="106">
        <v>12895.592225307417</v>
      </c>
      <c r="T482" s="106">
        <v>14184.569218564062</v>
      </c>
      <c r="U482" s="106">
        <v>9948.9385164617215</v>
      </c>
      <c r="V482" s="106">
        <v>0.55445536777756987</v>
      </c>
      <c r="W482" s="106">
        <v>72048.726683937828</v>
      </c>
      <c r="X482" s="110">
        <v>0.51848161229335066</v>
      </c>
      <c r="Y482" s="106">
        <v>595.62204724409446</v>
      </c>
      <c r="Z482" s="106">
        <v>19.8503937007874</v>
      </c>
      <c r="AA482" s="106">
        <v>48513.102514506769</v>
      </c>
      <c r="AB482" s="106">
        <v>331.56990640368042</v>
      </c>
      <c r="AC482" s="106">
        <v>2.0612988000529797</v>
      </c>
      <c r="AD482" s="106">
        <v>20.622257678500201</v>
      </c>
      <c r="AE482" s="106">
        <v>146.31334622823985</v>
      </c>
      <c r="AF482" s="106">
        <v>-7.5135727921680509E-2</v>
      </c>
      <c r="AG482" s="106">
        <v>4518</v>
      </c>
      <c r="AH482" s="106">
        <v>13982.780245934153</v>
      </c>
      <c r="AI482" s="106">
        <v>13982.780245934153</v>
      </c>
      <c r="AJ482" s="106">
        <v>12902.352241174138</v>
      </c>
      <c r="AK482" s="104">
        <v>10018.228084093613</v>
      </c>
      <c r="AL482" s="118">
        <v>17598649</v>
      </c>
      <c r="AM482" s="118">
        <v>3834</v>
      </c>
      <c r="AN482" s="118">
        <v>75644</v>
      </c>
      <c r="AO482" s="118">
        <v>496</v>
      </c>
      <c r="AP482" s="118">
        <f t="shared" si="7"/>
        <v>584</v>
      </c>
    </row>
    <row r="483" spans="1:42" ht="12.75">
      <c r="A483" s="106">
        <v>2018</v>
      </c>
      <c r="B483" s="106">
        <v>-106795</v>
      </c>
      <c r="C483" s="106">
        <v>0</v>
      </c>
      <c r="D483" s="106">
        <v>106795</v>
      </c>
      <c r="E483" s="106" t="s">
        <v>948</v>
      </c>
      <c r="F483" s="106" t="s">
        <v>949</v>
      </c>
      <c r="G483" s="106" t="s">
        <v>200</v>
      </c>
      <c r="H483" s="106">
        <v>4</v>
      </c>
      <c r="I483" s="106" t="s">
        <v>24</v>
      </c>
      <c r="J483" s="106">
        <v>3210</v>
      </c>
      <c r="K483" s="106">
        <v>5306</v>
      </c>
      <c r="L483" s="106">
        <v>4194</v>
      </c>
      <c r="M483" s="106">
        <v>0.7</v>
      </c>
      <c r="N483" s="106">
        <v>0</v>
      </c>
      <c r="O483" s="106">
        <v>0.19</v>
      </c>
      <c r="P483" s="106">
        <v>1292</v>
      </c>
      <c r="Q483" s="106">
        <v>199.185510428101</v>
      </c>
      <c r="R483" s="106">
        <v>4.6432244281434804E-2</v>
      </c>
      <c r="S483" s="106">
        <v>14651.790340285401</v>
      </c>
      <c r="T483" s="106">
        <v>14688.738748627882</v>
      </c>
      <c r="U483" s="106">
        <v>13126.999300657619</v>
      </c>
      <c r="V483" s="106">
        <v>0.31161916708257215</v>
      </c>
      <c r="W483" s="106">
        <v>56609.095238095237</v>
      </c>
      <c r="X483" s="110">
        <v>0.62187151593016032</v>
      </c>
      <c r="Y483" s="106">
        <v>496.96363636363634</v>
      </c>
      <c r="Z483" s="106">
        <v>16.563636363636363</v>
      </c>
      <c r="AA483" s="106">
        <v>20442.21600495571</v>
      </c>
      <c r="AB483" s="106">
        <v>437.51861716237119</v>
      </c>
      <c r="AC483" s="106">
        <v>4.8918375569340169</v>
      </c>
      <c r="AD483" s="106">
        <v>68.102444703143192</v>
      </c>
      <c r="AE483" s="106">
        <v>46.723076923076924</v>
      </c>
      <c r="AF483" s="106">
        <v>2.4500352937439764E-2</v>
      </c>
      <c r="AG483" s="106">
        <v>2130</v>
      </c>
      <c r="AH483" s="106">
        <v>13715.453347969265</v>
      </c>
      <c r="AI483" s="106">
        <v>13868.084522502744</v>
      </c>
      <c r="AJ483" s="106">
        <v>14672.558726673984</v>
      </c>
      <c r="AK483" s="104">
        <v>14441.327113062569</v>
      </c>
      <c r="AL483" s="119">
        <v>6068740</v>
      </c>
      <c r="AM483" s="118">
        <v>1506</v>
      </c>
      <c r="AN483" s="118">
        <v>27333</v>
      </c>
      <c r="AO483" s="118">
        <v>165</v>
      </c>
      <c r="AP483" s="118">
        <f t="shared" si="7"/>
        <v>1080</v>
      </c>
    </row>
    <row r="484" spans="1:42" ht="12.75">
      <c r="A484" s="106">
        <v>2018</v>
      </c>
      <c r="B484" s="106">
        <v>-113096</v>
      </c>
      <c r="C484" s="106">
        <v>0</v>
      </c>
      <c r="D484" s="106">
        <v>113096</v>
      </c>
      <c r="E484" s="106" t="s">
        <v>4076</v>
      </c>
      <c r="F484" s="106" t="s">
        <v>153</v>
      </c>
      <c r="G484" s="106" t="s">
        <v>121</v>
      </c>
      <c r="H484" s="106">
        <v>4</v>
      </c>
      <c r="I484" s="106" t="s">
        <v>24</v>
      </c>
      <c r="J484" s="106">
        <v>1104</v>
      </c>
      <c r="K484" s="106">
        <v>6296</v>
      </c>
      <c r="L484" s="106">
        <v>4231</v>
      </c>
      <c r="M484" s="106">
        <v>0.49</v>
      </c>
      <c r="N484" s="106">
        <v>0.03</v>
      </c>
      <c r="O484" s="106">
        <v>0.02</v>
      </c>
      <c r="P484" s="106">
        <v>886</v>
      </c>
      <c r="Q484" s="106"/>
      <c r="R484" s="106"/>
      <c r="S484" s="106">
        <v>10607.28699290945</v>
      </c>
      <c r="T484" s="106">
        <v>11110.731140299895</v>
      </c>
      <c r="U484" s="106">
        <v>8794.5117588418252</v>
      </c>
      <c r="V484" s="106">
        <v>0.3970500625201609</v>
      </c>
      <c r="W484" s="106">
        <v>132988.00495750707</v>
      </c>
      <c r="X484" s="110">
        <v>0.65483721296153119</v>
      </c>
      <c r="Y484" s="106">
        <v>889.91724137931033</v>
      </c>
      <c r="Z484" s="106">
        <v>29.665517241379309</v>
      </c>
      <c r="AA484" s="106">
        <v>46964.11214234402</v>
      </c>
      <c r="AB484" s="106">
        <v>293.16629466248787</v>
      </c>
      <c r="AC484" s="106">
        <v>2.1292854360135451</v>
      </c>
      <c r="AD484" s="106">
        <v>22.873775379809739</v>
      </c>
      <c r="AE484" s="106">
        <v>160.19615145872129</v>
      </c>
      <c r="AF484" s="106"/>
      <c r="AG484" s="106">
        <v>0</v>
      </c>
      <c r="AH484" s="106">
        <v>11851.297686853422</v>
      </c>
      <c r="AI484" s="106">
        <v>11851.297686853422</v>
      </c>
      <c r="AJ484" s="106">
        <v>10656.746367546204</v>
      </c>
      <c r="AK484" s="104">
        <v>8844.676275717773</v>
      </c>
      <c r="AL484" s="118">
        <v>48650973</v>
      </c>
      <c r="AM484" s="118">
        <v>14120</v>
      </c>
      <c r="AN484" s="118">
        <v>258076</v>
      </c>
      <c r="AO484" s="118">
        <v>1098</v>
      </c>
      <c r="AP484" s="118">
        <f t="shared" si="7"/>
        <v>1104</v>
      </c>
    </row>
    <row r="485" spans="1:42" ht="12.75">
      <c r="A485" s="106">
        <v>2018</v>
      </c>
      <c r="B485" s="106">
        <v>-177117</v>
      </c>
      <c r="C485" s="106">
        <v>0</v>
      </c>
      <c r="D485" s="106">
        <v>177117</v>
      </c>
      <c r="E485" s="106" t="s">
        <v>950</v>
      </c>
      <c r="F485" s="106" t="s">
        <v>951</v>
      </c>
      <c r="G485" s="106" t="s">
        <v>264</v>
      </c>
      <c r="H485" s="106">
        <v>7</v>
      </c>
      <c r="I485" s="106" t="s">
        <v>3641</v>
      </c>
      <c r="J485" s="106">
        <v>20200</v>
      </c>
      <c r="K485" s="106">
        <v>18767</v>
      </c>
      <c r="L485" s="106">
        <v>17143</v>
      </c>
      <c r="M485" s="106">
        <v>0.45</v>
      </c>
      <c r="N485" s="106">
        <v>0.62</v>
      </c>
      <c r="O485" s="106">
        <v>0.97</v>
      </c>
      <c r="P485" s="106">
        <v>9637</v>
      </c>
      <c r="Q485" s="106">
        <v>10782.627819548872</v>
      </c>
      <c r="R485" s="106">
        <v>0.59949727306378964</v>
      </c>
      <c r="S485" s="106">
        <v>47688.281954887221</v>
      </c>
      <c r="T485" s="106">
        <v>62507.274436090229</v>
      </c>
      <c r="U485" s="106">
        <v>51893.966165413534</v>
      </c>
      <c r="V485" s="106">
        <v>0.13881168185995227</v>
      </c>
      <c r="W485" s="106">
        <v>57786.644578313251</v>
      </c>
      <c r="X485" s="110">
        <v>0.57693032419986001</v>
      </c>
      <c r="Y485" s="106">
        <v>175.74264705882351</v>
      </c>
      <c r="Z485" s="106">
        <v>5.867647058823529</v>
      </c>
      <c r="AA485" s="106">
        <v>143789.53125</v>
      </c>
      <c r="AB485" s="106">
        <v>1732.6214384335383</v>
      </c>
      <c r="AC485" s="106">
        <v>0.69546092215944966</v>
      </c>
      <c r="AD485" s="106">
        <v>36.363636363636367</v>
      </c>
      <c r="AE485" s="106">
        <v>82.989583333333329</v>
      </c>
      <c r="AF485" s="106">
        <v>2.1951679127327133E-2</v>
      </c>
      <c r="AG485" s="106">
        <v>19100</v>
      </c>
      <c r="AH485" s="106">
        <v>18281.593984962405</v>
      </c>
      <c r="AI485" s="106">
        <v>47688.281954887221</v>
      </c>
      <c r="AJ485" s="106">
        <v>72229.830827067664</v>
      </c>
      <c r="AK485" s="104">
        <v>51893.966165413534</v>
      </c>
      <c r="AL485" s="118"/>
      <c r="AM485" s="118">
        <v>270</v>
      </c>
      <c r="AN485" s="118">
        <v>7967</v>
      </c>
      <c r="AO485" s="118">
        <v>96</v>
      </c>
      <c r="AP485" s="118">
        <f t="shared" si="7"/>
        <v>1100</v>
      </c>
    </row>
    <row r="486" spans="1:42" ht="12.75">
      <c r="A486" s="106">
        <v>2018</v>
      </c>
      <c r="B486" s="106">
        <v>-184180</v>
      </c>
      <c r="C486" s="106">
        <v>0</v>
      </c>
      <c r="D486" s="106">
        <v>184180</v>
      </c>
      <c r="E486" s="106" t="s">
        <v>952</v>
      </c>
      <c r="F486" s="106" t="s">
        <v>953</v>
      </c>
      <c r="G486" s="106" t="s">
        <v>234</v>
      </c>
      <c r="H486" s="106">
        <v>4</v>
      </c>
      <c r="I486" s="106" t="s">
        <v>24</v>
      </c>
      <c r="J486" s="106">
        <v>4830</v>
      </c>
      <c r="K486" s="106">
        <v>8468</v>
      </c>
      <c r="L486" s="106">
        <v>7071</v>
      </c>
      <c r="M486" s="106">
        <v>0.32</v>
      </c>
      <c r="N486" s="106">
        <v>0.21</v>
      </c>
      <c r="O486" s="106">
        <v>0.06</v>
      </c>
      <c r="P486" s="106">
        <v>936</v>
      </c>
      <c r="Q486" s="106">
        <v>54.427312013828868</v>
      </c>
      <c r="R486" s="106">
        <v>8.7921191659385087E-3</v>
      </c>
      <c r="S486" s="106">
        <v>12319.650129645635</v>
      </c>
      <c r="T486" s="106">
        <v>12484.587035436474</v>
      </c>
      <c r="U486" s="106">
        <v>9039.184472207</v>
      </c>
      <c r="V486" s="106">
        <v>0.67882654613086657</v>
      </c>
      <c r="W486" s="106">
        <v>78011.660245183884</v>
      </c>
      <c r="X486" s="110">
        <v>0.6167626762629741</v>
      </c>
      <c r="Y486" s="106">
        <v>602.55208333333337</v>
      </c>
      <c r="Z486" s="106">
        <v>20.086805555555557</v>
      </c>
      <c r="AA486" s="106">
        <v>38591.647359201103</v>
      </c>
      <c r="AB486" s="106">
        <v>301.33219334265419</v>
      </c>
      <c r="AC486" s="106">
        <v>2.5912342914316611</v>
      </c>
      <c r="AD486" s="106">
        <v>26.027660391855552</v>
      </c>
      <c r="AE486" s="106">
        <v>128.07011070110701</v>
      </c>
      <c r="AF486" s="106">
        <v>2.4128703124595065E-2</v>
      </c>
      <c r="AG486" s="106">
        <v>3750</v>
      </c>
      <c r="AH486" s="106">
        <v>11961.030769230769</v>
      </c>
      <c r="AI486" s="106">
        <v>11961.030769230769</v>
      </c>
      <c r="AJ486" s="106">
        <v>12461.108902333621</v>
      </c>
      <c r="AK486" s="104">
        <v>9869.2580812445976</v>
      </c>
      <c r="AL486" s="118">
        <v>19086382</v>
      </c>
      <c r="AM486" s="118">
        <v>7949</v>
      </c>
      <c r="AN486" s="118">
        <v>173535</v>
      </c>
      <c r="AO486" s="118">
        <v>1269</v>
      </c>
      <c r="AP486" s="118">
        <f t="shared" si="7"/>
        <v>1080</v>
      </c>
    </row>
    <row r="487" spans="1:42" ht="12.75">
      <c r="A487" s="106">
        <v>2018</v>
      </c>
      <c r="B487" s="106">
        <v>-139393</v>
      </c>
      <c r="C487" s="106">
        <v>0</v>
      </c>
      <c r="D487" s="106">
        <v>139393</v>
      </c>
      <c r="E487" s="106" t="s">
        <v>954</v>
      </c>
      <c r="F487" s="106" t="s">
        <v>955</v>
      </c>
      <c r="G487" s="106" t="s">
        <v>63</v>
      </c>
      <c r="H487" s="106">
        <v>7</v>
      </c>
      <c r="I487" s="106" t="s">
        <v>3641</v>
      </c>
      <c r="J487" s="106">
        <v>33170</v>
      </c>
      <c r="K487" s="106">
        <v>23053</v>
      </c>
      <c r="L487" s="106">
        <v>16921</v>
      </c>
      <c r="M487" s="106">
        <v>0.28999999999999998</v>
      </c>
      <c r="N487" s="106">
        <v>0.56000000000000005</v>
      </c>
      <c r="O487" s="106">
        <v>0.96</v>
      </c>
      <c r="P487" s="106">
        <v>20389</v>
      </c>
      <c r="Q487" s="106">
        <v>17367.575119617224</v>
      </c>
      <c r="R487" s="106">
        <v>0.58353417210730274</v>
      </c>
      <c r="S487" s="106">
        <v>35665.455502392346</v>
      </c>
      <c r="T487" s="106">
        <v>30978.69090909091</v>
      </c>
      <c r="U487" s="106">
        <v>23548.253404428833</v>
      </c>
      <c r="V487" s="106">
        <v>0.52637295104155868</v>
      </c>
      <c r="W487" s="106">
        <v>86596.586890243911</v>
      </c>
      <c r="X487" s="110">
        <v>0.5849301504735529</v>
      </c>
      <c r="Y487" s="106">
        <v>410.30263157894734</v>
      </c>
      <c r="Z487" s="106">
        <v>13.75</v>
      </c>
      <c r="AA487" s="106">
        <v>105613.41119153704</v>
      </c>
      <c r="AB487" s="106">
        <v>789.14552184293143</v>
      </c>
      <c r="AC487" s="106">
        <v>0.94684944716578889</v>
      </c>
      <c r="AD487" s="106">
        <v>22.490347490347489</v>
      </c>
      <c r="AE487" s="106">
        <v>133.83261802575106</v>
      </c>
      <c r="AF487" s="106">
        <v>8.2469650188614504E-2</v>
      </c>
      <c r="AG487" s="106">
        <v>32230</v>
      </c>
      <c r="AH487" s="106">
        <v>25171.656459330145</v>
      </c>
      <c r="AI487" s="106">
        <v>33867.35311004785</v>
      </c>
      <c r="AJ487" s="106">
        <v>38455.397129186604</v>
      </c>
      <c r="AK487" s="104">
        <v>23860.959808612439</v>
      </c>
      <c r="AL487" s="118"/>
      <c r="AM487" s="118">
        <v>1030</v>
      </c>
      <c r="AN487" s="118">
        <v>31183</v>
      </c>
      <c r="AO487" s="118">
        <v>216</v>
      </c>
      <c r="AP487" s="118">
        <f t="shared" si="7"/>
        <v>940</v>
      </c>
    </row>
    <row r="488" spans="1:42" ht="12.75">
      <c r="A488" s="106">
        <v>2018</v>
      </c>
      <c r="B488" s="106">
        <v>-154952</v>
      </c>
      <c r="C488" s="106">
        <v>0</v>
      </c>
      <c r="D488" s="106">
        <v>154952</v>
      </c>
      <c r="E488" s="106" t="s">
        <v>956</v>
      </c>
      <c r="F488" s="106" t="s">
        <v>957</v>
      </c>
      <c r="G488" s="106" t="s">
        <v>129</v>
      </c>
      <c r="H488" s="106">
        <v>4</v>
      </c>
      <c r="I488" s="106" t="s">
        <v>24</v>
      </c>
      <c r="J488" s="106">
        <v>2945</v>
      </c>
      <c r="K488" s="106">
        <v>9122</v>
      </c>
      <c r="L488" s="106">
        <v>7315</v>
      </c>
      <c r="M488" s="106">
        <v>0.46</v>
      </c>
      <c r="N488" s="106">
        <v>0.4</v>
      </c>
      <c r="O488" s="106">
        <v>0.66</v>
      </c>
      <c r="P488" s="106">
        <v>2532</v>
      </c>
      <c r="Q488" s="106">
        <v>614.70948616600788</v>
      </c>
      <c r="R488" s="106">
        <v>0.17443676910372369</v>
      </c>
      <c r="S488" s="106">
        <v>15287.181818181818</v>
      </c>
      <c r="T488" s="106">
        <v>15196.166007905138</v>
      </c>
      <c r="U488" s="106">
        <v>11249.587450592886</v>
      </c>
      <c r="V488" s="106">
        <v>0.25861018618820675</v>
      </c>
      <c r="W488" s="106">
        <v>57365.775106082037</v>
      </c>
      <c r="X488" s="110">
        <v>0.43954818148950614</v>
      </c>
      <c r="Y488" s="106">
        <v>634.67247386759584</v>
      </c>
      <c r="Z488" s="106">
        <v>21.15679442508711</v>
      </c>
      <c r="AA488" s="106">
        <v>29608.797139141741</v>
      </c>
      <c r="AB488" s="106">
        <v>375.00477625706145</v>
      </c>
      <c r="AC488" s="106">
        <v>3.3773746204570965</v>
      </c>
      <c r="AD488" s="106">
        <v>37.825873093949831</v>
      </c>
      <c r="AE488" s="106">
        <v>78.955786736020812</v>
      </c>
      <c r="AF488" s="106">
        <v>3.2140862064988139E-2</v>
      </c>
      <c r="AG488" s="106">
        <v>1705</v>
      </c>
      <c r="AH488" s="106">
        <v>13278.510375494072</v>
      </c>
      <c r="AI488" s="106">
        <v>13853.779150197628</v>
      </c>
      <c r="AJ488" s="106">
        <v>15608.758893280632</v>
      </c>
      <c r="AK488" s="104">
        <v>12850.120059288538</v>
      </c>
      <c r="AL488" s="118">
        <v>13011042</v>
      </c>
      <c r="AM488" s="118">
        <v>2643</v>
      </c>
      <c r="AN488" s="118">
        <v>60717</v>
      </c>
      <c r="AO488" s="118">
        <v>432</v>
      </c>
      <c r="AP488" s="118">
        <f t="shared" si="7"/>
        <v>1240</v>
      </c>
    </row>
    <row r="489" spans="1:42" ht="12.75">
      <c r="A489" s="106">
        <v>2018</v>
      </c>
      <c r="B489" s="106">
        <v>-113111</v>
      </c>
      <c r="C489" s="106">
        <v>0</v>
      </c>
      <c r="D489" s="106">
        <v>113111</v>
      </c>
      <c r="E489" s="106" t="s">
        <v>4077</v>
      </c>
      <c r="F489" s="106" t="s">
        <v>4078</v>
      </c>
      <c r="G489" s="106" t="s">
        <v>121</v>
      </c>
      <c r="H489" s="106">
        <v>4</v>
      </c>
      <c r="I489" s="106" t="s">
        <v>24</v>
      </c>
      <c r="J489" s="106">
        <v>1143</v>
      </c>
      <c r="K489" s="106">
        <v>16458</v>
      </c>
      <c r="L489" s="106">
        <v>14226</v>
      </c>
      <c r="M489" s="106">
        <v>0.37</v>
      </c>
      <c r="N489" s="106">
        <v>0</v>
      </c>
      <c r="O489" s="106">
        <v>0.02</v>
      </c>
      <c r="P489" s="106">
        <v>779</v>
      </c>
      <c r="Q489" s="106">
        <v>13.296155791603439</v>
      </c>
      <c r="R489" s="106">
        <v>8.334454940787845E-3</v>
      </c>
      <c r="S489" s="106">
        <v>18610.73899848255</v>
      </c>
      <c r="T489" s="106">
        <v>10173.249620637329</v>
      </c>
      <c r="U489" s="106">
        <v>8591.3411525213996</v>
      </c>
      <c r="V489" s="106">
        <v>0.18414212540784622</v>
      </c>
      <c r="W489" s="106">
        <v>100304.70723306545</v>
      </c>
      <c r="X489" s="110">
        <v>0.72397213187838849</v>
      </c>
      <c r="Y489" s="106">
        <v>687.05212355212348</v>
      </c>
      <c r="Z489" s="106">
        <v>22.899613899613897</v>
      </c>
      <c r="AA489" s="106">
        <v>33970.162917069611</v>
      </c>
      <c r="AB489" s="106">
        <v>286.35148415734182</v>
      </c>
      <c r="AC489" s="106">
        <v>2.9437598001554228</v>
      </c>
      <c r="AD489" s="106">
        <v>28.826751225136928</v>
      </c>
      <c r="AE489" s="106">
        <v>118.631</v>
      </c>
      <c r="AF489" s="106"/>
      <c r="AG489" s="106">
        <v>1104</v>
      </c>
      <c r="AH489" s="106">
        <v>18577.271117855336</v>
      </c>
      <c r="AI489" s="106">
        <v>18577.271117855336</v>
      </c>
      <c r="AJ489" s="106">
        <v>18610.73899848255</v>
      </c>
      <c r="AK489" s="104">
        <v>9129.6987860394529</v>
      </c>
      <c r="AL489" s="118">
        <v>33288098</v>
      </c>
      <c r="AM489" s="118">
        <v>6251</v>
      </c>
      <c r="AN489" s="118">
        <v>118631</v>
      </c>
      <c r="AO489" s="118">
        <v>575</v>
      </c>
      <c r="AP489" s="118">
        <f t="shared" si="7"/>
        <v>39</v>
      </c>
    </row>
    <row r="490" spans="1:42" ht="12.75">
      <c r="A490" s="106">
        <v>2018</v>
      </c>
      <c r="B490" s="106">
        <v>-198367</v>
      </c>
      <c r="C490" s="106">
        <v>0</v>
      </c>
      <c r="D490" s="106">
        <v>198367</v>
      </c>
      <c r="E490" s="106" t="s">
        <v>958</v>
      </c>
      <c r="F490" s="106" t="s">
        <v>959</v>
      </c>
      <c r="G490" s="106" t="s">
        <v>90</v>
      </c>
      <c r="H490" s="106">
        <v>4</v>
      </c>
      <c r="I490" s="106" t="s">
        <v>24</v>
      </c>
      <c r="J490" s="106">
        <v>2053</v>
      </c>
      <c r="K490" s="106">
        <v>7809</v>
      </c>
      <c r="L490" s="106">
        <v>11413</v>
      </c>
      <c r="M490" s="106">
        <v>0.6</v>
      </c>
      <c r="N490" s="106">
        <v>0.01</v>
      </c>
      <c r="O490" s="106">
        <v>0.16</v>
      </c>
      <c r="P490" s="106">
        <v>1086</v>
      </c>
      <c r="Q490" s="106">
        <v>198.92551940415524</v>
      </c>
      <c r="R490" s="106">
        <v>8.1621200386988127E-2</v>
      </c>
      <c r="S490" s="106">
        <v>11681.02077616621</v>
      </c>
      <c r="T490" s="106">
        <v>12520.71305370443</v>
      </c>
      <c r="U490" s="106">
        <v>9689.0619249852789</v>
      </c>
      <c r="V490" s="106">
        <v>0.23100833035862187</v>
      </c>
      <c r="W490" s="106">
        <v>55259.954909819637</v>
      </c>
      <c r="X490" s="110">
        <v>0.57554633343121375</v>
      </c>
      <c r="Y490" s="106">
        <v>538.94366197183103</v>
      </c>
      <c r="Z490" s="106">
        <v>17.964788732394368</v>
      </c>
      <c r="AA490" s="106">
        <v>36401.762843354118</v>
      </c>
      <c r="AB490" s="106">
        <v>322.96873083284265</v>
      </c>
      <c r="AC490" s="106">
        <v>2.7471197048979463</v>
      </c>
      <c r="AD490" s="106">
        <v>38.535754824063559</v>
      </c>
      <c r="AE490" s="106">
        <v>112.7098674521355</v>
      </c>
      <c r="AF490" s="106">
        <v>9.6658576375272965E-3</v>
      </c>
      <c r="AG490" s="106">
        <v>1824</v>
      </c>
      <c r="AH490" s="106">
        <v>9975.83731869855</v>
      </c>
      <c r="AI490" s="106">
        <v>10307.961975695805</v>
      </c>
      <c r="AJ490" s="106">
        <v>11798.366522932183</v>
      </c>
      <c r="AK490" s="104">
        <v>12115.956095648766</v>
      </c>
      <c r="AL490" s="118">
        <v>16880172</v>
      </c>
      <c r="AM490" s="118">
        <v>3021</v>
      </c>
      <c r="AN490" s="118">
        <v>76530</v>
      </c>
      <c r="AO490" s="118">
        <v>402</v>
      </c>
      <c r="AP490" s="118">
        <f t="shared" si="7"/>
        <v>229</v>
      </c>
    </row>
    <row r="491" spans="1:42" ht="12.75">
      <c r="A491" s="106">
        <v>2018</v>
      </c>
      <c r="B491" s="106">
        <v>-181002</v>
      </c>
      <c r="C491" s="106">
        <v>0</v>
      </c>
      <c r="D491" s="106">
        <v>181002</v>
      </c>
      <c r="E491" s="106" t="s">
        <v>960</v>
      </c>
      <c r="F491" s="106" t="s">
        <v>835</v>
      </c>
      <c r="G491" s="106" t="s">
        <v>323</v>
      </c>
      <c r="H491" s="106">
        <v>6</v>
      </c>
      <c r="I491" s="106" t="s">
        <v>3640</v>
      </c>
      <c r="J491" s="106">
        <v>38750</v>
      </c>
      <c r="K491" s="106">
        <v>31317</v>
      </c>
      <c r="L491" s="106">
        <v>25429</v>
      </c>
      <c r="M491" s="106">
        <v>0.14000000000000001</v>
      </c>
      <c r="N491" s="106">
        <v>0.53</v>
      </c>
      <c r="O491" s="106">
        <v>1</v>
      </c>
      <c r="P491" s="106">
        <v>20933</v>
      </c>
      <c r="Q491" s="106">
        <v>10898.056702253854</v>
      </c>
      <c r="R491" s="106">
        <v>0.28803364120004488</v>
      </c>
      <c r="S491" s="106">
        <v>46387.663107947803</v>
      </c>
      <c r="T491" s="106">
        <v>44772.360616844606</v>
      </c>
      <c r="U491" s="106">
        <v>30552.716534273721</v>
      </c>
      <c r="V491" s="106">
        <v>0.88168913913254698</v>
      </c>
      <c r="W491" s="106">
        <v>113322.73567839195</v>
      </c>
      <c r="X491" s="110">
        <v>0.59749263838953348</v>
      </c>
      <c r="Y491" s="106">
        <v>220.57402597402597</v>
      </c>
      <c r="Z491" s="106">
        <v>10.948051948051948</v>
      </c>
      <c r="AA491" s="106">
        <v>106297.73024512071</v>
      </c>
      <c r="AB491" s="106">
        <v>1516.464716524343</v>
      </c>
      <c r="AC491" s="106">
        <v>0.94075385964875957</v>
      </c>
      <c r="AD491" s="106">
        <v>32.152335456475583</v>
      </c>
      <c r="AE491" s="106">
        <v>70.095749071399098</v>
      </c>
      <c r="AF491" s="106">
        <v>7.6978082877471488E-2</v>
      </c>
      <c r="AG491" s="106">
        <v>37086</v>
      </c>
      <c r="AH491" s="106">
        <v>41161.320047449582</v>
      </c>
      <c r="AI491" s="106">
        <v>46527.439145907476</v>
      </c>
      <c r="AJ491" s="106">
        <v>52945.077105575328</v>
      </c>
      <c r="AK491" s="104">
        <v>34015.658362989321</v>
      </c>
      <c r="AL491" s="118"/>
      <c r="AM491" s="118">
        <v>4255</v>
      </c>
      <c r="AN491" s="118">
        <v>169842</v>
      </c>
      <c r="AO491" s="118">
        <v>1011</v>
      </c>
      <c r="AP491" s="118">
        <f t="shared" si="7"/>
        <v>1664</v>
      </c>
    </row>
    <row r="492" spans="1:42" ht="12.75">
      <c r="A492" s="106">
        <v>2018</v>
      </c>
      <c r="B492" s="106">
        <v>-177135</v>
      </c>
      <c r="C492" s="106">
        <v>0</v>
      </c>
      <c r="D492" s="106">
        <v>177135</v>
      </c>
      <c r="E492" s="106" t="s">
        <v>961</v>
      </c>
      <c r="F492" s="106" t="s">
        <v>962</v>
      </c>
      <c r="G492" s="106" t="s">
        <v>264</v>
      </c>
      <c r="H492" s="106">
        <v>4</v>
      </c>
      <c r="I492" s="106" t="s">
        <v>24</v>
      </c>
      <c r="J492" s="106">
        <v>2664</v>
      </c>
      <c r="K492" s="106">
        <v>5111</v>
      </c>
      <c r="L492" s="106">
        <v>4826</v>
      </c>
      <c r="M492" s="106">
        <v>0.59</v>
      </c>
      <c r="N492" s="106">
        <v>0.16</v>
      </c>
      <c r="O492" s="106">
        <v>0.17</v>
      </c>
      <c r="P492" s="106">
        <v>2503</v>
      </c>
      <c r="Q492" s="106">
        <v>427.68174526788579</v>
      </c>
      <c r="R492" s="106">
        <v>0.10620849525191099</v>
      </c>
      <c r="S492" s="106">
        <v>14383.473211421238</v>
      </c>
      <c r="T492" s="106">
        <v>13584.613731151749</v>
      </c>
      <c r="U492" s="106">
        <v>10545.757779916587</v>
      </c>
      <c r="V492" s="106">
        <v>0.34128711193869321</v>
      </c>
      <c r="W492" s="106">
        <v>54092.583596214514</v>
      </c>
      <c r="X492" s="110">
        <v>0.53994761525221935</v>
      </c>
      <c r="Y492" s="106">
        <v>395.09577464788731</v>
      </c>
      <c r="Z492" s="106">
        <v>13.170422535211266</v>
      </c>
      <c r="AA492" s="106">
        <v>25680.567968750001</v>
      </c>
      <c r="AB492" s="106">
        <v>351.54029687934462</v>
      </c>
      <c r="AC492" s="106">
        <v>3.893994872764782</v>
      </c>
      <c r="AD492" s="106">
        <v>41.585445094217022</v>
      </c>
      <c r="AE492" s="106">
        <v>73.051562500000003</v>
      </c>
      <c r="AF492" s="106">
        <v>7.0206051743099171E-2</v>
      </c>
      <c r="AG492" s="106">
        <v>2112</v>
      </c>
      <c r="AH492" s="106">
        <v>11762.233237086943</v>
      </c>
      <c r="AI492" s="106">
        <v>12820.048764837986</v>
      </c>
      <c r="AJ492" s="106">
        <v>14497.639717677253</v>
      </c>
      <c r="AK492" s="104">
        <v>12144.028232274622</v>
      </c>
      <c r="AL492" s="118">
        <v>9343139</v>
      </c>
      <c r="AM492" s="118">
        <v>4960</v>
      </c>
      <c r="AN492" s="118">
        <v>93506</v>
      </c>
      <c r="AO492" s="118">
        <v>721</v>
      </c>
      <c r="AP492" s="118">
        <f t="shared" si="7"/>
        <v>552</v>
      </c>
    </row>
    <row r="493" spans="1:42" ht="12.75">
      <c r="A493" s="106">
        <v>2018</v>
      </c>
      <c r="B493" s="106">
        <v>-106810</v>
      </c>
      <c r="C493" s="106">
        <v>0</v>
      </c>
      <c r="D493" s="106">
        <v>106810</v>
      </c>
      <c r="E493" s="106" t="s">
        <v>963</v>
      </c>
      <c r="F493" s="106" t="s">
        <v>964</v>
      </c>
      <c r="G493" s="106" t="s">
        <v>200</v>
      </c>
      <c r="H493" s="106">
        <v>7</v>
      </c>
      <c r="I493" s="106" t="s">
        <v>3641</v>
      </c>
      <c r="J493" s="106">
        <v>12750</v>
      </c>
      <c r="K493" s="106">
        <v>13042</v>
      </c>
      <c r="L493" s="106">
        <v>12799</v>
      </c>
      <c r="M493" s="106">
        <v>0.55000000000000004</v>
      </c>
      <c r="N493" s="106">
        <v>0.89</v>
      </c>
      <c r="O493" s="106">
        <v>0.9</v>
      </c>
      <c r="P493" s="106">
        <v>5627</v>
      </c>
      <c r="Q493" s="106">
        <v>5095.7305699481867</v>
      </c>
      <c r="R493" s="106">
        <v>0.40119247020660181</v>
      </c>
      <c r="S493" s="106">
        <v>15942.715025906737</v>
      </c>
      <c r="T493" s="106">
        <v>16616.170984455959</v>
      </c>
      <c r="U493" s="106">
        <v>14727.81347150259</v>
      </c>
      <c r="V493" s="106">
        <v>0.51641953401058516</v>
      </c>
      <c r="W493" s="106">
        <v>51051.219512195123</v>
      </c>
      <c r="X493" s="110">
        <v>0.65268212095028222</v>
      </c>
      <c r="Y493" s="106">
        <v>285.09836065573774</v>
      </c>
      <c r="Z493" s="106">
        <v>9.4918032786885256</v>
      </c>
      <c r="AA493" s="106">
        <v>118436.16666666667</v>
      </c>
      <c r="AB493" s="106">
        <v>490.33431085043986</v>
      </c>
      <c r="AC493" s="106">
        <v>0.84433668206642964</v>
      </c>
      <c r="AD493" s="106">
        <v>12.121212121212121</v>
      </c>
      <c r="AE493" s="106">
        <v>241.54166666666666</v>
      </c>
      <c r="AF493" s="106">
        <v>-2.6428234734103197E-2</v>
      </c>
      <c r="AG493" s="106">
        <v>10500</v>
      </c>
      <c r="AH493" s="106">
        <v>12075.077720207253</v>
      </c>
      <c r="AI493" s="106">
        <v>15940.093264248704</v>
      </c>
      <c r="AJ493" s="106">
        <v>16114.476683937824</v>
      </c>
      <c r="AK493" s="104">
        <v>14727.81347150259</v>
      </c>
      <c r="AL493" s="118"/>
      <c r="AM493" s="118">
        <v>214</v>
      </c>
      <c r="AN493" s="118">
        <v>5797</v>
      </c>
      <c r="AO493" s="118">
        <v>24</v>
      </c>
      <c r="AP493" s="118">
        <f t="shared" si="7"/>
        <v>2250</v>
      </c>
    </row>
    <row r="494" spans="1:42" ht="12.75">
      <c r="A494" s="106">
        <v>2018</v>
      </c>
      <c r="B494" s="106">
        <v>-174862</v>
      </c>
      <c r="C494" s="106">
        <v>0</v>
      </c>
      <c r="D494" s="106">
        <v>174862</v>
      </c>
      <c r="E494" s="106" t="s">
        <v>965</v>
      </c>
      <c r="F494" s="106" t="s">
        <v>966</v>
      </c>
      <c r="G494" s="106" t="s">
        <v>113</v>
      </c>
      <c r="H494" s="106">
        <v>7</v>
      </c>
      <c r="I494" s="106" t="s">
        <v>3641</v>
      </c>
      <c r="J494" s="106">
        <v>25430</v>
      </c>
      <c r="K494" s="106">
        <v>24220</v>
      </c>
      <c r="L494" s="106">
        <v>23577</v>
      </c>
      <c r="M494" s="106">
        <v>0.47</v>
      </c>
      <c r="N494" s="106">
        <v>0.82</v>
      </c>
      <c r="O494" s="106">
        <v>0.95</v>
      </c>
      <c r="P494" s="106">
        <v>10262</v>
      </c>
      <c r="Q494" s="106">
        <v>5593.4561904761904</v>
      </c>
      <c r="R494" s="106">
        <v>0.31053782987310424</v>
      </c>
      <c r="S494" s="106">
        <v>17211.477142857144</v>
      </c>
      <c r="T494" s="106">
        <v>16745.441904761905</v>
      </c>
      <c r="U494" s="106">
        <v>13460.754285714285</v>
      </c>
      <c r="V494" s="106">
        <v>0.92258581419621855</v>
      </c>
      <c r="W494" s="106">
        <v>80746.188854489155</v>
      </c>
      <c r="X494" s="110">
        <v>0.49444431616188489</v>
      </c>
      <c r="Y494" s="106">
        <v>592.01960784313724</v>
      </c>
      <c r="Z494" s="106">
        <v>20.588235294117649</v>
      </c>
      <c r="AA494" s="106">
        <v>50477.828571428574</v>
      </c>
      <c r="AB494" s="106">
        <v>468.11486106051069</v>
      </c>
      <c r="AC494" s="106">
        <v>1.9810677842153048</v>
      </c>
      <c r="AD494" s="106">
        <v>25.362318840579711</v>
      </c>
      <c r="AE494" s="106">
        <v>107.83214285714286</v>
      </c>
      <c r="AF494" s="106">
        <v>4.9660411086082636E-2</v>
      </c>
      <c r="AG494" s="106">
        <v>24980</v>
      </c>
      <c r="AH494" s="106">
        <v>16479.151428571429</v>
      </c>
      <c r="AI494" s="106">
        <v>17385.153333333332</v>
      </c>
      <c r="AJ494" s="106">
        <v>17633.378095238095</v>
      </c>
      <c r="AK494" s="104">
        <v>13460.754285714285</v>
      </c>
      <c r="AL494" s="118"/>
      <c r="AM494" s="118">
        <v>1059</v>
      </c>
      <c r="AN494" s="118">
        <v>30193</v>
      </c>
      <c r="AO494" s="118">
        <v>203</v>
      </c>
      <c r="AP494" s="118">
        <f t="shared" si="7"/>
        <v>450</v>
      </c>
    </row>
    <row r="495" spans="1:42" ht="12.75">
      <c r="A495" s="106">
        <v>2018</v>
      </c>
      <c r="B495" s="106">
        <v>-113193</v>
      </c>
      <c r="C495" s="106">
        <v>0</v>
      </c>
      <c r="D495" s="106">
        <v>113193</v>
      </c>
      <c r="E495" s="106" t="s">
        <v>967</v>
      </c>
      <c r="F495" s="106" t="s">
        <v>535</v>
      </c>
      <c r="G495" s="106" t="s">
        <v>121</v>
      </c>
      <c r="H495" s="106">
        <v>4</v>
      </c>
      <c r="I495" s="106" t="s">
        <v>24</v>
      </c>
      <c r="J495" s="106">
        <v>1338</v>
      </c>
      <c r="K495" s="106">
        <v>10322</v>
      </c>
      <c r="L495" s="106">
        <v>7966</v>
      </c>
      <c r="M495" s="106">
        <v>0.36</v>
      </c>
      <c r="N495" s="106">
        <v>0.05</v>
      </c>
      <c r="O495" s="106">
        <v>0.47</v>
      </c>
      <c r="P495" s="106">
        <v>523</v>
      </c>
      <c r="Q495" s="106">
        <v>93.111809460800529</v>
      </c>
      <c r="R495" s="106">
        <v>5.3654631702337523E-2</v>
      </c>
      <c r="S495" s="106">
        <v>16412.356764803175</v>
      </c>
      <c r="T495" s="106">
        <v>17095.155640092624</v>
      </c>
      <c r="U495" s="106">
        <v>11071.800460537084</v>
      </c>
      <c r="V495" s="106">
        <v>0.14832998713274928</v>
      </c>
      <c r="W495" s="106">
        <v>108903.90548204159</v>
      </c>
      <c r="X495" s="110">
        <v>0.55738839800118256</v>
      </c>
      <c r="Y495" s="106">
        <v>700.2548262548263</v>
      </c>
      <c r="Z495" s="106">
        <v>23.343629343629345</v>
      </c>
      <c r="AA495" s="106">
        <v>47408.006787823804</v>
      </c>
      <c r="AB495" s="106">
        <v>369.08850382324806</v>
      </c>
      <c r="AC495" s="106">
        <v>2.1093483311279781</v>
      </c>
      <c r="AD495" s="106">
        <v>24.021776114324599</v>
      </c>
      <c r="AE495" s="106">
        <v>128.44617563739376</v>
      </c>
      <c r="AF495" s="106">
        <v>-4.7197368489208261E-2</v>
      </c>
      <c r="AG495" s="106">
        <v>1288</v>
      </c>
      <c r="AH495" s="106">
        <v>15568.856930201786</v>
      </c>
      <c r="AI495" s="106">
        <v>15568.856930201786</v>
      </c>
      <c r="AJ495" s="106">
        <v>16564.817730731062</v>
      </c>
      <c r="AK495" s="104">
        <v>12474.996030433344</v>
      </c>
      <c r="AL495" s="118">
        <v>60935951</v>
      </c>
      <c r="AM495" s="118">
        <v>10836</v>
      </c>
      <c r="AN495" s="118">
        <v>181366</v>
      </c>
      <c r="AO495" s="118">
        <v>1056</v>
      </c>
      <c r="AP495" s="118">
        <f t="shared" si="7"/>
        <v>50</v>
      </c>
    </row>
    <row r="496" spans="1:42" ht="12.75">
      <c r="A496" s="106">
        <v>2018</v>
      </c>
      <c r="B496" s="106">
        <v>-177144</v>
      </c>
      <c r="C496" s="106">
        <v>0</v>
      </c>
      <c r="D496" s="106">
        <v>177144</v>
      </c>
      <c r="E496" s="106" t="s">
        <v>968</v>
      </c>
      <c r="F496" s="106" t="s">
        <v>969</v>
      </c>
      <c r="G496" s="106" t="s">
        <v>264</v>
      </c>
      <c r="H496" s="106">
        <v>7</v>
      </c>
      <c r="I496" s="106" t="s">
        <v>3641</v>
      </c>
      <c r="J496" s="106">
        <v>26040</v>
      </c>
      <c r="K496" s="106">
        <v>20327</v>
      </c>
      <c r="L496" s="106">
        <v>16398</v>
      </c>
      <c r="M496" s="106">
        <v>0.49</v>
      </c>
      <c r="N496" s="106">
        <v>0.86</v>
      </c>
      <c r="O496" s="106">
        <v>1</v>
      </c>
      <c r="P496" s="106">
        <v>15080</v>
      </c>
      <c r="Q496" s="106">
        <v>11971.114784205693</v>
      </c>
      <c r="R496" s="106">
        <v>0.52852953173369954</v>
      </c>
      <c r="S496" s="106">
        <v>22206.907254361799</v>
      </c>
      <c r="T496" s="106">
        <v>20260.964187327823</v>
      </c>
      <c r="U496" s="106">
        <v>13920.687786960514</v>
      </c>
      <c r="V496" s="106">
        <v>0.76711263844253708</v>
      </c>
      <c r="W496" s="106">
        <v>65901.256993007002</v>
      </c>
      <c r="X496" s="110">
        <v>0.56948263226522255</v>
      </c>
      <c r="Y496" s="106">
        <v>533</v>
      </c>
      <c r="Z496" s="106">
        <v>17.852459016393443</v>
      </c>
      <c r="AA496" s="106">
        <v>62129.62704918033</v>
      </c>
      <c r="AB496" s="106">
        <v>466.26361762987113</v>
      </c>
      <c r="AC496" s="106">
        <v>1.6095380698300732</v>
      </c>
      <c r="AD496" s="106">
        <v>23.040604343720492</v>
      </c>
      <c r="AE496" s="106">
        <v>133.25</v>
      </c>
      <c r="AF496" s="106">
        <v>8.6023260081039804E-2</v>
      </c>
      <c r="AG496" s="106">
        <v>25615</v>
      </c>
      <c r="AH496" s="106">
        <v>17788.597796143251</v>
      </c>
      <c r="AI496" s="106">
        <v>22206.907254361799</v>
      </c>
      <c r="AJ496" s="106">
        <v>23868.67860422406</v>
      </c>
      <c r="AK496" s="104">
        <v>13920.687786960514</v>
      </c>
      <c r="AL496" s="118"/>
      <c r="AM496" s="118">
        <v>1093</v>
      </c>
      <c r="AN496" s="118">
        <v>32513</v>
      </c>
      <c r="AO496" s="118">
        <v>226</v>
      </c>
      <c r="AP496" s="118">
        <f t="shared" si="7"/>
        <v>425</v>
      </c>
    </row>
    <row r="497" spans="1:42" ht="12.75">
      <c r="A497" s="106">
        <v>2018</v>
      </c>
      <c r="B497" s="106">
        <v>-184205</v>
      </c>
      <c r="C497" s="106">
        <v>0</v>
      </c>
      <c r="D497" s="106">
        <v>184205</v>
      </c>
      <c r="E497" s="106" t="s">
        <v>970</v>
      </c>
      <c r="F497" s="106" t="s">
        <v>971</v>
      </c>
      <c r="G497" s="106" t="s">
        <v>234</v>
      </c>
      <c r="H497" s="106">
        <v>4</v>
      </c>
      <c r="I497" s="106" t="s">
        <v>24</v>
      </c>
      <c r="J497" s="106">
        <v>4440</v>
      </c>
      <c r="K497" s="106">
        <v>7250</v>
      </c>
      <c r="L497" s="106">
        <v>6937</v>
      </c>
      <c r="M497" s="106">
        <v>0.63</v>
      </c>
      <c r="N497" s="106">
        <v>0.13</v>
      </c>
      <c r="O497" s="106">
        <v>0.18</v>
      </c>
      <c r="P497" s="106">
        <v>1925</v>
      </c>
      <c r="Q497" s="106">
        <v>217.69835069444446</v>
      </c>
      <c r="R497" s="106">
        <v>3.9212287830765268E-2</v>
      </c>
      <c r="S497" s="106">
        <v>15017.799479166666</v>
      </c>
      <c r="T497" s="106">
        <v>15398.762152777777</v>
      </c>
      <c r="U497" s="106">
        <v>11570.1304637304</v>
      </c>
      <c r="V497" s="106">
        <v>0.46102252075088157</v>
      </c>
      <c r="W497" s="106">
        <v>77748.801176470588</v>
      </c>
      <c r="X497" s="110">
        <v>0.62090203972248403</v>
      </c>
      <c r="Y497" s="106">
        <v>518.32500000000005</v>
      </c>
      <c r="Z497" s="106">
        <v>17.28</v>
      </c>
      <c r="AA497" s="106">
        <v>33447.403498663538</v>
      </c>
      <c r="AB497" s="106">
        <v>385.72682084263988</v>
      </c>
      <c r="AC497" s="106">
        <v>2.9897686977105922</v>
      </c>
      <c r="AD497" s="106">
        <v>37.190853943070465</v>
      </c>
      <c r="AE497" s="106">
        <v>86.712672521957344</v>
      </c>
      <c r="AF497" s="106">
        <v>3.0250153594333418E-2</v>
      </c>
      <c r="AG497" s="106">
        <v>3540</v>
      </c>
      <c r="AH497" s="106">
        <v>14067.685329861111</v>
      </c>
      <c r="AI497" s="106">
        <v>14341.047743055555</v>
      </c>
      <c r="AJ497" s="106">
        <v>15025.794270833334</v>
      </c>
      <c r="AK497" s="104">
        <v>13446.919704861111</v>
      </c>
      <c r="AL497" s="118">
        <v>13203714</v>
      </c>
      <c r="AM497" s="118">
        <v>3125</v>
      </c>
      <c r="AN497" s="118">
        <v>69110</v>
      </c>
      <c r="AO497" s="118">
        <v>621</v>
      </c>
      <c r="AP497" s="118">
        <f t="shared" si="7"/>
        <v>900</v>
      </c>
    </row>
    <row r="498" spans="1:42" ht="12.75">
      <c r="A498" s="106">
        <v>2018</v>
      </c>
      <c r="B498" s="106">
        <v>-219949</v>
      </c>
      <c r="C498" s="106">
        <v>0</v>
      </c>
      <c r="D498" s="106">
        <v>219949</v>
      </c>
      <c r="E498" s="106" t="s">
        <v>972</v>
      </c>
      <c r="F498" s="106" t="s">
        <v>973</v>
      </c>
      <c r="G498" s="106" t="s">
        <v>255</v>
      </c>
      <c r="H498" s="106">
        <v>6</v>
      </c>
      <c r="I498" s="106" t="s">
        <v>3640</v>
      </c>
      <c r="J498" s="106">
        <v>21810</v>
      </c>
      <c r="K498" s="106">
        <v>24788</v>
      </c>
      <c r="L498" s="106">
        <v>18355</v>
      </c>
      <c r="M498" s="106">
        <v>0.37</v>
      </c>
      <c r="N498" s="106">
        <v>0.3</v>
      </c>
      <c r="O498" s="106">
        <v>0.38</v>
      </c>
      <c r="P498" s="106">
        <v>12029</v>
      </c>
      <c r="Q498" s="106">
        <v>6897.9606448553814</v>
      </c>
      <c r="R498" s="106">
        <v>0.49266937597928617</v>
      </c>
      <c r="S498" s="106">
        <v>13497.076339497393</v>
      </c>
      <c r="T498" s="106">
        <v>12134.037458511142</v>
      </c>
      <c r="U498" s="106">
        <v>9138.1081081081084</v>
      </c>
      <c r="V498" s="106">
        <v>0.77732016000190951</v>
      </c>
      <c r="W498" s="106">
        <v>53920.646687697161</v>
      </c>
      <c r="X498" s="110">
        <v>0.44528819763910188</v>
      </c>
      <c r="Y498" s="106">
        <v>579.01892744479505</v>
      </c>
      <c r="Z498" s="106">
        <v>19.958990536277604</v>
      </c>
      <c r="AA498" s="106">
        <v>34976.896551724138</v>
      </c>
      <c r="AB498" s="106">
        <v>314.99387084647697</v>
      </c>
      <c r="AC498" s="106">
        <v>2.8590300986858321</v>
      </c>
      <c r="AD498" s="106">
        <v>28.848167539267017</v>
      </c>
      <c r="AE498" s="106">
        <v>111.0399274047187</v>
      </c>
      <c r="AF498" s="106">
        <v>0.10810523070950022</v>
      </c>
      <c r="AG498" s="106">
        <v>20760</v>
      </c>
      <c r="AH498" s="106">
        <v>11632.54054054054</v>
      </c>
      <c r="AI498" s="106">
        <v>13070.414414414414</v>
      </c>
      <c r="AJ498" s="106">
        <v>13497.076339497393</v>
      </c>
      <c r="AK498" s="104">
        <v>10603.880512091038</v>
      </c>
      <c r="AL498" s="118"/>
      <c r="AM498" s="118">
        <v>1971</v>
      </c>
      <c r="AN498" s="118">
        <v>61183</v>
      </c>
      <c r="AO498" s="118">
        <v>394</v>
      </c>
      <c r="AP498" s="118">
        <f t="shared" si="7"/>
        <v>1050</v>
      </c>
    </row>
    <row r="499" spans="1:42" ht="12.75">
      <c r="A499" s="106">
        <v>2018</v>
      </c>
      <c r="B499" s="106">
        <v>-190512</v>
      </c>
      <c r="C499" s="106">
        <v>0</v>
      </c>
      <c r="D499" s="106">
        <v>190512</v>
      </c>
      <c r="E499" s="106" t="s">
        <v>496</v>
      </c>
      <c r="F499" s="106" t="s">
        <v>290</v>
      </c>
      <c r="G499" s="106" t="s">
        <v>69</v>
      </c>
      <c r="H499" s="106">
        <v>2</v>
      </c>
      <c r="I499" s="106" t="s">
        <v>25</v>
      </c>
      <c r="J499" s="106">
        <v>7062</v>
      </c>
      <c r="K499" s="106">
        <v>4119</v>
      </c>
      <c r="L499" s="106">
        <v>1230</v>
      </c>
      <c r="M499" s="106">
        <v>0.55000000000000004</v>
      </c>
      <c r="N499" s="106">
        <v>7.0000000000000007E-2</v>
      </c>
      <c r="O499" s="106">
        <v>0.11</v>
      </c>
      <c r="P499" s="106">
        <v>5431</v>
      </c>
      <c r="Q499" s="106">
        <v>1113.8031328563141</v>
      </c>
      <c r="R499" s="106">
        <v>0.10584586998151205</v>
      </c>
      <c r="S499" s="106">
        <v>18370.776058789401</v>
      </c>
      <c r="T499" s="106">
        <v>19687.15786759492</v>
      </c>
      <c r="U499" s="106">
        <v>16075.546121993375</v>
      </c>
      <c r="V499" s="106">
        <v>0.58530356494770686</v>
      </c>
      <c r="W499" s="106">
        <v>134141.42739835771</v>
      </c>
      <c r="X499" s="110">
        <v>0.73101185212330511</v>
      </c>
      <c r="Y499" s="106">
        <v>654.00289435600575</v>
      </c>
      <c r="Z499" s="106">
        <v>22.450072358900144</v>
      </c>
      <c r="AA499" s="106">
        <v>51492.865370737811</v>
      </c>
      <c r="AB499" s="106">
        <v>551.82809856363406</v>
      </c>
      <c r="AC499" s="106">
        <v>1.9420166129816434</v>
      </c>
      <c r="AD499" s="106">
        <v>33.228130360205832</v>
      </c>
      <c r="AE499" s="106">
        <v>93.313235597769975</v>
      </c>
      <c r="AF499" s="106">
        <v>-4.1488595659227604E-3</v>
      </c>
      <c r="AG499" s="106">
        <v>6530</v>
      </c>
      <c r="AH499" s="106">
        <v>18713.22761554825</v>
      </c>
      <c r="AI499" s="106">
        <v>18713.488042287114</v>
      </c>
      <c r="AJ499" s="106">
        <v>18386.457680654934</v>
      </c>
      <c r="AK499" s="104">
        <v>17728.021788177659</v>
      </c>
      <c r="AL499" s="118">
        <v>74853411</v>
      </c>
      <c r="AM499" s="118">
        <v>15253</v>
      </c>
      <c r="AN499" s="118">
        <v>451916</v>
      </c>
      <c r="AO499" s="118">
        <v>3586</v>
      </c>
      <c r="AP499" s="118">
        <f t="shared" si="7"/>
        <v>532</v>
      </c>
    </row>
    <row r="500" spans="1:42" ht="12.75">
      <c r="A500" s="106">
        <v>2018</v>
      </c>
      <c r="B500" s="106">
        <v>-190521</v>
      </c>
      <c r="C500" s="106">
        <v>0</v>
      </c>
      <c r="D500" s="106">
        <v>190521</v>
      </c>
      <c r="E500" s="106" t="s">
        <v>497</v>
      </c>
      <c r="F500" s="106" t="s">
        <v>290</v>
      </c>
      <c r="G500" s="106" t="s">
        <v>69</v>
      </c>
      <c r="H500" s="106">
        <v>4</v>
      </c>
      <c r="I500" s="106" t="s">
        <v>24</v>
      </c>
      <c r="J500" s="106">
        <v>5170</v>
      </c>
      <c r="K500" s="106">
        <v>6835</v>
      </c>
      <c r="L500" s="106">
        <v>5835</v>
      </c>
      <c r="M500" s="106">
        <v>0.8</v>
      </c>
      <c r="N500" s="106">
        <v>0.04</v>
      </c>
      <c r="O500" s="106">
        <v>0.01</v>
      </c>
      <c r="P500" s="106">
        <v>1798</v>
      </c>
      <c r="Q500" s="107">
        <v>585.52946949457498</v>
      </c>
      <c r="R500" s="106">
        <v>8.5373286910213342E-2</v>
      </c>
      <c r="S500" s="106">
        <v>16559.390218635843</v>
      </c>
      <c r="T500" s="106">
        <v>18683.046562346655</v>
      </c>
      <c r="U500" s="106">
        <v>14928.061786609891</v>
      </c>
      <c r="V500" s="106">
        <v>0.42021080283287282</v>
      </c>
      <c r="W500" s="106">
        <v>112499.4907202452</v>
      </c>
      <c r="X500" s="110">
        <v>0.64271523635202332</v>
      </c>
      <c r="Y500" s="106">
        <v>646.56991774383084</v>
      </c>
      <c r="Z500" s="106">
        <v>21.552291421856641</v>
      </c>
      <c r="AA500" s="106">
        <v>66860.947796877168</v>
      </c>
      <c r="AB500" s="106">
        <v>497.60115520247314</v>
      </c>
      <c r="AC500" s="106">
        <v>1.4956413765446299</v>
      </c>
      <c r="AD500" s="106">
        <v>19.210020171693955</v>
      </c>
      <c r="AE500" s="106">
        <v>134.36654456654458</v>
      </c>
      <c r="AF500" s="106">
        <v>-0.18834304222426385</v>
      </c>
      <c r="AG500" s="106">
        <v>4800</v>
      </c>
      <c r="AH500" s="106">
        <v>16362.372716863856</v>
      </c>
      <c r="AI500" s="106">
        <v>16362.372716863856</v>
      </c>
      <c r="AJ500" s="106">
        <v>16559.49953655744</v>
      </c>
      <c r="AK500" s="104">
        <v>17315.615833378768</v>
      </c>
      <c r="AL500" s="118">
        <v>127989860</v>
      </c>
      <c r="AM500" s="118">
        <v>26932</v>
      </c>
      <c r="AN500" s="118">
        <v>550231</v>
      </c>
      <c r="AO500" s="118">
        <v>4082</v>
      </c>
      <c r="AP500" s="118">
        <f t="shared" si="7"/>
        <v>370</v>
      </c>
    </row>
    <row r="501" spans="1:42" ht="12.75">
      <c r="A501" s="106">
        <v>2018</v>
      </c>
      <c r="B501" s="106">
        <v>-190530</v>
      </c>
      <c r="C501" s="106">
        <v>0</v>
      </c>
      <c r="D501" s="106">
        <v>190530</v>
      </c>
      <c r="E501" s="106" t="s">
        <v>498</v>
      </c>
      <c r="F501" s="106" t="s">
        <v>499</v>
      </c>
      <c r="G501" s="106" t="s">
        <v>69</v>
      </c>
      <c r="H501" s="106">
        <v>4</v>
      </c>
      <c r="I501" s="106" t="s">
        <v>24</v>
      </c>
      <c r="J501" s="106">
        <v>5206</v>
      </c>
      <c r="K501" s="106">
        <v>6212</v>
      </c>
      <c r="L501" s="106">
        <v>5309</v>
      </c>
      <c r="M501" s="106">
        <v>0.81</v>
      </c>
      <c r="N501" s="106">
        <v>0.03</v>
      </c>
      <c r="O501" s="106">
        <v>0</v>
      </c>
      <c r="P501" s="106">
        <v>1142</v>
      </c>
      <c r="Q501" s="106">
        <v>852.09059338668283</v>
      </c>
      <c r="R501" s="106">
        <v>0.11984079938885692</v>
      </c>
      <c r="S501" s="106">
        <v>25215.997282198401</v>
      </c>
      <c r="T501" s="106">
        <v>28954.126528763401</v>
      </c>
      <c r="U501" s="106">
        <v>22711.735882641195</v>
      </c>
      <c r="V501" s="106">
        <v>0.27554464657564254</v>
      </c>
      <c r="W501" s="106">
        <v>109981.50418526786</v>
      </c>
      <c r="X501" s="110">
        <v>0.68517447927177677</v>
      </c>
      <c r="Y501" s="106">
        <v>456.72643678160921</v>
      </c>
      <c r="Z501" s="106">
        <v>15.225287356321839</v>
      </c>
      <c r="AA501" s="106">
        <v>81351.988507697475</v>
      </c>
      <c r="AB501" s="106">
        <v>757.11120996362229</v>
      </c>
      <c r="AC501" s="106">
        <v>1.2292262529088402</v>
      </c>
      <c r="AD501" s="106">
        <v>21.964837253504395</v>
      </c>
      <c r="AE501" s="106">
        <v>107.45051379123851</v>
      </c>
      <c r="AF501" s="106">
        <v>-0.10478558717327688</v>
      </c>
      <c r="AG501" s="106">
        <v>4800</v>
      </c>
      <c r="AH501" s="106">
        <v>24975.782424882982</v>
      </c>
      <c r="AI501" s="106">
        <v>24975.931451004075</v>
      </c>
      <c r="AJ501" s="106">
        <v>25217.629926015401</v>
      </c>
      <c r="AK501" s="104">
        <v>26114.684131058431</v>
      </c>
      <c r="AL501" s="119">
        <v>92141687</v>
      </c>
      <c r="AM501" s="118">
        <v>10935</v>
      </c>
      <c r="AN501" s="118">
        <v>198676</v>
      </c>
      <c r="AO501" s="118">
        <v>1821</v>
      </c>
      <c r="AP501" s="118">
        <f t="shared" si="7"/>
        <v>406</v>
      </c>
    </row>
    <row r="502" spans="1:42" ht="12.75">
      <c r="A502" s="106">
        <v>2018</v>
      </c>
      <c r="B502" s="106">
        <v>-190549</v>
      </c>
      <c r="C502" s="106">
        <v>0</v>
      </c>
      <c r="D502" s="106">
        <v>190549</v>
      </c>
      <c r="E502" s="106" t="s">
        <v>500</v>
      </c>
      <c r="F502" s="106" t="s">
        <v>501</v>
      </c>
      <c r="G502" s="106" t="s">
        <v>69</v>
      </c>
      <c r="H502" s="106">
        <v>2</v>
      </c>
      <c r="I502" s="106" t="s">
        <v>25</v>
      </c>
      <c r="J502" s="106">
        <v>7040</v>
      </c>
      <c r="K502" s="106">
        <v>4211</v>
      </c>
      <c r="L502" s="106">
        <v>1463</v>
      </c>
      <c r="M502" s="106">
        <v>0.64</v>
      </c>
      <c r="N502" s="106">
        <v>0.05</v>
      </c>
      <c r="O502" s="106">
        <v>7.0000000000000007E-2</v>
      </c>
      <c r="P502" s="106">
        <v>3988</v>
      </c>
      <c r="Q502" s="106">
        <v>1331.7628415300546</v>
      </c>
      <c r="R502" s="106">
        <v>0.15483518755217407</v>
      </c>
      <c r="S502" s="106">
        <v>19347.740027322405</v>
      </c>
      <c r="T502" s="106">
        <v>19975.444330601094</v>
      </c>
      <c r="U502" s="106">
        <v>15536.20657945634</v>
      </c>
      <c r="V502" s="106">
        <v>0.46790065026649286</v>
      </c>
      <c r="W502" s="106">
        <v>122954.03068905616</v>
      </c>
      <c r="X502" s="110">
        <v>0.72610191601194229</v>
      </c>
      <c r="Y502" s="106">
        <v>553.70091027308194</v>
      </c>
      <c r="Z502" s="106">
        <v>19.03771131339402</v>
      </c>
      <c r="AA502" s="106">
        <v>56453.230162134729</v>
      </c>
      <c r="AB502" s="106">
        <v>534.1761414462344</v>
      </c>
      <c r="AC502" s="106">
        <v>1.7713778239579585</v>
      </c>
      <c r="AD502" s="106">
        <v>29.023195504970467</v>
      </c>
      <c r="AE502" s="106">
        <v>105.68279970215934</v>
      </c>
      <c r="AF502" s="106">
        <v>0.1079839904846393</v>
      </c>
      <c r="AG502" s="106">
        <v>6530</v>
      </c>
      <c r="AH502" s="106">
        <v>19784.653688524591</v>
      </c>
      <c r="AI502" s="106">
        <v>19842.859221311475</v>
      </c>
      <c r="AJ502" s="106">
        <v>19358.911202185791</v>
      </c>
      <c r="AK502" s="104">
        <v>17859.157308743168</v>
      </c>
      <c r="AL502" s="118">
        <v>97885465</v>
      </c>
      <c r="AM502" s="118">
        <v>14689</v>
      </c>
      <c r="AN502" s="118">
        <v>425796</v>
      </c>
      <c r="AO502" s="118">
        <v>2891</v>
      </c>
      <c r="AP502" s="118">
        <f t="shared" si="7"/>
        <v>510</v>
      </c>
    </row>
    <row r="503" spans="1:42" ht="12.75">
      <c r="A503" s="106">
        <v>2018</v>
      </c>
      <c r="B503" s="106">
        <v>-190567</v>
      </c>
      <c r="C503" s="106">
        <v>0</v>
      </c>
      <c r="D503" s="106">
        <v>190567</v>
      </c>
      <c r="E503" s="106" t="s">
        <v>502</v>
      </c>
      <c r="F503" s="106" t="s">
        <v>290</v>
      </c>
      <c r="G503" s="106" t="s">
        <v>69</v>
      </c>
      <c r="H503" s="106">
        <v>2</v>
      </c>
      <c r="I503" s="106" t="s">
        <v>25</v>
      </c>
      <c r="J503" s="106">
        <v>6940</v>
      </c>
      <c r="K503" s="106">
        <v>4674</v>
      </c>
      <c r="L503" s="106">
        <v>1990</v>
      </c>
      <c r="M503" s="106">
        <v>0.67</v>
      </c>
      <c r="N503" s="106">
        <v>0.08</v>
      </c>
      <c r="O503" s="106">
        <v>7.0000000000000007E-2</v>
      </c>
      <c r="P503" s="106">
        <v>5003</v>
      </c>
      <c r="Q503" s="106">
        <v>1947.6915357087289</v>
      </c>
      <c r="R503" s="106">
        <v>0.21514559376015549</v>
      </c>
      <c r="S503" s="106">
        <v>28820.677765676053</v>
      </c>
      <c r="T503" s="106">
        <v>36841.869845962348</v>
      </c>
      <c r="U503" s="106">
        <v>23868.074218855108</v>
      </c>
      <c r="V503" s="106">
        <v>0.29768670704066602</v>
      </c>
      <c r="W503" s="106">
        <v>142616.22179464754</v>
      </c>
      <c r="X503" s="110">
        <v>0.57389957726957641</v>
      </c>
      <c r="Y503" s="106">
        <v>439.98</v>
      </c>
      <c r="Z503" s="106">
        <v>15.122352941176471</v>
      </c>
      <c r="AA503" s="106">
        <v>91092.703684430991</v>
      </c>
      <c r="AB503" s="106">
        <v>820.35874895159293</v>
      </c>
      <c r="AC503" s="106">
        <v>1.0977827636604818</v>
      </c>
      <c r="AD503" s="106">
        <v>26.331013994214679</v>
      </c>
      <c r="AE503" s="106">
        <v>111.04008313539192</v>
      </c>
      <c r="AF503" s="106">
        <v>-0.46384989242380115</v>
      </c>
      <c r="AG503" s="106">
        <v>6530</v>
      </c>
      <c r="AH503" s="106">
        <v>28952.545433328149</v>
      </c>
      <c r="AI503" s="106">
        <v>28985.68196670297</v>
      </c>
      <c r="AJ503" s="106">
        <v>28849.856075929671</v>
      </c>
      <c r="AK503" s="104">
        <v>33873.407810798199</v>
      </c>
      <c r="AL503" s="118">
        <v>151119119</v>
      </c>
      <c r="AM503" s="118">
        <v>13210</v>
      </c>
      <c r="AN503" s="118">
        <v>373983</v>
      </c>
      <c r="AO503" s="118">
        <v>2433</v>
      </c>
      <c r="AP503" s="118">
        <f t="shared" si="7"/>
        <v>410</v>
      </c>
    </row>
    <row r="504" spans="1:42" ht="12.75">
      <c r="A504" s="106">
        <v>2018</v>
      </c>
      <c r="B504" s="106">
        <v>-190576</v>
      </c>
      <c r="C504" s="106">
        <v>0</v>
      </c>
      <c r="D504" s="106">
        <v>190576</v>
      </c>
      <c r="E504" s="106" t="s">
        <v>503</v>
      </c>
      <c r="F504" s="106" t="s">
        <v>290</v>
      </c>
      <c r="G504" s="106" t="s">
        <v>69</v>
      </c>
      <c r="H504" s="106">
        <v>1</v>
      </c>
      <c r="I504" s="106" t="s">
        <v>23</v>
      </c>
      <c r="J504" s="106">
        <v>7010</v>
      </c>
      <c r="K504" s="106"/>
      <c r="L504" s="106"/>
      <c r="M504" s="106"/>
      <c r="N504" s="106"/>
      <c r="O504" s="106"/>
      <c r="P504" s="106"/>
      <c r="Q504" s="106">
        <v>10619.866364094805</v>
      </c>
      <c r="R504" s="106">
        <v>0.80847403005177521</v>
      </c>
      <c r="S504" s="106">
        <v>82198.88830055471</v>
      </c>
      <c r="T504" s="106">
        <v>83446.712052445786</v>
      </c>
      <c r="U504" s="106">
        <v>57730.920157675224</v>
      </c>
      <c r="V504" s="106">
        <v>4.3578489074000547E-2</v>
      </c>
      <c r="W504" s="106">
        <v>218039.46585594013</v>
      </c>
      <c r="X504" s="110">
        <v>0.70428895137707648</v>
      </c>
      <c r="Y504" s="106">
        <v>276.1747042766151</v>
      </c>
      <c r="Z504" s="106">
        <v>10.826205641492265</v>
      </c>
      <c r="AA504" s="106">
        <v>113910.86037081588</v>
      </c>
      <c r="AB504" s="106">
        <v>2263.0849379802703</v>
      </c>
      <c r="AC504" s="106">
        <v>0.87787941970123284</v>
      </c>
      <c r="AD504" s="106">
        <v>37.423198659467509</v>
      </c>
      <c r="AE504" s="106">
        <v>50.334328358208957</v>
      </c>
      <c r="AF504" s="106">
        <v>2.4244668510555761E-2</v>
      </c>
      <c r="AG504" s="106">
        <v>6530</v>
      </c>
      <c r="AH504" s="106">
        <v>75836.899646999489</v>
      </c>
      <c r="AI504" s="106">
        <v>76513.228946041345</v>
      </c>
      <c r="AJ504" s="106">
        <v>82257.171457387798</v>
      </c>
      <c r="AK504" s="104">
        <v>76356.529752899645</v>
      </c>
      <c r="AL504" s="118">
        <v>213010283</v>
      </c>
      <c r="AM504" s="118">
        <v>2066</v>
      </c>
      <c r="AN504" s="118">
        <v>101172</v>
      </c>
      <c r="AO504" s="118">
        <v>535</v>
      </c>
      <c r="AP504" s="118">
        <f t="shared" si="7"/>
        <v>480</v>
      </c>
    </row>
    <row r="505" spans="1:42" ht="12.75">
      <c r="A505" s="106">
        <v>2018</v>
      </c>
      <c r="B505" s="106">
        <v>-190585</v>
      </c>
      <c r="C505" s="106">
        <v>0</v>
      </c>
      <c r="D505" s="106">
        <v>190585</v>
      </c>
      <c r="E505" s="106" t="s">
        <v>504</v>
      </c>
      <c r="F505" s="106" t="s">
        <v>499</v>
      </c>
      <c r="G505" s="106" t="s">
        <v>69</v>
      </c>
      <c r="H505" s="106">
        <v>4</v>
      </c>
      <c r="I505" s="106" t="s">
        <v>24</v>
      </c>
      <c r="J505" s="106">
        <v>5208</v>
      </c>
      <c r="K505" s="106">
        <v>6562</v>
      </c>
      <c r="L505" s="106">
        <v>6057</v>
      </c>
      <c r="M505" s="106">
        <v>0.86</v>
      </c>
      <c r="N505" s="106">
        <v>0.03</v>
      </c>
      <c r="O505" s="106">
        <v>0</v>
      </c>
      <c r="P505" s="106"/>
      <c r="Q505" s="106">
        <v>702.6884598508118</v>
      </c>
      <c r="R505" s="106">
        <v>9.3716127668544272E-2</v>
      </c>
      <c r="S505" s="106">
        <v>26776.787845546292</v>
      </c>
      <c r="T505" s="106">
        <v>27138.448661693725</v>
      </c>
      <c r="U505" s="106">
        <v>23106.0914846454</v>
      </c>
      <c r="V505" s="106">
        <v>0.29409405737608141</v>
      </c>
      <c r="W505" s="106">
        <v>108622.71445831656</v>
      </c>
      <c r="X505" s="110">
        <v>0.7268031107193188</v>
      </c>
      <c r="Y505" s="106">
        <v>533.41872561768537</v>
      </c>
      <c r="Z505" s="106">
        <v>17.781534460338104</v>
      </c>
      <c r="AA505" s="106">
        <v>83851.564480106477</v>
      </c>
      <c r="AB505" s="106">
        <v>770.24247977455138</v>
      </c>
      <c r="AC505" s="106">
        <v>1.1925835924471593</v>
      </c>
      <c r="AD505" s="106">
        <v>24.209714726291441</v>
      </c>
      <c r="AE505" s="106">
        <v>108.86385350318471</v>
      </c>
      <c r="AF505" s="106">
        <v>-0.20150516278192082</v>
      </c>
      <c r="AG505" s="106">
        <v>4800</v>
      </c>
      <c r="AH505" s="106">
        <v>26633.161913119788</v>
      </c>
      <c r="AI505" s="106">
        <v>26633.161913119788</v>
      </c>
      <c r="AJ505" s="106">
        <v>26777.187801667398</v>
      </c>
      <c r="AK505" s="104">
        <v>25965.537077665642</v>
      </c>
      <c r="AL505" s="118">
        <v>64599487</v>
      </c>
      <c r="AM505" s="118">
        <v>7211</v>
      </c>
      <c r="AN505" s="118">
        <v>136733</v>
      </c>
      <c r="AO505" s="118">
        <v>1228</v>
      </c>
      <c r="AP505" s="118">
        <f t="shared" si="7"/>
        <v>408</v>
      </c>
    </row>
    <row r="506" spans="1:42" ht="12.75">
      <c r="A506" s="106">
        <v>2018</v>
      </c>
      <c r="B506" s="106">
        <v>-190594</v>
      </c>
      <c r="C506" s="106">
        <v>0</v>
      </c>
      <c r="D506" s="106">
        <v>190594</v>
      </c>
      <c r="E506" s="106" t="s">
        <v>505</v>
      </c>
      <c r="F506" s="106" t="s">
        <v>290</v>
      </c>
      <c r="G506" s="106" t="s">
        <v>69</v>
      </c>
      <c r="H506" s="106">
        <v>2</v>
      </c>
      <c r="I506" s="106" t="s">
        <v>25</v>
      </c>
      <c r="J506" s="106">
        <v>6982</v>
      </c>
      <c r="K506" s="106">
        <v>4332</v>
      </c>
      <c r="L506" s="106">
        <v>1206</v>
      </c>
      <c r="M506" s="106">
        <v>0.6</v>
      </c>
      <c r="N506" s="106">
        <v>0.05</v>
      </c>
      <c r="O506" s="106">
        <v>0.16</v>
      </c>
      <c r="P506" s="106">
        <v>3295</v>
      </c>
      <c r="Q506" s="106">
        <v>1764.7418561112597</v>
      </c>
      <c r="R506" s="106">
        <v>0.18862231203828073</v>
      </c>
      <c r="S506" s="106">
        <v>20961.69569403584</v>
      </c>
      <c r="T506" s="106">
        <v>23594.501845413211</v>
      </c>
      <c r="U506" s="106">
        <v>16792.561171544457</v>
      </c>
      <c r="V506" s="106">
        <v>0.4520580885524404</v>
      </c>
      <c r="W506" s="106">
        <v>133891.46475953565</v>
      </c>
      <c r="X506" s="110">
        <v>0.73213962803452026</v>
      </c>
      <c r="Y506" s="106">
        <v>465.38357771260996</v>
      </c>
      <c r="Z506" s="106">
        <v>16.447214076246333</v>
      </c>
      <c r="AA506" s="106">
        <v>58603.123222330345</v>
      </c>
      <c r="AB506" s="106">
        <v>593.46926213930738</v>
      </c>
      <c r="AC506" s="106">
        <v>1.7063936954454952</v>
      </c>
      <c r="AD506" s="106">
        <v>30.560784984882194</v>
      </c>
      <c r="AE506" s="106">
        <v>98.746686578308754</v>
      </c>
      <c r="AF506" s="106">
        <v>-0.94094724302264965</v>
      </c>
      <c r="AG506" s="106">
        <v>6530</v>
      </c>
      <c r="AH506" s="106">
        <v>20884.615244717839</v>
      </c>
      <c r="AI506" s="106">
        <v>20952.393902112864</v>
      </c>
      <c r="AJ506" s="106">
        <v>20981.602728002141</v>
      </c>
      <c r="AK506" s="104">
        <v>21338.101845413214</v>
      </c>
      <c r="AL506" s="118">
        <v>116226914</v>
      </c>
      <c r="AM506" s="118">
        <v>16844</v>
      </c>
      <c r="AN506" s="118">
        <v>528986</v>
      </c>
      <c r="AO506" s="118">
        <v>3079</v>
      </c>
      <c r="AP506" s="118">
        <f t="shared" si="7"/>
        <v>452</v>
      </c>
    </row>
    <row r="507" spans="1:42" ht="12.75">
      <c r="A507" s="106">
        <v>2018</v>
      </c>
      <c r="B507" s="106">
        <v>-190600</v>
      </c>
      <c r="C507" s="106">
        <v>0</v>
      </c>
      <c r="D507" s="106">
        <v>190600</v>
      </c>
      <c r="E507" s="106" t="s">
        <v>506</v>
      </c>
      <c r="F507" s="106" t="s">
        <v>290</v>
      </c>
      <c r="G507" s="106" t="s">
        <v>69</v>
      </c>
      <c r="H507" s="106">
        <v>2</v>
      </c>
      <c r="I507" s="106" t="s">
        <v>25</v>
      </c>
      <c r="J507" s="106">
        <v>7070</v>
      </c>
      <c r="K507" s="106">
        <v>4745</v>
      </c>
      <c r="L507" s="106">
        <v>1986</v>
      </c>
      <c r="M507" s="106">
        <v>0.64</v>
      </c>
      <c r="N507" s="106">
        <v>0.08</v>
      </c>
      <c r="O507" s="106">
        <v>0.03</v>
      </c>
      <c r="P507" s="107">
        <v>3060</v>
      </c>
      <c r="Q507" s="106">
        <v>999.6510078023407</v>
      </c>
      <c r="R507" s="106">
        <v>0.11804007675398767</v>
      </c>
      <c r="S507" s="106">
        <v>19217.483663849154</v>
      </c>
      <c r="T507" s="106">
        <v>24260.661410923276</v>
      </c>
      <c r="U507" s="106">
        <v>19104.502413358176</v>
      </c>
      <c r="V507" s="106">
        <v>0.39095974718805526</v>
      </c>
      <c r="W507" s="106">
        <v>124996.69121030832</v>
      </c>
      <c r="X507" s="110">
        <v>0.60662181626756417</v>
      </c>
      <c r="Y507" s="106">
        <v>567.8187532739654</v>
      </c>
      <c r="Z507" s="106">
        <v>19.335777894185437</v>
      </c>
      <c r="AA507" s="106">
        <v>61631.305111158625</v>
      </c>
      <c r="AB507" s="106">
        <v>650.56043555044812</v>
      </c>
      <c r="AC507" s="106">
        <v>1.6225520426614257</v>
      </c>
      <c r="AD507" s="106">
        <v>31.028311096648224</v>
      </c>
      <c r="AE507" s="107">
        <v>94.735710540115363</v>
      </c>
      <c r="AF507" s="106">
        <v>0.97039335433450125</v>
      </c>
      <c r="AG507" s="106">
        <v>6530</v>
      </c>
      <c r="AH507" s="106">
        <v>19813.889385565668</v>
      </c>
      <c r="AI507" s="106">
        <v>19815.86874187256</v>
      </c>
      <c r="AJ507" s="106">
        <v>19223.727568270482</v>
      </c>
      <c r="AK507" s="104">
        <v>22120.261947334202</v>
      </c>
      <c r="AL507" s="118">
        <v>85221337</v>
      </c>
      <c r="AM507" s="118">
        <v>12916</v>
      </c>
      <c r="AN507" s="118">
        <v>361322</v>
      </c>
      <c r="AO507" s="118">
        <v>3092</v>
      </c>
      <c r="AP507" s="118">
        <f t="shared" si="7"/>
        <v>540</v>
      </c>
    </row>
    <row r="508" spans="1:42" ht="12.75">
      <c r="A508" s="106">
        <v>2018</v>
      </c>
      <c r="B508" s="106">
        <v>-190619</v>
      </c>
      <c r="C508" s="106">
        <v>0</v>
      </c>
      <c r="D508" s="106">
        <v>190619</v>
      </c>
      <c r="E508" s="106" t="s">
        <v>507</v>
      </c>
      <c r="F508" s="106" t="s">
        <v>501</v>
      </c>
      <c r="G508" s="106" t="s">
        <v>69</v>
      </c>
      <c r="H508" s="106">
        <v>4</v>
      </c>
      <c r="I508" s="106" t="s">
        <v>24</v>
      </c>
      <c r="J508" s="107">
        <v>5252</v>
      </c>
      <c r="K508" s="107">
        <v>6905</v>
      </c>
      <c r="L508" s="107">
        <v>5541</v>
      </c>
      <c r="M508" s="107">
        <v>0.75</v>
      </c>
      <c r="N508" s="107">
        <v>0.03</v>
      </c>
      <c r="O508" s="107">
        <v>0.28999999999999998</v>
      </c>
      <c r="P508" s="107">
        <v>200</v>
      </c>
      <c r="Q508" s="107">
        <v>1280.267039346377</v>
      </c>
      <c r="R508" s="106">
        <v>0.19971194563642583</v>
      </c>
      <c r="S508" s="106">
        <v>18579.808965813805</v>
      </c>
      <c r="T508" s="106">
        <v>19733.253063857235</v>
      </c>
      <c r="U508" s="107">
        <v>16254.103740387907</v>
      </c>
      <c r="V508" s="106">
        <v>0.31563112922009051</v>
      </c>
      <c r="W508" s="106">
        <v>107579.15130083353</v>
      </c>
      <c r="X508" s="110">
        <v>0.77342345817185909</v>
      </c>
      <c r="Y508" s="106">
        <v>568.35845213849291</v>
      </c>
      <c r="Z508" s="106">
        <v>18.945010183299388</v>
      </c>
      <c r="AA508" s="106">
        <v>57951.580296315944</v>
      </c>
      <c r="AB508" s="106">
        <v>541.79569200286778</v>
      </c>
      <c r="AC508" s="106">
        <v>1.7255784827382374</v>
      </c>
      <c r="AD508" s="106">
        <v>24.722827631952999</v>
      </c>
      <c r="AE508" s="107">
        <v>106.96205442698351</v>
      </c>
      <c r="AF508" s="107">
        <v>-1.0145194652887504</v>
      </c>
      <c r="AG508" s="106">
        <v>4800</v>
      </c>
      <c r="AH508" s="106">
        <v>18539.21328746506</v>
      </c>
      <c r="AI508" s="106">
        <v>18539.21328746506</v>
      </c>
      <c r="AJ508" s="106">
        <v>18579.840679423778</v>
      </c>
      <c r="AK508" s="104">
        <v>18786.845517093097</v>
      </c>
      <c r="AL508" s="118">
        <v>95817673</v>
      </c>
      <c r="AM508" s="118">
        <v>15034</v>
      </c>
      <c r="AN508" s="118">
        <v>279064</v>
      </c>
      <c r="AO508" s="118">
        <v>2606</v>
      </c>
      <c r="AP508" s="118">
        <f t="shared" si="7"/>
        <v>452</v>
      </c>
    </row>
    <row r="509" spans="1:42" ht="12.75">
      <c r="A509" s="106">
        <v>2018</v>
      </c>
      <c r="B509" s="106">
        <v>-190628</v>
      </c>
      <c r="C509" s="106">
        <v>0</v>
      </c>
      <c r="D509" s="106">
        <v>190628</v>
      </c>
      <c r="E509" s="106" t="s">
        <v>508</v>
      </c>
      <c r="F509" s="106" t="s">
        <v>509</v>
      </c>
      <c r="G509" s="106" t="s">
        <v>69</v>
      </c>
      <c r="H509" s="106">
        <v>4</v>
      </c>
      <c r="I509" s="106" t="s">
        <v>24</v>
      </c>
      <c r="J509" s="106">
        <v>5218</v>
      </c>
      <c r="K509" s="106">
        <v>8621</v>
      </c>
      <c r="L509" s="106">
        <v>7333</v>
      </c>
      <c r="M509" s="106">
        <v>0.73</v>
      </c>
      <c r="N509" s="106">
        <v>0.03</v>
      </c>
      <c r="O509" s="106">
        <v>0.3</v>
      </c>
      <c r="P509" s="106">
        <v>200</v>
      </c>
      <c r="Q509" s="106">
        <v>1217.6510278938838</v>
      </c>
      <c r="R509" s="106">
        <v>0.17532860472764356</v>
      </c>
      <c r="S509" s="106">
        <v>20507.301543973386</v>
      </c>
      <c r="T509" s="106">
        <v>20506.993090505843</v>
      </c>
      <c r="U509" s="106">
        <v>16893.900121979827</v>
      </c>
      <c r="V509" s="106">
        <v>0.33901668393740647</v>
      </c>
      <c r="W509" s="106">
        <v>112991.33504203403</v>
      </c>
      <c r="X509" s="110">
        <v>0.76407482537274418</v>
      </c>
      <c r="Y509" s="106">
        <v>596.78110859728508</v>
      </c>
      <c r="Z509" s="106">
        <v>19.891968325791854</v>
      </c>
      <c r="AA509" s="106">
        <v>62712.853429376031</v>
      </c>
      <c r="AB509" s="106">
        <v>563.10918908843405</v>
      </c>
      <c r="AC509" s="106">
        <v>1.594569446797933</v>
      </c>
      <c r="AD509" s="106">
        <v>23.04436660828955</v>
      </c>
      <c r="AE509" s="106">
        <v>111.36890436985433</v>
      </c>
      <c r="AF509" s="106">
        <v>0.20035468975295812</v>
      </c>
      <c r="AG509" s="106">
        <v>4800</v>
      </c>
      <c r="AH509" s="106">
        <v>20379.445790326707</v>
      </c>
      <c r="AI509" s="106">
        <v>20379.551991810971</v>
      </c>
      <c r="AJ509" s="106">
        <v>20507.582785976287</v>
      </c>
      <c r="AK509" s="104">
        <v>19583.644886121299</v>
      </c>
      <c r="AL509" s="118">
        <v>119386325</v>
      </c>
      <c r="AM509" s="118">
        <v>19373</v>
      </c>
      <c r="AN509" s="118">
        <v>351703</v>
      </c>
      <c r="AO509" s="118">
        <v>3117</v>
      </c>
      <c r="AP509" s="118">
        <f t="shared" si="7"/>
        <v>418</v>
      </c>
    </row>
    <row r="510" spans="1:42" ht="12.75">
      <c r="A510" s="106">
        <v>2018</v>
      </c>
      <c r="B510" s="106">
        <v>-190637</v>
      </c>
      <c r="C510" s="106">
        <v>0</v>
      </c>
      <c r="D510" s="106">
        <v>190637</v>
      </c>
      <c r="E510" s="106" t="s">
        <v>510</v>
      </c>
      <c r="F510" s="106" t="s">
        <v>499</v>
      </c>
      <c r="G510" s="106" t="s">
        <v>69</v>
      </c>
      <c r="H510" s="106">
        <v>2</v>
      </c>
      <c r="I510" s="106" t="s">
        <v>25</v>
      </c>
      <c r="J510" s="106">
        <v>7010</v>
      </c>
      <c r="K510" s="106">
        <v>3467</v>
      </c>
      <c r="L510" s="106">
        <v>1492</v>
      </c>
      <c r="M510" s="106">
        <v>0.77</v>
      </c>
      <c r="N510" s="106">
        <v>0.06</v>
      </c>
      <c r="O510" s="106">
        <v>0.05</v>
      </c>
      <c r="P510" s="106">
        <v>3064</v>
      </c>
      <c r="Q510" s="106">
        <v>1329.846884218289</v>
      </c>
      <c r="R510" s="106">
        <v>0.15360599603244446</v>
      </c>
      <c r="S510" s="106">
        <v>18347.897031710916</v>
      </c>
      <c r="T510" s="106">
        <v>21313.578447640117</v>
      </c>
      <c r="U510" s="106">
        <v>16294.846430999567</v>
      </c>
      <c r="V510" s="106">
        <v>0.44969263780531943</v>
      </c>
      <c r="W510" s="106">
        <v>126909.76556495004</v>
      </c>
      <c r="X510" s="110">
        <v>0.71411193264863859</v>
      </c>
      <c r="Y510" s="106">
        <v>567.65311004784689</v>
      </c>
      <c r="Z510" s="106">
        <v>19.464114832535884</v>
      </c>
      <c r="AA510" s="106">
        <v>55343.298084997907</v>
      </c>
      <c r="AB510" s="106">
        <v>558.7298941862216</v>
      </c>
      <c r="AC510" s="106">
        <v>1.8069035178643851</v>
      </c>
      <c r="AD510" s="106">
        <v>31.746347281582349</v>
      </c>
      <c r="AE510" s="106">
        <v>99.051972448340635</v>
      </c>
      <c r="AF510" s="106">
        <v>0.40387342341020682</v>
      </c>
      <c r="AG510" s="106">
        <v>6530</v>
      </c>
      <c r="AH510" s="106">
        <v>18751.31028761062</v>
      </c>
      <c r="AI510" s="106">
        <v>18751.434642330383</v>
      </c>
      <c r="AJ510" s="106">
        <v>18362.340984513274</v>
      </c>
      <c r="AK510" s="104">
        <v>19181.176069321533</v>
      </c>
      <c r="AL510" s="119">
        <v>77773326</v>
      </c>
      <c r="AM510" s="118">
        <v>11978</v>
      </c>
      <c r="AN510" s="118">
        <v>316372</v>
      </c>
      <c r="AO510" s="118">
        <v>2475</v>
      </c>
      <c r="AP510" s="118">
        <f t="shared" si="7"/>
        <v>480</v>
      </c>
    </row>
    <row r="511" spans="1:42" ht="12.75">
      <c r="A511" s="106">
        <v>2018</v>
      </c>
      <c r="B511" s="106">
        <v>-190646</v>
      </c>
      <c r="C511" s="106">
        <v>0</v>
      </c>
      <c r="D511" s="106">
        <v>190646</v>
      </c>
      <c r="E511" s="106" t="s">
        <v>511</v>
      </c>
      <c r="F511" s="106" t="s">
        <v>501</v>
      </c>
      <c r="G511" s="106" t="s">
        <v>69</v>
      </c>
      <c r="H511" s="106">
        <v>3</v>
      </c>
      <c r="I511" s="104" t="s">
        <v>26</v>
      </c>
      <c r="J511" s="106">
        <v>6952</v>
      </c>
      <c r="K511" s="106">
        <v>6677</v>
      </c>
      <c r="L511" s="106">
        <v>5209</v>
      </c>
      <c r="M511" s="106">
        <v>0.82</v>
      </c>
      <c r="N511" s="106">
        <v>0.06</v>
      </c>
      <c r="O511" s="106">
        <v>0</v>
      </c>
      <c r="P511" s="106">
        <v>100</v>
      </c>
      <c r="Q511" s="106">
        <v>1748.3503841109236</v>
      </c>
      <c r="R511" s="106">
        <v>0.21788831630832151</v>
      </c>
      <c r="S511" s="106">
        <v>21053.465804759227</v>
      </c>
      <c r="T511" s="106">
        <v>26018.638186246953</v>
      </c>
      <c r="U511" s="106">
        <v>20258.377825889831</v>
      </c>
      <c r="V511" s="106">
        <v>0.30978375336695174</v>
      </c>
      <c r="W511" s="106">
        <v>136985.63583032493</v>
      </c>
      <c r="X511" s="110">
        <v>0.72868824982641689</v>
      </c>
      <c r="Y511" s="106">
        <v>593.02592592592589</v>
      </c>
      <c r="Z511" s="106">
        <v>19.766666666666666</v>
      </c>
      <c r="AA511" s="106">
        <v>88767.621064674895</v>
      </c>
      <c r="AB511" s="106">
        <v>675.24973898320616</v>
      </c>
      <c r="AC511" s="106">
        <v>1.1265368926259873</v>
      </c>
      <c r="AD511" s="106">
        <v>21.941992433795711</v>
      </c>
      <c r="AE511" s="106">
        <v>131.45894909688013</v>
      </c>
      <c r="AF511" s="106">
        <v>0.30170147173711503</v>
      </c>
      <c r="AG511" s="106">
        <v>6530</v>
      </c>
      <c r="AH511" s="106">
        <v>21493.86396852164</v>
      </c>
      <c r="AI511" s="106">
        <v>21493.871838111299</v>
      </c>
      <c r="AJ511" s="106">
        <v>21063.567734682405</v>
      </c>
      <c r="AK511" s="104">
        <v>23428.47236275061</v>
      </c>
      <c r="AL511" s="119">
        <v>54542952</v>
      </c>
      <c r="AM511" s="118">
        <v>6652</v>
      </c>
      <c r="AN511" s="118">
        <v>160117</v>
      </c>
      <c r="AO511" s="118">
        <v>1188</v>
      </c>
      <c r="AP511" s="118">
        <f t="shared" si="7"/>
        <v>422</v>
      </c>
    </row>
    <row r="512" spans="1:42" ht="12.75">
      <c r="A512" s="106">
        <v>2018</v>
      </c>
      <c r="B512" s="106">
        <v>-190655</v>
      </c>
      <c r="C512" s="106">
        <v>0</v>
      </c>
      <c r="D512" s="106">
        <v>190655</v>
      </c>
      <c r="E512" s="106" t="s">
        <v>512</v>
      </c>
      <c r="F512" s="106" t="s">
        <v>501</v>
      </c>
      <c r="G512" s="106" t="s">
        <v>69</v>
      </c>
      <c r="H512" s="106">
        <v>3</v>
      </c>
      <c r="I512" s="104" t="s">
        <v>26</v>
      </c>
      <c r="J512" s="106">
        <v>6920</v>
      </c>
      <c r="K512" s="106">
        <v>5638</v>
      </c>
      <c r="L512" s="106">
        <v>3615</v>
      </c>
      <c r="M512" s="106">
        <v>0.72</v>
      </c>
      <c r="N512" s="106">
        <v>0.04</v>
      </c>
      <c r="O512" s="106">
        <v>0</v>
      </c>
      <c r="P512" s="106"/>
      <c r="Q512" s="106">
        <v>1315.2099886492622</v>
      </c>
      <c r="R512" s="106">
        <v>0.15946614221824384</v>
      </c>
      <c r="S512" s="106">
        <v>20186.625101345875</v>
      </c>
      <c r="T512" s="106">
        <v>18005.194097616346</v>
      </c>
      <c r="U512" s="106">
        <v>14128.086512981079</v>
      </c>
      <c r="V512" s="106">
        <v>0.49068013605285693</v>
      </c>
      <c r="W512" s="106">
        <v>114976.83217753121</v>
      </c>
      <c r="X512" s="110">
        <v>0.74657569579403205</v>
      </c>
      <c r="Y512" s="106">
        <v>490.54308440123737</v>
      </c>
      <c r="Z512" s="106">
        <v>16.350861688024747</v>
      </c>
      <c r="AA512" s="106">
        <v>60337.887483070852</v>
      </c>
      <c r="AB512" s="106">
        <v>470.91967216737055</v>
      </c>
      <c r="AC512" s="106">
        <v>1.657333462794123</v>
      </c>
      <c r="AD512" s="106">
        <v>21.310507674144038</v>
      </c>
      <c r="AE512" s="106">
        <v>128.12777008310249</v>
      </c>
      <c r="AF512" s="106">
        <v>0.21085189397398976</v>
      </c>
      <c r="AG512" s="106">
        <v>6530</v>
      </c>
      <c r="AH512" s="106">
        <v>20633.317172044754</v>
      </c>
      <c r="AI512" s="106">
        <v>20633.390465380249</v>
      </c>
      <c r="AJ512" s="106">
        <v>20198.035511593967</v>
      </c>
      <c r="AK512" s="104">
        <v>16227.171071833955</v>
      </c>
      <c r="AL512" s="118">
        <v>68316420</v>
      </c>
      <c r="AM512" s="118">
        <v>17279</v>
      </c>
      <c r="AN512" s="118">
        <v>370033</v>
      </c>
      <c r="AO512" s="118">
        <v>2880</v>
      </c>
      <c r="AP512" s="118">
        <f t="shared" si="7"/>
        <v>390</v>
      </c>
    </row>
    <row r="513" spans="1:42" ht="12.75">
      <c r="A513" s="106">
        <v>2018</v>
      </c>
      <c r="B513" s="106">
        <v>-190664</v>
      </c>
      <c r="C513" s="106">
        <v>0</v>
      </c>
      <c r="D513" s="106">
        <v>190664</v>
      </c>
      <c r="E513" s="106" t="s">
        <v>513</v>
      </c>
      <c r="F513" s="106" t="s">
        <v>514</v>
      </c>
      <c r="G513" s="106" t="s">
        <v>69</v>
      </c>
      <c r="H513" s="106">
        <v>2</v>
      </c>
      <c r="I513" s="106" t="s">
        <v>25</v>
      </c>
      <c r="J513" s="106">
        <v>7138</v>
      </c>
      <c r="K513" s="106">
        <v>4776</v>
      </c>
      <c r="L513" s="106">
        <v>1949</v>
      </c>
      <c r="M513" s="106">
        <v>0.56999999999999995</v>
      </c>
      <c r="N513" s="106">
        <v>0.06</v>
      </c>
      <c r="O513" s="106">
        <v>0.06</v>
      </c>
      <c r="P513" s="106">
        <v>4713</v>
      </c>
      <c r="Q513" s="106">
        <v>1056.2913763066201</v>
      </c>
      <c r="R513" s="106">
        <v>0.12456202710878259</v>
      </c>
      <c r="S513" s="106">
        <v>17770.842458934792</v>
      </c>
      <c r="T513" s="106">
        <v>19981.330637132902</v>
      </c>
      <c r="U513" s="106">
        <v>14773.276734607423</v>
      </c>
      <c r="V513" s="106">
        <v>0.5025122049741102</v>
      </c>
      <c r="W513" s="106">
        <v>132029.5918717802</v>
      </c>
      <c r="X513" s="110">
        <v>0.71824044275077503</v>
      </c>
      <c r="Y513" s="106">
        <v>529.97445529676941</v>
      </c>
      <c r="Z513" s="106">
        <v>18.112697220135239</v>
      </c>
      <c r="AA513" s="106">
        <v>63114.328463213853</v>
      </c>
      <c r="AB513" s="106">
        <v>504.89959613878693</v>
      </c>
      <c r="AC513" s="106">
        <v>1.5844262695163578</v>
      </c>
      <c r="AD513" s="106">
        <v>24.407967300330892</v>
      </c>
      <c r="AE513" s="106">
        <v>125.00372142477406</v>
      </c>
      <c r="AF513" s="106">
        <v>0.15975339200117109</v>
      </c>
      <c r="AG513" s="106">
        <v>6530</v>
      </c>
      <c r="AH513" s="106">
        <v>18034.702401692386</v>
      </c>
      <c r="AI513" s="106">
        <v>18129.547784967646</v>
      </c>
      <c r="AJ513" s="106">
        <v>17779.000622200099</v>
      </c>
      <c r="AK513" s="104">
        <v>18073.234071677452</v>
      </c>
      <c r="AL513" s="118">
        <v>93905035</v>
      </c>
      <c r="AM513" s="118">
        <v>16680</v>
      </c>
      <c r="AN513" s="118">
        <v>470264</v>
      </c>
      <c r="AO513" s="118">
        <v>2567</v>
      </c>
      <c r="AP513" s="118">
        <f t="shared" si="7"/>
        <v>608</v>
      </c>
    </row>
    <row r="514" spans="1:42" ht="12.75">
      <c r="A514" s="106">
        <v>2018</v>
      </c>
      <c r="B514" s="106">
        <v>-190673</v>
      </c>
      <c r="C514" s="106">
        <v>0</v>
      </c>
      <c r="D514" s="106">
        <v>190673</v>
      </c>
      <c r="E514" s="106" t="s">
        <v>515</v>
      </c>
      <c r="F514" s="106" t="s">
        <v>516</v>
      </c>
      <c r="G514" s="106" t="s">
        <v>69</v>
      </c>
      <c r="H514" s="106">
        <v>4</v>
      </c>
      <c r="I514" s="106" t="s">
        <v>24</v>
      </c>
      <c r="J514" s="106">
        <v>5210</v>
      </c>
      <c r="K514" s="106">
        <v>6389</v>
      </c>
      <c r="L514" s="106">
        <v>4781</v>
      </c>
      <c r="M514" s="106">
        <v>0.67</v>
      </c>
      <c r="N514" s="106">
        <v>0.04</v>
      </c>
      <c r="O514" s="106">
        <v>0.02</v>
      </c>
      <c r="P514" s="106">
        <v>1000</v>
      </c>
      <c r="Q514" s="106">
        <v>687.39142913697549</v>
      </c>
      <c r="R514" s="106">
        <v>0.10070576800033627</v>
      </c>
      <c r="S514" s="106">
        <v>19275.497723673794</v>
      </c>
      <c r="T514" s="106">
        <v>18845.433095803641</v>
      </c>
      <c r="U514" s="106">
        <v>16145.902425348995</v>
      </c>
      <c r="V514" s="106">
        <v>0.38017998678522241</v>
      </c>
      <c r="W514" s="106">
        <v>106617.96588486141</v>
      </c>
      <c r="X514" s="110">
        <v>0.78781642273675134</v>
      </c>
      <c r="Y514" s="106">
        <v>560.98889574336829</v>
      </c>
      <c r="Z514" s="106">
        <v>18.699568167797654</v>
      </c>
      <c r="AA514" s="106">
        <v>70470.063976555612</v>
      </c>
      <c r="AB514" s="106">
        <v>538.19497199377884</v>
      </c>
      <c r="AC514" s="106">
        <v>1.4190422763525314</v>
      </c>
      <c r="AD514" s="106">
        <v>20.510321608930628</v>
      </c>
      <c r="AE514" s="106">
        <v>130.93779697624191</v>
      </c>
      <c r="AF514" s="106">
        <v>0.20323184110019846</v>
      </c>
      <c r="AG514" s="106">
        <v>4800</v>
      </c>
      <c r="AH514" s="106">
        <v>19311.414885193983</v>
      </c>
      <c r="AI514" s="106">
        <v>19311.414885193983</v>
      </c>
      <c r="AJ514" s="106">
        <v>19275.556710213776</v>
      </c>
      <c r="AK514" s="104">
        <v>17891.225752177357</v>
      </c>
      <c r="AL514" s="118">
        <v>96101302</v>
      </c>
      <c r="AM514" s="118">
        <v>15400</v>
      </c>
      <c r="AN514" s="118">
        <v>303121</v>
      </c>
      <c r="AO514" s="118">
        <v>2303</v>
      </c>
      <c r="AP514" s="118">
        <f t="shared" si="7"/>
        <v>410</v>
      </c>
    </row>
    <row r="515" spans="1:42" ht="12.75">
      <c r="A515" s="106">
        <v>2018</v>
      </c>
      <c r="B515" s="106">
        <v>-190691</v>
      </c>
      <c r="C515" s="106">
        <v>0</v>
      </c>
      <c r="D515" s="106">
        <v>190691</v>
      </c>
      <c r="E515" s="106" t="s">
        <v>517</v>
      </c>
      <c r="F515" s="106" t="s">
        <v>518</v>
      </c>
      <c r="G515" s="106" t="s">
        <v>69</v>
      </c>
      <c r="H515" s="106">
        <v>3</v>
      </c>
      <c r="I515" s="104" t="s">
        <v>26</v>
      </c>
      <c r="J515" s="106">
        <v>6958</v>
      </c>
      <c r="K515" s="106">
        <v>5097</v>
      </c>
      <c r="L515" s="106">
        <v>2932</v>
      </c>
      <c r="M515" s="106">
        <v>0.76</v>
      </c>
      <c r="N515" s="106">
        <v>0.04</v>
      </c>
      <c r="O515" s="106">
        <v>0</v>
      </c>
      <c r="P515" s="106">
        <v>1667</v>
      </c>
      <c r="Q515" s="106">
        <v>1469.1774721676491</v>
      </c>
      <c r="R515" s="106">
        <v>0.17341303945960326</v>
      </c>
      <c r="S515" s="106">
        <v>18467.103307138179</v>
      </c>
      <c r="T515" s="106">
        <v>21583.170268500329</v>
      </c>
      <c r="U515" s="106">
        <v>16923.147063497505</v>
      </c>
      <c r="V515" s="106">
        <v>0.41380899961284867</v>
      </c>
      <c r="W515" s="106">
        <v>114993.64848960377</v>
      </c>
      <c r="X515" s="110">
        <v>0.74115350857457307</v>
      </c>
      <c r="Y515" s="106">
        <v>578.61269841269836</v>
      </c>
      <c r="Z515" s="106">
        <v>19.390476190476189</v>
      </c>
      <c r="AA515" s="106">
        <v>84037.871759221758</v>
      </c>
      <c r="AB515" s="106">
        <v>567.12872203268228</v>
      </c>
      <c r="AC515" s="106">
        <v>1.1899397010732446</v>
      </c>
      <c r="AD515" s="106">
        <v>18.824609733700644</v>
      </c>
      <c r="AE515" s="106">
        <v>148.18130081300814</v>
      </c>
      <c r="AF515" s="106">
        <v>0.23914454695803222</v>
      </c>
      <c r="AG515" s="106">
        <v>6530</v>
      </c>
      <c r="AH515" s="106">
        <v>19063.638998035363</v>
      </c>
      <c r="AI515" s="106">
        <v>19063.774230517356</v>
      </c>
      <c r="AJ515" s="106">
        <v>18472.323673870334</v>
      </c>
      <c r="AK515" s="104">
        <v>19367.121152586773</v>
      </c>
      <c r="AL515" s="119">
        <v>47760677</v>
      </c>
      <c r="AM515" s="118">
        <v>8393</v>
      </c>
      <c r="AN515" s="118">
        <v>182263</v>
      </c>
      <c r="AO515" s="118">
        <v>1205</v>
      </c>
      <c r="AP515" s="118">
        <f t="shared" si="7"/>
        <v>428</v>
      </c>
    </row>
    <row r="516" spans="1:42" ht="12.75">
      <c r="A516" s="106">
        <v>2018</v>
      </c>
      <c r="B516" s="106">
        <v>-165529</v>
      </c>
      <c r="C516" s="106">
        <v>0</v>
      </c>
      <c r="D516" s="106">
        <v>165529</v>
      </c>
      <c r="E516" s="106" t="s">
        <v>974</v>
      </c>
      <c r="F516" s="106" t="s">
        <v>975</v>
      </c>
      <c r="G516" s="106" t="s">
        <v>150</v>
      </c>
      <c r="H516" s="106">
        <v>6</v>
      </c>
      <c r="I516" s="106" t="s">
        <v>3640</v>
      </c>
      <c r="J516" s="106">
        <v>38596</v>
      </c>
      <c r="K516" s="106">
        <v>31112</v>
      </c>
      <c r="L516" s="106">
        <v>27260</v>
      </c>
      <c r="M516" s="106">
        <v>0.38</v>
      </c>
      <c r="N516" s="106">
        <v>0.81</v>
      </c>
      <c r="O516" s="106">
        <v>0.99</v>
      </c>
      <c r="P516" s="106">
        <v>21394</v>
      </c>
      <c r="Q516" s="106">
        <v>14822.428125</v>
      </c>
      <c r="R516" s="106">
        <v>0.43371502847303089</v>
      </c>
      <c r="S516" s="106">
        <v>30011.234765624999</v>
      </c>
      <c r="T516" s="106">
        <v>31344.854296875001</v>
      </c>
      <c r="U516" s="106">
        <v>26637.923046874999</v>
      </c>
      <c r="V516" s="106">
        <v>0.72652331908794909</v>
      </c>
      <c r="W516" s="106">
        <v>104708.47952810548</v>
      </c>
      <c r="X516" s="110">
        <v>0.62678465951853868</v>
      </c>
      <c r="Y516" s="106">
        <v>374.29440789473682</v>
      </c>
      <c r="Z516" s="106">
        <v>12.631578947368419</v>
      </c>
      <c r="AA516" s="106">
        <v>82259.448733413752</v>
      </c>
      <c r="AB516" s="106">
        <v>898.96888883029908</v>
      </c>
      <c r="AC516" s="106">
        <v>1.2156658176020581</v>
      </c>
      <c r="AD516" s="106">
        <v>34.96415014761704</v>
      </c>
      <c r="AE516" s="106">
        <v>91.504221954161636</v>
      </c>
      <c r="AF516" s="106">
        <v>4.1911377182174026E-2</v>
      </c>
      <c r="AG516" s="106">
        <v>36780</v>
      </c>
      <c r="AH516" s="106">
        <v>29126.69921875</v>
      </c>
      <c r="AI516" s="106">
        <v>29949.999609375001</v>
      </c>
      <c r="AJ516" s="106">
        <v>33681.505468750001</v>
      </c>
      <c r="AK516" s="104">
        <v>26637.923046874999</v>
      </c>
      <c r="AL516" s="118"/>
      <c r="AM516" s="118">
        <v>2565</v>
      </c>
      <c r="AN516" s="118">
        <v>75857</v>
      </c>
      <c r="AO516" s="118">
        <v>731</v>
      </c>
      <c r="AP516" s="118">
        <f t="shared" si="7"/>
        <v>1816</v>
      </c>
    </row>
    <row r="517" spans="1:42" ht="12.75">
      <c r="A517" s="106">
        <v>2018</v>
      </c>
      <c r="B517" s="106">
        <v>-202356</v>
      </c>
      <c r="C517" s="106">
        <v>0</v>
      </c>
      <c r="D517" s="106">
        <v>202356</v>
      </c>
      <c r="E517" s="106" t="s">
        <v>976</v>
      </c>
      <c r="F517" s="106" t="s">
        <v>624</v>
      </c>
      <c r="G517" s="106" t="s">
        <v>82</v>
      </c>
      <c r="H517" s="106">
        <v>4</v>
      </c>
      <c r="I517" s="106" t="s">
        <v>24</v>
      </c>
      <c r="J517" s="106">
        <v>3136</v>
      </c>
      <c r="K517" s="106">
        <v>4354</v>
      </c>
      <c r="L517" s="106">
        <v>3512</v>
      </c>
      <c r="M517" s="106">
        <v>0.61</v>
      </c>
      <c r="N517" s="106">
        <v>0.35</v>
      </c>
      <c r="O517" s="106">
        <v>0.06</v>
      </c>
      <c r="P517" s="106">
        <v>2197</v>
      </c>
      <c r="Q517" s="106">
        <v>235.75484522207267</v>
      </c>
      <c r="R517" s="106">
        <v>6.5006369045710471E-2</v>
      </c>
      <c r="S517" s="106">
        <v>20169.059757738898</v>
      </c>
      <c r="T517" s="106">
        <v>17183.147240915208</v>
      </c>
      <c r="U517" s="106">
        <v>16490.111742465393</v>
      </c>
      <c r="V517" s="106">
        <v>0.20563156083104861</v>
      </c>
      <c r="W517" s="106">
        <v>59812.414032496308</v>
      </c>
      <c r="X517" s="110">
        <v>0.52861225086547603</v>
      </c>
      <c r="Y517" s="106">
        <v>573.27003857693956</v>
      </c>
      <c r="Z517" s="106">
        <v>19.108444063437631</v>
      </c>
      <c r="AA517" s="106">
        <v>55489.823481212799</v>
      </c>
      <c r="AB517" s="106">
        <v>549.65436291233254</v>
      </c>
      <c r="AC517" s="106">
        <v>1.8021322420291535</v>
      </c>
      <c r="AD517" s="106">
        <v>34.179566563467496</v>
      </c>
      <c r="AE517" s="106">
        <v>100.95403079710145</v>
      </c>
      <c r="AF517" s="106">
        <v>0.54165490959322304</v>
      </c>
      <c r="AG517" s="106">
        <v>3136</v>
      </c>
      <c r="AH517" s="106">
        <v>18712.566352624497</v>
      </c>
      <c r="AI517" s="106">
        <v>18712.566352624497</v>
      </c>
      <c r="AJ517" s="106">
        <v>20628.154845222074</v>
      </c>
      <c r="AK517" s="104">
        <v>19701.067025572007</v>
      </c>
      <c r="AL517" s="119">
        <v>189746458</v>
      </c>
      <c r="AM517" s="118">
        <v>23900</v>
      </c>
      <c r="AN517" s="118">
        <v>445813</v>
      </c>
      <c r="AO517" s="118">
        <v>3180</v>
      </c>
      <c r="AP517" s="118">
        <f t="shared" si="7"/>
        <v>0</v>
      </c>
    </row>
    <row r="518" spans="1:42" ht="12.75">
      <c r="A518" s="106">
        <v>2018</v>
      </c>
      <c r="B518" s="106">
        <v>-113218</v>
      </c>
      <c r="C518" s="106">
        <v>0</v>
      </c>
      <c r="D518" s="106">
        <v>113218</v>
      </c>
      <c r="E518" s="106" t="s">
        <v>4079</v>
      </c>
      <c r="F518" s="106" t="s">
        <v>977</v>
      </c>
      <c r="G518" s="106" t="s">
        <v>121</v>
      </c>
      <c r="H518" s="106">
        <v>4</v>
      </c>
      <c r="I518" s="106" t="s">
        <v>24</v>
      </c>
      <c r="J518" s="106">
        <v>1386</v>
      </c>
      <c r="K518" s="106">
        <v>4340</v>
      </c>
      <c r="L518" s="106">
        <v>2286</v>
      </c>
      <c r="M518" s="106">
        <v>0.59</v>
      </c>
      <c r="N518" s="106">
        <v>0</v>
      </c>
      <c r="O518" s="106">
        <v>0.02</v>
      </c>
      <c r="P518" s="106">
        <v>471</v>
      </c>
      <c r="Q518" s="106">
        <v>180.59797570850202</v>
      </c>
      <c r="R518" s="106">
        <v>0.12162696795137289</v>
      </c>
      <c r="S518" s="106">
        <v>14018.805465587044</v>
      </c>
      <c r="T518" s="106">
        <v>10550.074291497976</v>
      </c>
      <c r="U518" s="106">
        <v>7107.9226480351044</v>
      </c>
      <c r="V518" s="106">
        <v>0.18349291429839784</v>
      </c>
      <c r="W518" s="106">
        <v>88946.529807692306</v>
      </c>
      <c r="X518" s="110">
        <v>0.59164149639409069</v>
      </c>
      <c r="Y518" s="106">
        <v>742.18697829716189</v>
      </c>
      <c r="Z518" s="106">
        <v>24.741235392320533</v>
      </c>
      <c r="AA518" s="106">
        <v>28687.20415138351</v>
      </c>
      <c r="AB518" s="106">
        <v>236.94674324376419</v>
      </c>
      <c r="AC518" s="106">
        <v>3.4858747291055638</v>
      </c>
      <c r="AD518" s="106">
        <v>25.860976125079233</v>
      </c>
      <c r="AE518" s="106">
        <v>121.0702614379085</v>
      </c>
      <c r="AF518" s="106"/>
      <c r="AG518" s="106">
        <v>1334</v>
      </c>
      <c r="AH518" s="106">
        <v>12925.043117408906</v>
      </c>
      <c r="AI518" s="106">
        <v>12925.043117408906</v>
      </c>
      <c r="AJ518" s="106">
        <v>14037.352024291498</v>
      </c>
      <c r="AK518" s="104">
        <v>10400.044331983805</v>
      </c>
      <c r="AL518" s="119">
        <v>21996649</v>
      </c>
      <c r="AM518" s="118">
        <v>9424</v>
      </c>
      <c r="AN518" s="118">
        <v>148190</v>
      </c>
      <c r="AO518" s="118">
        <v>1027</v>
      </c>
      <c r="AP518" s="118">
        <f t="shared" ref="AP518:AP581" si="8">J518-AG518</f>
        <v>52</v>
      </c>
    </row>
    <row r="519" spans="1:42" ht="12.75">
      <c r="A519" s="106">
        <v>2018</v>
      </c>
      <c r="B519" s="106">
        <v>-113236</v>
      </c>
      <c r="C519" s="106">
        <v>0</v>
      </c>
      <c r="D519" s="106">
        <v>113236</v>
      </c>
      <c r="E519" s="106" t="s">
        <v>4080</v>
      </c>
      <c r="F519" s="106" t="s">
        <v>978</v>
      </c>
      <c r="G519" s="106" t="s">
        <v>121</v>
      </c>
      <c r="H519" s="106">
        <v>4</v>
      </c>
      <c r="I519" s="106" t="s">
        <v>24</v>
      </c>
      <c r="J519" s="106">
        <v>1138</v>
      </c>
      <c r="K519" s="106">
        <v>6303</v>
      </c>
      <c r="L519" s="106">
        <v>4202</v>
      </c>
      <c r="M519" s="106">
        <v>0.47</v>
      </c>
      <c r="N519" s="106">
        <v>0.03</v>
      </c>
      <c r="O519" s="106">
        <v>0</v>
      </c>
      <c r="P519" s="106"/>
      <c r="Q519" s="106"/>
      <c r="R519" s="106"/>
      <c r="S519" s="106">
        <v>15561.195182984047</v>
      </c>
      <c r="T519" s="106">
        <v>14728.731414868105</v>
      </c>
      <c r="U519" s="106">
        <v>11238.621324195761</v>
      </c>
      <c r="V519" s="106">
        <v>0.15937111995506809</v>
      </c>
      <c r="W519" s="106">
        <v>163621.0699815838</v>
      </c>
      <c r="X519" s="110">
        <v>0.62894088040427043</v>
      </c>
      <c r="Y519" s="106">
        <v>871.03229061553986</v>
      </c>
      <c r="Z519" s="106">
        <v>29.034308779011102</v>
      </c>
      <c r="AA519" s="106">
        <v>44559.577147731106</v>
      </c>
      <c r="AB519" s="106">
        <v>374.61940882408066</v>
      </c>
      <c r="AC519" s="106">
        <v>2.2441864667715281</v>
      </c>
      <c r="AD519" s="106">
        <v>25.565419573028958</v>
      </c>
      <c r="AE519" s="106">
        <v>118.94625878462175</v>
      </c>
      <c r="AF519" s="106"/>
      <c r="AG519" s="106">
        <v>1104</v>
      </c>
      <c r="AH519" s="106">
        <v>14617.70107392347</v>
      </c>
      <c r="AI519" s="106">
        <v>14617.70107392347</v>
      </c>
      <c r="AJ519" s="106">
        <v>15713.92378271296</v>
      </c>
      <c r="AK519" s="104">
        <v>13830.127932436659</v>
      </c>
      <c r="AL519" s="118">
        <v>88885936</v>
      </c>
      <c r="AM519" s="118">
        <v>15673</v>
      </c>
      <c r="AN519" s="118">
        <v>287731</v>
      </c>
      <c r="AO519" s="118">
        <v>1366</v>
      </c>
      <c r="AP519" s="118">
        <f t="shared" si="8"/>
        <v>34</v>
      </c>
    </row>
    <row r="520" spans="1:42" ht="12.75">
      <c r="A520" s="106">
        <v>2018</v>
      </c>
      <c r="B520" s="106">
        <v>-231873</v>
      </c>
      <c r="C520" s="106">
        <v>0</v>
      </c>
      <c r="D520" s="106">
        <v>231873</v>
      </c>
      <c r="E520" s="106" t="s">
        <v>980</v>
      </c>
      <c r="F520" s="106" t="s">
        <v>981</v>
      </c>
      <c r="G520" s="106" t="s">
        <v>261</v>
      </c>
      <c r="H520" s="106">
        <v>4</v>
      </c>
      <c r="I520" s="106" t="s">
        <v>24</v>
      </c>
      <c r="J520" s="106">
        <v>4613</v>
      </c>
      <c r="K520" s="106">
        <v>5951</v>
      </c>
      <c r="L520" s="106">
        <v>4958</v>
      </c>
      <c r="M520" s="106">
        <v>0.65</v>
      </c>
      <c r="N520" s="106">
        <v>0.18</v>
      </c>
      <c r="O520" s="106">
        <v>0.4</v>
      </c>
      <c r="P520" s="106">
        <v>1789</v>
      </c>
      <c r="Q520" s="106">
        <v>432.51900584795322</v>
      </c>
      <c r="R520" s="106">
        <v>8.3615638769632544E-2</v>
      </c>
      <c r="S520" s="106">
        <v>15413.438596491229</v>
      </c>
      <c r="T520" s="106">
        <v>15719.337719298246</v>
      </c>
      <c r="U520" s="106">
        <v>13554.084809676302</v>
      </c>
      <c r="V520" s="106">
        <v>0.34972377250661635</v>
      </c>
      <c r="W520" s="106">
        <v>71132.811846689889</v>
      </c>
      <c r="X520" s="110">
        <v>0.63290754385196391</v>
      </c>
      <c r="Y520" s="106">
        <v>554.51351351351354</v>
      </c>
      <c r="Z520" s="106">
        <v>18.486486486486488</v>
      </c>
      <c r="AA520" s="106">
        <v>28791.906862790656</v>
      </c>
      <c r="AB520" s="106">
        <v>451.86888969238152</v>
      </c>
      <c r="AC520" s="106">
        <v>3.4731982315917889</v>
      </c>
      <c r="AD520" s="106">
        <v>45.544554455445549</v>
      </c>
      <c r="AE520" s="106">
        <v>63.717391304347828</v>
      </c>
      <c r="AF520" s="106">
        <v>2.8858874863209805E-2</v>
      </c>
      <c r="AG520" s="106">
        <v>4253</v>
      </c>
      <c r="AH520" s="106">
        <v>14700.014619883041</v>
      </c>
      <c r="AI520" s="106">
        <v>14891.900584795321</v>
      </c>
      <c r="AJ520" s="106">
        <v>15422.923976608186</v>
      </c>
      <c r="AK520" s="104">
        <v>15016.599415204679</v>
      </c>
      <c r="AL520" s="119">
        <v>4792089</v>
      </c>
      <c r="AM520" s="118">
        <v>1260</v>
      </c>
      <c r="AN520" s="118">
        <v>20517</v>
      </c>
      <c r="AO520" s="118">
        <v>130</v>
      </c>
      <c r="AP520" s="118">
        <f t="shared" si="8"/>
        <v>360</v>
      </c>
    </row>
    <row r="521" spans="1:42" ht="12.75">
      <c r="A521" s="106">
        <v>2018</v>
      </c>
      <c r="B521" s="106">
        <v>-190725</v>
      </c>
      <c r="C521" s="106">
        <v>0</v>
      </c>
      <c r="D521" s="106">
        <v>190725</v>
      </c>
      <c r="E521" s="106" t="s">
        <v>982</v>
      </c>
      <c r="F521" s="106" t="s">
        <v>158</v>
      </c>
      <c r="G521" s="106" t="s">
        <v>69</v>
      </c>
      <c r="H521" s="106">
        <v>6</v>
      </c>
      <c r="I521" s="106" t="s">
        <v>3640</v>
      </c>
      <c r="J521" s="106">
        <v>27990</v>
      </c>
      <c r="K521" s="106">
        <v>17672</v>
      </c>
      <c r="L521" s="106">
        <v>16657</v>
      </c>
      <c r="M521" s="106">
        <v>0.45</v>
      </c>
      <c r="N521" s="106">
        <v>0.78</v>
      </c>
      <c r="O521" s="106">
        <v>1</v>
      </c>
      <c r="P521" s="106">
        <v>17375</v>
      </c>
      <c r="Q521" s="106">
        <v>10181.059926620464</v>
      </c>
      <c r="R521" s="106">
        <v>0.40938926575035389</v>
      </c>
      <c r="S521" s="106">
        <v>20143.033836119037</v>
      </c>
      <c r="T521" s="106">
        <v>20330.29841011007</v>
      </c>
      <c r="U521" s="106">
        <v>15565.5166857122</v>
      </c>
      <c r="V521" s="106">
        <v>0.94361391619209811</v>
      </c>
      <c r="W521" s="106">
        <v>72994.386462882103</v>
      </c>
      <c r="X521" s="110">
        <v>0.6703685618243288</v>
      </c>
      <c r="Y521" s="106">
        <v>332.32928942807627</v>
      </c>
      <c r="Z521" s="106">
        <v>12.753899480069324</v>
      </c>
      <c r="AA521" s="106">
        <v>39444.434328566145</v>
      </c>
      <c r="AB521" s="106">
        <v>597.36243984561509</v>
      </c>
      <c r="AC521" s="106">
        <v>2.5352119177832591</v>
      </c>
      <c r="AD521" s="106">
        <v>41.086587436332763</v>
      </c>
      <c r="AE521" s="106">
        <v>66.030991735537185</v>
      </c>
      <c r="AF521" s="106">
        <v>7.6077440846517602E-2</v>
      </c>
      <c r="AG521" s="106">
        <v>27450</v>
      </c>
      <c r="AH521" s="106">
        <v>19565.14961271912</v>
      </c>
      <c r="AI521" s="106">
        <v>20330.867101508356</v>
      </c>
      <c r="AJ521" s="106">
        <v>21006.205870362821</v>
      </c>
      <c r="AK521" s="104">
        <v>15663.488381573583</v>
      </c>
      <c r="AL521" s="118">
        <v>260643</v>
      </c>
      <c r="AM521" s="118">
        <v>1801</v>
      </c>
      <c r="AN521" s="118">
        <v>63918</v>
      </c>
      <c r="AO521" s="118">
        <v>488</v>
      </c>
      <c r="AP521" s="118">
        <f t="shared" si="8"/>
        <v>540</v>
      </c>
    </row>
    <row r="522" spans="1:42" ht="12.75">
      <c r="A522" s="106">
        <v>2018</v>
      </c>
      <c r="B522" s="106">
        <v>-200314</v>
      </c>
      <c r="C522" s="106">
        <v>0</v>
      </c>
      <c r="D522" s="106">
        <v>200314</v>
      </c>
      <c r="E522" s="106" t="s">
        <v>983</v>
      </c>
      <c r="F522" s="106" t="s">
        <v>984</v>
      </c>
      <c r="G522" s="106" t="s">
        <v>382</v>
      </c>
      <c r="H522" s="106">
        <v>4</v>
      </c>
      <c r="I522" s="106" t="s">
        <v>24</v>
      </c>
      <c r="J522" s="106">
        <v>4419</v>
      </c>
      <c r="K522" s="106">
        <v>9107</v>
      </c>
      <c r="L522" s="106">
        <v>6839</v>
      </c>
      <c r="M522" s="106">
        <v>0.59</v>
      </c>
      <c r="N522" s="106">
        <v>0.66</v>
      </c>
      <c r="O522" s="106">
        <v>0.33</v>
      </c>
      <c r="P522" s="106">
        <v>1733</v>
      </c>
      <c r="Q522" s="106">
        <v>233.83082706766916</v>
      </c>
      <c r="R522" s="106">
        <v>4.0172135848588655E-2</v>
      </c>
      <c r="S522" s="106">
        <v>18429</v>
      </c>
      <c r="T522" s="106">
        <v>18067.360902255637</v>
      </c>
      <c r="U522" s="106">
        <v>12690.474720884731</v>
      </c>
      <c r="V522" s="106">
        <v>0.44024286721514488</v>
      </c>
      <c r="W522" s="106">
        <v>59445.50170648464</v>
      </c>
      <c r="X522" s="110">
        <v>0.60403069715296853</v>
      </c>
      <c r="Y522" s="106">
        <v>349.59854014598534</v>
      </c>
      <c r="Z522" s="106">
        <v>11.649635036496349</v>
      </c>
      <c r="AA522" s="106">
        <v>43556.984203294691</v>
      </c>
      <c r="AB522" s="106">
        <v>422.88334177956011</v>
      </c>
      <c r="AC522" s="106">
        <v>2.2958430623494799</v>
      </c>
      <c r="AD522" s="106">
        <v>28.971962616822427</v>
      </c>
      <c r="AE522" s="106">
        <v>103</v>
      </c>
      <c r="AF522" s="106">
        <v>5.7354634943519014E-2</v>
      </c>
      <c r="AG522" s="106">
        <v>3607</v>
      </c>
      <c r="AH522" s="106">
        <v>17713.975563909775</v>
      </c>
      <c r="AI522" s="106">
        <v>18271.390977443611</v>
      </c>
      <c r="AJ522" s="106">
        <v>18693.112781954886</v>
      </c>
      <c r="AK522" s="104">
        <v>13263.112781954887</v>
      </c>
      <c r="AL522" s="118">
        <v>3786000</v>
      </c>
      <c r="AM522" s="118">
        <v>909</v>
      </c>
      <c r="AN522" s="118">
        <v>15965</v>
      </c>
      <c r="AO522" s="118">
        <v>95</v>
      </c>
      <c r="AP522" s="118">
        <f t="shared" si="8"/>
        <v>812</v>
      </c>
    </row>
    <row r="523" spans="1:42" ht="12.75">
      <c r="A523" s="106">
        <v>2018</v>
      </c>
      <c r="B523" s="106">
        <v>-173416</v>
      </c>
      <c r="C523" s="106">
        <v>0</v>
      </c>
      <c r="D523" s="106">
        <v>173416</v>
      </c>
      <c r="E523" s="106" t="s">
        <v>985</v>
      </c>
      <c r="F523" s="106" t="s">
        <v>986</v>
      </c>
      <c r="G523" s="106" t="s">
        <v>113</v>
      </c>
      <c r="H523" s="106">
        <v>4</v>
      </c>
      <c r="I523" s="106" t="s">
        <v>24</v>
      </c>
      <c r="J523" s="106">
        <v>5937</v>
      </c>
      <c r="K523" s="106">
        <v>10993</v>
      </c>
      <c r="L523" s="106">
        <v>9206</v>
      </c>
      <c r="M523" s="106">
        <v>0.37</v>
      </c>
      <c r="N523" s="106">
        <v>0.36</v>
      </c>
      <c r="O523" s="106">
        <v>0.15</v>
      </c>
      <c r="P523" s="106">
        <v>880</v>
      </c>
      <c r="Q523" s="106">
        <v>182.6625386996904</v>
      </c>
      <c r="R523" s="106">
        <v>2.8484068233022207E-2</v>
      </c>
      <c r="S523" s="106">
        <v>16581.527347781219</v>
      </c>
      <c r="T523" s="106">
        <v>18409.184726522188</v>
      </c>
      <c r="U523" s="106">
        <v>15086.262141961572</v>
      </c>
      <c r="V523" s="106">
        <v>0.41296738054139787</v>
      </c>
      <c r="W523" s="106">
        <v>118712.80276816609</v>
      </c>
      <c r="X523" s="110">
        <v>0.64108529304593997</v>
      </c>
      <c r="Y523" s="106">
        <v>670.97307692307686</v>
      </c>
      <c r="Z523" s="106">
        <v>22.361538461538462</v>
      </c>
      <c r="AA523" s="106">
        <v>35225.513290507864</v>
      </c>
      <c r="AB523" s="106">
        <v>502.7802794641799</v>
      </c>
      <c r="AC523" s="106">
        <v>2.8388514647122762</v>
      </c>
      <c r="AD523" s="106">
        <v>47.401484865790977</v>
      </c>
      <c r="AE523" s="106">
        <v>70.061445783132527</v>
      </c>
      <c r="AF523" s="106">
        <v>-7.8693208285456978E-2</v>
      </c>
      <c r="AG523" s="106">
        <v>5293</v>
      </c>
      <c r="AH523" s="106">
        <v>16796.181630546955</v>
      </c>
      <c r="AI523" s="106">
        <v>17068.111455108359</v>
      </c>
      <c r="AJ523" s="106">
        <v>16694.530443756448</v>
      </c>
      <c r="AK523" s="104">
        <v>16115.067079463364</v>
      </c>
      <c r="AL523" s="118">
        <v>13368000</v>
      </c>
      <c r="AM523" s="118">
        <v>2478</v>
      </c>
      <c r="AN523" s="118">
        <v>58151</v>
      </c>
      <c r="AO523" s="118">
        <v>380</v>
      </c>
      <c r="AP523" s="118">
        <f t="shared" si="8"/>
        <v>644</v>
      </c>
    </row>
    <row r="524" spans="1:42" ht="12.75">
      <c r="A524" s="106">
        <v>2018</v>
      </c>
      <c r="B524" s="106">
        <v>-219082</v>
      </c>
      <c r="C524" s="106">
        <v>0</v>
      </c>
      <c r="D524" s="106">
        <v>219082</v>
      </c>
      <c r="E524" s="106" t="s">
        <v>987</v>
      </c>
      <c r="F524" s="106" t="s">
        <v>988</v>
      </c>
      <c r="G524" s="106" t="s">
        <v>246</v>
      </c>
      <c r="H524" s="106">
        <v>2</v>
      </c>
      <c r="I524" s="106" t="s">
        <v>25</v>
      </c>
      <c r="J524" s="106">
        <v>9147</v>
      </c>
      <c r="K524" s="106">
        <v>16863</v>
      </c>
      <c r="L524" s="106">
        <v>13558</v>
      </c>
      <c r="M524" s="106">
        <v>0.35</v>
      </c>
      <c r="N524" s="106">
        <v>0.74</v>
      </c>
      <c r="O524" s="106">
        <v>0.72</v>
      </c>
      <c r="P524" s="106">
        <v>1955</v>
      </c>
      <c r="Q524" s="106">
        <v>847.42318307267715</v>
      </c>
      <c r="R524" s="106">
        <v>9.3680507375358463E-2</v>
      </c>
      <c r="S524" s="106">
        <v>23482.533578656854</v>
      </c>
      <c r="T524" s="106">
        <v>24899.788868445263</v>
      </c>
      <c r="U524" s="106">
        <v>17464.397003965452</v>
      </c>
      <c r="V524" s="106">
        <v>0.46943863791167845</v>
      </c>
      <c r="W524" s="106">
        <v>93340.827859569661</v>
      </c>
      <c r="X524" s="110">
        <v>0.50752319218262587</v>
      </c>
      <c r="Y524" s="106">
        <v>542.2351274787535</v>
      </c>
      <c r="Z524" s="106">
        <v>18.475920679886684</v>
      </c>
      <c r="AA524" s="106">
        <v>77962.2157836158</v>
      </c>
      <c r="AB524" s="106">
        <v>595.07545235523241</v>
      </c>
      <c r="AC524" s="106">
        <v>1.2826726253849696</v>
      </c>
      <c r="AD524" s="106">
        <v>22.146430195543427</v>
      </c>
      <c r="AE524" s="106">
        <v>131.0123203285421</v>
      </c>
      <c r="AF524" s="106">
        <v>4.3151738645016507E-2</v>
      </c>
      <c r="AG524" s="106">
        <v>7191</v>
      </c>
      <c r="AH524" s="106">
        <v>21998.090156393744</v>
      </c>
      <c r="AI524" s="106">
        <v>23174.438362465502</v>
      </c>
      <c r="AJ524" s="106">
        <v>23530.248850045999</v>
      </c>
      <c r="AK524" s="104">
        <v>22508.821067157314</v>
      </c>
      <c r="AL524" s="119">
        <v>9933482</v>
      </c>
      <c r="AM524" s="118">
        <v>2962</v>
      </c>
      <c r="AN524" s="118">
        <v>63803</v>
      </c>
      <c r="AO524" s="118">
        <v>348</v>
      </c>
      <c r="AP524" s="118">
        <f t="shared" si="8"/>
        <v>1956</v>
      </c>
    </row>
    <row r="525" spans="1:42" ht="12.75">
      <c r="A525" s="106">
        <v>2018</v>
      </c>
      <c r="B525" s="106">
        <v>-219091</v>
      </c>
      <c r="C525" s="106">
        <v>0</v>
      </c>
      <c r="D525" s="106">
        <v>219091</v>
      </c>
      <c r="E525" s="106" t="s">
        <v>989</v>
      </c>
      <c r="F525" s="106" t="s">
        <v>990</v>
      </c>
      <c r="G525" s="106" t="s">
        <v>246</v>
      </c>
      <c r="H525" s="106">
        <v>7</v>
      </c>
      <c r="I525" s="106" t="s">
        <v>3641</v>
      </c>
      <c r="J525" s="106">
        <v>27000</v>
      </c>
      <c r="K525" s="106">
        <v>22500</v>
      </c>
      <c r="L525" s="106">
        <v>20480</v>
      </c>
      <c r="M525" s="106">
        <v>0.37</v>
      </c>
      <c r="N525" s="106">
        <v>0.88</v>
      </c>
      <c r="O525" s="106">
        <v>0.99</v>
      </c>
      <c r="P525" s="106">
        <v>13795</v>
      </c>
      <c r="Q525" s="106">
        <v>10766.484472049689</v>
      </c>
      <c r="R525" s="106">
        <v>0.51963423877506898</v>
      </c>
      <c r="S525" s="106">
        <v>23147.941614906831</v>
      </c>
      <c r="T525" s="106">
        <v>22404.55155279503</v>
      </c>
      <c r="U525" s="106">
        <v>16925.677606205711</v>
      </c>
      <c r="V525" s="106">
        <v>0.58803359678174272</v>
      </c>
      <c r="W525" s="106">
        <v>52000.096474953622</v>
      </c>
      <c r="X525" s="110">
        <v>0.51801164625821372</v>
      </c>
      <c r="Y525" s="106">
        <v>291.7991803278689</v>
      </c>
      <c r="Z525" s="106">
        <v>9.8975409836065573</v>
      </c>
      <c r="AA525" s="106">
        <v>67451.338975225735</v>
      </c>
      <c r="AB525" s="106">
        <v>574.10232473752149</v>
      </c>
      <c r="AC525" s="106">
        <v>1.4825502579975336</v>
      </c>
      <c r="AD525" s="106">
        <v>25.798212005108557</v>
      </c>
      <c r="AE525" s="106">
        <v>117.49009900990099</v>
      </c>
      <c r="AF525" s="106">
        <v>4.6855626647595086E-2</v>
      </c>
      <c r="AG525" s="106">
        <v>26700</v>
      </c>
      <c r="AH525" s="106">
        <v>15400.865838509317</v>
      </c>
      <c r="AI525" s="106">
        <v>22088.039751552795</v>
      </c>
      <c r="AJ525" s="106">
        <v>26063</v>
      </c>
      <c r="AK525" s="104">
        <v>18011.110559006211</v>
      </c>
      <c r="AM525" s="118">
        <v>792</v>
      </c>
      <c r="AN525" s="118">
        <v>23733</v>
      </c>
      <c r="AO525" s="118">
        <v>165</v>
      </c>
      <c r="AP525" s="118">
        <f t="shared" si="8"/>
        <v>300</v>
      </c>
    </row>
    <row r="526" spans="1:42" ht="12.75">
      <c r="A526" s="106">
        <v>2018</v>
      </c>
      <c r="B526" s="106">
        <v>-224226</v>
      </c>
      <c r="C526" s="106">
        <v>0</v>
      </c>
      <c r="D526" s="106">
        <v>224226</v>
      </c>
      <c r="E526" s="106" t="s">
        <v>991</v>
      </c>
      <c r="F526" s="106" t="s">
        <v>992</v>
      </c>
      <c r="G526" s="106" t="s">
        <v>60</v>
      </c>
      <c r="H526" s="106">
        <v>5</v>
      </c>
      <c r="I526" s="106" t="s">
        <v>3639</v>
      </c>
      <c r="J526" s="106">
        <v>27480</v>
      </c>
      <c r="K526" s="106">
        <v>26731</v>
      </c>
      <c r="L526" s="106">
        <v>22006</v>
      </c>
      <c r="M526" s="106">
        <v>0.3</v>
      </c>
      <c r="N526" s="106">
        <v>0.47</v>
      </c>
      <c r="O526" s="106">
        <v>0.92</v>
      </c>
      <c r="P526" s="106">
        <v>10170</v>
      </c>
      <c r="Q526" s="106">
        <v>7375.2720664589824</v>
      </c>
      <c r="R526" s="106">
        <v>0.27569303451291138</v>
      </c>
      <c r="S526" s="106">
        <v>26915.972222222223</v>
      </c>
      <c r="T526" s="106">
        <v>24672.820612668744</v>
      </c>
      <c r="U526" s="106">
        <v>22636.13759086189</v>
      </c>
      <c r="V526" s="106">
        <v>0.85599768205302906</v>
      </c>
      <c r="W526" s="106">
        <v>116565.24909747292</v>
      </c>
      <c r="X526" s="110">
        <v>0.5662295563733073</v>
      </c>
      <c r="Y526" s="106">
        <v>828.42091836734699</v>
      </c>
      <c r="Z526" s="106">
        <v>29.479591836734695</v>
      </c>
      <c r="AA526" s="106">
        <v>63184.349275362321</v>
      </c>
      <c r="AB526" s="106">
        <v>805.5133352425471</v>
      </c>
      <c r="AC526" s="106">
        <v>1.5826704104238252</v>
      </c>
      <c r="AD526" s="106">
        <v>35.37554473211997</v>
      </c>
      <c r="AE526" s="106">
        <v>78.439855072463772</v>
      </c>
      <c r="AF526" s="106">
        <v>7.2911038902536654E-2</v>
      </c>
      <c r="AG526" s="106">
        <v>26580</v>
      </c>
      <c r="AH526" s="106">
        <v>23853.311526479753</v>
      </c>
      <c r="AI526" s="106">
        <v>27713.908618899273</v>
      </c>
      <c r="AJ526" s="106">
        <v>28126.342938733127</v>
      </c>
      <c r="AK526" s="104">
        <v>22636.13759086189</v>
      </c>
      <c r="AL526" s="118"/>
      <c r="AM526" s="118">
        <v>3161</v>
      </c>
      <c r="AN526" s="118">
        <v>108247</v>
      </c>
      <c r="AO526" s="118">
        <v>710</v>
      </c>
      <c r="AP526" s="118">
        <f t="shared" si="8"/>
        <v>900</v>
      </c>
    </row>
    <row r="527" spans="1:42" ht="12.75">
      <c r="A527" s="106">
        <v>2018</v>
      </c>
      <c r="B527" s="106">
        <v>-139463</v>
      </c>
      <c r="C527" s="106">
        <v>0</v>
      </c>
      <c r="D527" s="106">
        <v>139463</v>
      </c>
      <c r="E527" s="106" t="s">
        <v>993</v>
      </c>
      <c r="F527" s="106" t="s">
        <v>994</v>
      </c>
      <c r="G527" s="106" t="s">
        <v>63</v>
      </c>
      <c r="H527" s="106">
        <v>3</v>
      </c>
      <c r="I527" s="104" t="s">
        <v>26</v>
      </c>
      <c r="J527" s="106">
        <v>4212</v>
      </c>
      <c r="K527" s="106">
        <v>6484</v>
      </c>
      <c r="L527" s="106">
        <v>5054</v>
      </c>
      <c r="M527" s="106">
        <v>0.62</v>
      </c>
      <c r="N527" s="106">
        <v>0.18</v>
      </c>
      <c r="O527" s="106">
        <v>0.03</v>
      </c>
      <c r="P527" s="106">
        <v>4407</v>
      </c>
      <c r="Q527" s="106"/>
      <c r="R527" s="106"/>
      <c r="S527" s="106">
        <v>11206.680888223553</v>
      </c>
      <c r="T527" s="106">
        <v>11098.322355289421</v>
      </c>
      <c r="U527" s="106">
        <v>7398.6803892215567</v>
      </c>
      <c r="V527" s="106">
        <v>0.60613734896553784</v>
      </c>
      <c r="W527" s="106">
        <v>82175.658699808788</v>
      </c>
      <c r="X527" s="110">
        <v>0.64412265740474883</v>
      </c>
      <c r="Y527" s="106">
        <v>678.03383458646613</v>
      </c>
      <c r="Z527" s="106">
        <v>22.601503759398494</v>
      </c>
      <c r="AA527" s="106">
        <v>36655.01977750309</v>
      </c>
      <c r="AB527" s="106">
        <v>246.62678188259952</v>
      </c>
      <c r="AC527" s="106">
        <v>2.7281393000741119</v>
      </c>
      <c r="AD527" s="106">
        <v>20.094386487829112</v>
      </c>
      <c r="AE527" s="106">
        <v>148.62546353522868</v>
      </c>
      <c r="AF527" s="106">
        <v>2.9269414252603619E-2</v>
      </c>
      <c r="AG527" s="106">
        <v>3126</v>
      </c>
      <c r="AH527" s="106">
        <v>10874.321856287424</v>
      </c>
      <c r="AI527" s="106">
        <v>11139.844810379242</v>
      </c>
      <c r="AJ527" s="106">
        <v>11208.369261477046</v>
      </c>
      <c r="AK527" s="104">
        <v>8798.6037924151697</v>
      </c>
      <c r="AL527" s="118">
        <v>16867093</v>
      </c>
      <c r="AM527" s="118">
        <v>5164</v>
      </c>
      <c r="AN527" s="118">
        <v>120238</v>
      </c>
      <c r="AO527" s="118">
        <v>779</v>
      </c>
      <c r="AP527" s="118">
        <f t="shared" si="8"/>
        <v>1086</v>
      </c>
    </row>
    <row r="528" spans="1:42" ht="12.75">
      <c r="A528" s="106">
        <v>2018</v>
      </c>
      <c r="B528" s="106">
        <v>-144564</v>
      </c>
      <c r="C528" s="106">
        <v>0</v>
      </c>
      <c r="D528" s="106">
        <v>144564</v>
      </c>
      <c r="E528" s="106" t="s">
        <v>995</v>
      </c>
      <c r="F528" s="106" t="s">
        <v>260</v>
      </c>
      <c r="G528" s="106" t="s">
        <v>243</v>
      </c>
      <c r="H528" s="106">
        <v>4</v>
      </c>
      <c r="I528" s="106" t="s">
        <v>24</v>
      </c>
      <c r="J528" s="106">
        <v>4775</v>
      </c>
      <c r="K528" s="106">
        <v>5729</v>
      </c>
      <c r="L528" s="106">
        <v>4971</v>
      </c>
      <c r="M528" s="106">
        <v>0.57999999999999996</v>
      </c>
      <c r="N528" s="106">
        <v>0.12</v>
      </c>
      <c r="O528" s="106">
        <v>0.08</v>
      </c>
      <c r="P528" s="106">
        <v>6498</v>
      </c>
      <c r="Q528" s="106">
        <v>1159.6441467676179</v>
      </c>
      <c r="R528" s="106">
        <v>0.22449575781492237</v>
      </c>
      <c r="S528" s="106">
        <v>18620.49271986022</v>
      </c>
      <c r="T528" s="106">
        <v>18607.460687245195</v>
      </c>
      <c r="U528" s="106">
        <v>10790.623958403725</v>
      </c>
      <c r="V528" s="106">
        <v>0.37123953603070892</v>
      </c>
      <c r="W528" s="106">
        <v>64447.511664074649</v>
      </c>
      <c r="X528" s="110">
        <v>0.43235298996745125</v>
      </c>
      <c r="Y528" s="106">
        <v>633.36885245901647</v>
      </c>
      <c r="Z528" s="106">
        <v>21.110655737704921</v>
      </c>
      <c r="AA528" s="106">
        <v>26968.706457902761</v>
      </c>
      <c r="AB528" s="106">
        <v>359.65953598204754</v>
      </c>
      <c r="AC528" s="106">
        <v>3.708001351718393</v>
      </c>
      <c r="AD528" s="106">
        <v>44.010249839846253</v>
      </c>
      <c r="AE528" s="106">
        <v>74.983988355167398</v>
      </c>
      <c r="AF528" s="106">
        <v>9.6186663407425328E-3</v>
      </c>
      <c r="AG528" s="106">
        <v>4050</v>
      </c>
      <c r="AH528" s="106">
        <v>17957.07862550961</v>
      </c>
      <c r="AI528" s="106">
        <v>17996.207338380897</v>
      </c>
      <c r="AJ528" s="106">
        <v>18746.8223645894</v>
      </c>
      <c r="AK528" s="104">
        <v>12869.806057076295</v>
      </c>
      <c r="AL528" s="118">
        <v>12639106</v>
      </c>
      <c r="AM528" s="118">
        <v>2645</v>
      </c>
      <c r="AN528" s="118">
        <v>51514</v>
      </c>
      <c r="AO528" s="118">
        <v>373</v>
      </c>
      <c r="AP528" s="118">
        <f t="shared" si="8"/>
        <v>725</v>
      </c>
    </row>
    <row r="529" spans="1:42" ht="12.75">
      <c r="A529" s="106">
        <v>2018</v>
      </c>
      <c r="B529" s="106">
        <v>-231882</v>
      </c>
      <c r="C529" s="106">
        <v>0</v>
      </c>
      <c r="D529" s="106">
        <v>231882</v>
      </c>
      <c r="E529" s="106" t="s">
        <v>996</v>
      </c>
      <c r="F529" s="106" t="s">
        <v>260</v>
      </c>
      <c r="G529" s="106" t="s">
        <v>261</v>
      </c>
      <c r="H529" s="106">
        <v>4</v>
      </c>
      <c r="I529" s="106" t="s">
        <v>24</v>
      </c>
      <c r="J529" s="106">
        <v>4598</v>
      </c>
      <c r="K529" s="106">
        <v>7751</v>
      </c>
      <c r="L529" s="106">
        <v>6783</v>
      </c>
      <c r="M529" s="106">
        <v>0.62</v>
      </c>
      <c r="N529" s="106">
        <v>0.13</v>
      </c>
      <c r="O529" s="106">
        <v>0.18</v>
      </c>
      <c r="P529" s="106">
        <v>1277</v>
      </c>
      <c r="Q529" s="106">
        <v>469.79934390377258</v>
      </c>
      <c r="R529" s="106">
        <v>0.10151265448178826</v>
      </c>
      <c r="S529" s="106">
        <v>13229.562602515036</v>
      </c>
      <c r="T529" s="106">
        <v>16939.714051394203</v>
      </c>
      <c r="U529" s="106">
        <v>10950.213126885865</v>
      </c>
      <c r="V529" s="106">
        <v>0.37973586262498071</v>
      </c>
      <c r="W529" s="106">
        <v>71120.388679245283</v>
      </c>
      <c r="X529" s="110">
        <v>0.40553557292243098</v>
      </c>
      <c r="Y529" s="106">
        <v>677.51851851851848</v>
      </c>
      <c r="Z529" s="106">
        <v>22.580246913580247</v>
      </c>
      <c r="AA529" s="106">
        <v>25942.927213826744</v>
      </c>
      <c r="AB529" s="106">
        <v>364.9472441020107</v>
      </c>
      <c r="AC529" s="106">
        <v>3.8546151394474575</v>
      </c>
      <c r="AD529" s="106">
        <v>44.805571677307022</v>
      </c>
      <c r="AE529" s="106">
        <v>71.086787564766837</v>
      </c>
      <c r="AF529" s="106">
        <v>0.29577675011822602</v>
      </c>
      <c r="AG529" s="106">
        <v>4253</v>
      </c>
      <c r="AH529" s="106">
        <v>12756.930563149263</v>
      </c>
      <c r="AI529" s="106">
        <v>12831.132859486059</v>
      </c>
      <c r="AJ529" s="106">
        <v>13236.778567523237</v>
      </c>
      <c r="AK529" s="105">
        <v>12460.802077638054</v>
      </c>
      <c r="AL529" s="119">
        <v>9572127</v>
      </c>
      <c r="AM529" s="119">
        <v>3101</v>
      </c>
      <c r="AN529" s="119">
        <v>54879</v>
      </c>
      <c r="AO529" s="119">
        <v>220</v>
      </c>
      <c r="AP529" s="118">
        <f t="shared" si="8"/>
        <v>345</v>
      </c>
    </row>
    <row r="530" spans="1:42" ht="12.75">
      <c r="A530" s="106">
        <v>2018</v>
      </c>
      <c r="B530" s="106">
        <v>-182670</v>
      </c>
      <c r="C530" s="106">
        <v>0</v>
      </c>
      <c r="D530" s="106">
        <v>182670</v>
      </c>
      <c r="E530" s="106" t="s">
        <v>997</v>
      </c>
      <c r="F530" s="106" t="s">
        <v>998</v>
      </c>
      <c r="G530" s="106" t="s">
        <v>179</v>
      </c>
      <c r="H530" s="106">
        <v>5</v>
      </c>
      <c r="I530" s="106" t="s">
        <v>3639</v>
      </c>
      <c r="J530" s="106">
        <v>52950</v>
      </c>
      <c r="K530" s="106">
        <v>23394</v>
      </c>
      <c r="L530" s="106">
        <v>13837</v>
      </c>
      <c r="M530" s="106">
        <v>0.14000000000000001</v>
      </c>
      <c r="N530" s="106">
        <v>0.44</v>
      </c>
      <c r="O530" s="106">
        <v>0.45</v>
      </c>
      <c r="P530" s="106">
        <v>46490</v>
      </c>
      <c r="Q530" s="106">
        <v>23225.837268380157</v>
      </c>
      <c r="R530" s="106">
        <v>0.4152829452919391</v>
      </c>
      <c r="S530" s="106">
        <v>137941.23401075913</v>
      </c>
      <c r="T530" s="106">
        <v>132110.92214584578</v>
      </c>
      <c r="U530" s="106">
        <v>73440.546830350388</v>
      </c>
      <c r="V530" s="106">
        <v>0.44528405322146192</v>
      </c>
      <c r="W530" s="106">
        <v>121699.81625653777</v>
      </c>
      <c r="X530" s="110">
        <v>0.53516079122190574</v>
      </c>
      <c r="Y530" s="106">
        <v>320.9796081567373</v>
      </c>
      <c r="Z530" s="106">
        <v>8.0271891243502598</v>
      </c>
      <c r="AA530" s="106">
        <v>249600.88338684855</v>
      </c>
      <c r="AB530" s="106">
        <v>1836.6311872218871</v>
      </c>
      <c r="AC530" s="106">
        <v>0.40063960769326745</v>
      </c>
      <c r="AD530" s="106">
        <v>30.5982905982906</v>
      </c>
      <c r="AE530" s="106">
        <v>135.90147282884712</v>
      </c>
      <c r="AF530" s="106">
        <v>0.12935730648638338</v>
      </c>
      <c r="AG530" s="106">
        <v>51468</v>
      </c>
      <c r="AH530" s="106">
        <v>76252.230723251647</v>
      </c>
      <c r="AI530" s="106">
        <v>137884.81709503886</v>
      </c>
      <c r="AJ530" s="106">
        <v>231027.72190675433</v>
      </c>
      <c r="AK530" s="105">
        <v>117596.64584578601</v>
      </c>
      <c r="AM530" s="119">
        <v>4410</v>
      </c>
      <c r="AN530" s="119">
        <v>267590</v>
      </c>
      <c r="AO530" s="119">
        <v>1145</v>
      </c>
      <c r="AP530" s="118">
        <f t="shared" si="8"/>
        <v>1482</v>
      </c>
    </row>
    <row r="531" spans="1:42" ht="12.75">
      <c r="A531" s="106">
        <v>2018</v>
      </c>
      <c r="B531" s="106">
        <v>-169479</v>
      </c>
      <c r="C531" s="106">
        <v>0</v>
      </c>
      <c r="D531" s="106">
        <v>169479</v>
      </c>
      <c r="E531" s="106" t="s">
        <v>999</v>
      </c>
      <c r="F531" s="106" t="s">
        <v>186</v>
      </c>
      <c r="G531" s="106" t="s">
        <v>74</v>
      </c>
      <c r="H531" s="106">
        <v>6</v>
      </c>
      <c r="I531" s="106" t="s">
        <v>3640</v>
      </c>
      <c r="J531" s="106">
        <v>17558</v>
      </c>
      <c r="K531" s="106">
        <v>17169</v>
      </c>
      <c r="L531" s="106">
        <v>17364</v>
      </c>
      <c r="M531" s="106">
        <v>0.44</v>
      </c>
      <c r="N531" s="106">
        <v>0.71</v>
      </c>
      <c r="O531" s="106">
        <v>0.88</v>
      </c>
      <c r="P531" s="106">
        <v>8296</v>
      </c>
      <c r="Q531" s="106">
        <v>3620.1421916143408</v>
      </c>
      <c r="R531" s="106">
        <v>0.16376788586983243</v>
      </c>
      <c r="S531" s="106">
        <v>21797.376747012357</v>
      </c>
      <c r="T531" s="106">
        <v>23542.391533319831</v>
      </c>
      <c r="U531" s="106">
        <v>21472.657281750049</v>
      </c>
      <c r="V531" s="106">
        <v>0.86087071801532433</v>
      </c>
      <c r="W531" s="106">
        <v>71794.315573770495</v>
      </c>
      <c r="X531" s="110">
        <v>0.4521551016444833</v>
      </c>
      <c r="Y531" s="106">
        <v>463.43181818181819</v>
      </c>
      <c r="Z531" s="106">
        <v>16.029220779220779</v>
      </c>
      <c r="AA531" s="106">
        <v>56569.108324439701</v>
      </c>
      <c r="AB531" s="106">
        <v>742.69817216278886</v>
      </c>
      <c r="AC531" s="106">
        <v>1.7677492709708618</v>
      </c>
      <c r="AD531" s="106">
        <v>41.867739052725653</v>
      </c>
      <c r="AE531" s="106">
        <v>76.167022411953042</v>
      </c>
      <c r="AF531" s="106">
        <v>-4.4842646442900459E-2</v>
      </c>
      <c r="AG531" s="106">
        <v>16728</v>
      </c>
      <c r="AH531" s="106">
        <v>21006.147052866112</v>
      </c>
      <c r="AI531" s="106">
        <v>21453.607453919383</v>
      </c>
      <c r="AJ531" s="106">
        <v>22312.736074539192</v>
      </c>
      <c r="AK531" s="104">
        <v>21472.657281750049</v>
      </c>
      <c r="AL531" s="118"/>
      <c r="AM531" s="118">
        <v>5597</v>
      </c>
      <c r="AN531" s="118">
        <v>142737</v>
      </c>
      <c r="AO531" s="118">
        <v>1219</v>
      </c>
      <c r="AP531" s="118">
        <f t="shared" si="8"/>
        <v>830</v>
      </c>
    </row>
    <row r="532" spans="1:42" ht="12.75">
      <c r="A532" s="106">
        <v>2018</v>
      </c>
      <c r="B532" s="106">
        <v>-198385</v>
      </c>
      <c r="C532" s="106">
        <v>0</v>
      </c>
      <c r="D532" s="106">
        <v>198385</v>
      </c>
      <c r="E532" s="106" t="s">
        <v>1000</v>
      </c>
      <c r="F532" s="106" t="s">
        <v>1001</v>
      </c>
      <c r="G532" s="106" t="s">
        <v>90</v>
      </c>
      <c r="H532" s="106">
        <v>7</v>
      </c>
      <c r="I532" s="106" t="s">
        <v>3641</v>
      </c>
      <c r="J532" s="106">
        <v>49949</v>
      </c>
      <c r="K532" s="106">
        <v>26565</v>
      </c>
      <c r="L532" s="106">
        <v>8051</v>
      </c>
      <c r="M532" s="106">
        <v>0.17</v>
      </c>
      <c r="N532" s="106">
        <v>0.2</v>
      </c>
      <c r="O532" s="106">
        <v>0.63</v>
      </c>
      <c r="P532" s="106">
        <v>38125</v>
      </c>
      <c r="Q532" s="106">
        <v>24509.3919395466</v>
      </c>
      <c r="R532" s="106">
        <v>0.52436196913653177</v>
      </c>
      <c r="S532" s="106">
        <v>60827.886649874054</v>
      </c>
      <c r="T532" s="106">
        <v>65134.227707808561</v>
      </c>
      <c r="U532" s="106">
        <v>51196.287150730859</v>
      </c>
      <c r="V532" s="106">
        <v>0.4342496302571367</v>
      </c>
      <c r="W532" s="106">
        <v>90990.326385994165</v>
      </c>
      <c r="X532" s="110">
        <v>0.56277453383186804</v>
      </c>
      <c r="Y532" s="106">
        <v>305.54639175257734</v>
      </c>
      <c r="Z532" s="106">
        <v>10.231958762886597</v>
      </c>
      <c r="AA532" s="106">
        <v>216683.64604307196</v>
      </c>
      <c r="AB532" s="106">
        <v>1714.4313043086704</v>
      </c>
      <c r="AC532" s="106">
        <v>0.46150229528684505</v>
      </c>
      <c r="AD532" s="106">
        <v>25.91160220994475</v>
      </c>
      <c r="AE532" s="106">
        <v>126.38805970149254</v>
      </c>
      <c r="AF532" s="106">
        <v>8.2329283267738071E-2</v>
      </c>
      <c r="AG532" s="106">
        <v>49454</v>
      </c>
      <c r="AH532" s="106">
        <v>37412.772292191439</v>
      </c>
      <c r="AI532" s="106">
        <v>61211.533501259444</v>
      </c>
      <c r="AJ532" s="106">
        <v>109544.15869017632</v>
      </c>
      <c r="AK532" s="104">
        <v>53639.265994962218</v>
      </c>
      <c r="AM532" s="118">
        <v>1810</v>
      </c>
      <c r="AN532" s="118">
        <v>59276</v>
      </c>
      <c r="AO532" s="118">
        <v>469</v>
      </c>
      <c r="AP532" s="118">
        <f t="shared" si="8"/>
        <v>495</v>
      </c>
    </row>
    <row r="533" spans="1:42" ht="12.75">
      <c r="A533" s="106">
        <v>2018</v>
      </c>
      <c r="B533" s="106">
        <v>-198376</v>
      </c>
      <c r="C533" s="106">
        <v>0</v>
      </c>
      <c r="D533" s="106">
        <v>198376</v>
      </c>
      <c r="E533" s="106" t="s">
        <v>1002</v>
      </c>
      <c r="F533" s="106" t="s">
        <v>1003</v>
      </c>
      <c r="G533" s="106" t="s">
        <v>90</v>
      </c>
      <c r="H533" s="106">
        <v>4</v>
      </c>
      <c r="I533" s="106" t="s">
        <v>24</v>
      </c>
      <c r="J533" s="106">
        <v>2248</v>
      </c>
      <c r="K533" s="106">
        <v>6510</v>
      </c>
      <c r="L533" s="106">
        <v>5788</v>
      </c>
      <c r="M533" s="106">
        <v>0.56999999999999995</v>
      </c>
      <c r="N533" s="106">
        <v>0.15</v>
      </c>
      <c r="O533" s="106">
        <v>0.13</v>
      </c>
      <c r="P533" s="106">
        <v>724</v>
      </c>
      <c r="Q533" s="106">
        <v>104.72757809875714</v>
      </c>
      <c r="R533" s="106">
        <v>5.8536015700525947E-2</v>
      </c>
      <c r="S533" s="106">
        <v>11704.329526368827</v>
      </c>
      <c r="T533" s="106">
        <v>12645.429291232786</v>
      </c>
      <c r="U533" s="106">
        <v>9911.2374874034267</v>
      </c>
      <c r="V533" s="106">
        <v>0.16994708896441013</v>
      </c>
      <c r="W533" s="106">
        <v>52787.896233666412</v>
      </c>
      <c r="X533" s="110">
        <v>0.60810417345865742</v>
      </c>
      <c r="Y533" s="106">
        <v>527.4212598425197</v>
      </c>
      <c r="Z533" s="106">
        <v>17.580708661417326</v>
      </c>
      <c r="AA533" s="106">
        <v>20362.839199447895</v>
      </c>
      <c r="AB533" s="106">
        <v>330.37458291344757</v>
      </c>
      <c r="AC533" s="106">
        <v>4.9109065302991413</v>
      </c>
      <c r="AD533" s="106">
        <v>66.164383561643831</v>
      </c>
      <c r="AE533" s="106">
        <v>61.635610766045552</v>
      </c>
      <c r="AF533" s="106">
        <v>0.23881244890293804</v>
      </c>
      <c r="AG533" s="106">
        <v>2094</v>
      </c>
      <c r="AH533" s="106">
        <v>10261.950957339604</v>
      </c>
      <c r="AI533" s="106">
        <v>10487.884447430299</v>
      </c>
      <c r="AJ533" s="106">
        <v>11737.583809203896</v>
      </c>
      <c r="AK533" s="104">
        <v>11379.347329526368</v>
      </c>
      <c r="AL533" s="118">
        <v>21937695</v>
      </c>
      <c r="AM533" s="118">
        <v>3627</v>
      </c>
      <c r="AN533" s="118">
        <v>89310</v>
      </c>
      <c r="AO533" s="118">
        <v>539</v>
      </c>
      <c r="AP533" s="118">
        <f t="shared" si="8"/>
        <v>154</v>
      </c>
    </row>
    <row r="534" spans="1:42" ht="12.75">
      <c r="A534" s="106">
        <v>2018</v>
      </c>
      <c r="B534" s="106">
        <v>-237358</v>
      </c>
      <c r="C534" s="106">
        <v>0</v>
      </c>
      <c r="D534" s="106">
        <v>237358</v>
      </c>
      <c r="E534" s="106" t="s">
        <v>1004</v>
      </c>
      <c r="F534" s="106" t="s">
        <v>1005</v>
      </c>
      <c r="G534" s="106" t="s">
        <v>110</v>
      </c>
      <c r="H534" s="106">
        <v>7</v>
      </c>
      <c r="I534" s="106" t="s">
        <v>3641</v>
      </c>
      <c r="J534" s="106">
        <v>28992</v>
      </c>
      <c r="K534" s="106">
        <v>18152</v>
      </c>
      <c r="L534" s="106">
        <v>15420</v>
      </c>
      <c r="M534" s="106">
        <v>0.59</v>
      </c>
      <c r="N534" s="106">
        <v>0.81</v>
      </c>
      <c r="O534" s="106">
        <v>1</v>
      </c>
      <c r="P534" s="106">
        <v>18059</v>
      </c>
      <c r="Q534" s="106">
        <v>15957.251201923076</v>
      </c>
      <c r="R534" s="106">
        <v>0.61507122752093613</v>
      </c>
      <c r="S534" s="106">
        <v>28791.356971153848</v>
      </c>
      <c r="T534" s="106">
        <v>26139.649038461539</v>
      </c>
      <c r="U534" s="106">
        <v>19929.954991449998</v>
      </c>
      <c r="V534" s="106">
        <v>0.50107960578279509</v>
      </c>
      <c r="W534" s="106">
        <v>53579.662100456619</v>
      </c>
      <c r="X534" s="110">
        <v>0.53953671910505829</v>
      </c>
      <c r="Y534" s="106">
        <v>430.29310344827587</v>
      </c>
      <c r="Z534" s="106">
        <v>14.344827586206897</v>
      </c>
      <c r="AA534" s="106">
        <v>90610.505753477584</v>
      </c>
      <c r="AB534" s="106">
        <v>664.41169022263887</v>
      </c>
      <c r="AC534" s="106">
        <v>1.1036247857623513</v>
      </c>
      <c r="AD534" s="106">
        <v>22.732919254658384</v>
      </c>
      <c r="AE534" s="106">
        <v>136.37704918032787</v>
      </c>
      <c r="AF534" s="106">
        <v>7.4298532691546001E-2</v>
      </c>
      <c r="AG534" s="106">
        <v>28500</v>
      </c>
      <c r="AH534" s="106">
        <v>19987.27764423077</v>
      </c>
      <c r="AI534" s="106">
        <v>29170.266826923078</v>
      </c>
      <c r="AJ534" s="106">
        <v>32444.561298076922</v>
      </c>
      <c r="AK534" s="104">
        <v>19943.078125</v>
      </c>
      <c r="AL534" s="118"/>
      <c r="AM534" s="118">
        <v>837</v>
      </c>
      <c r="AN534" s="118">
        <v>24957</v>
      </c>
      <c r="AO534" s="118">
        <v>183</v>
      </c>
      <c r="AP534" s="118">
        <f t="shared" si="8"/>
        <v>492</v>
      </c>
    </row>
    <row r="535" spans="1:42" ht="12.75">
      <c r="A535" s="106">
        <v>2018</v>
      </c>
      <c r="B535" s="106">
        <v>-180151</v>
      </c>
      <c r="C535" s="106">
        <v>0</v>
      </c>
      <c r="D535" s="106">
        <v>180151</v>
      </c>
      <c r="E535" s="106" t="s">
        <v>1006</v>
      </c>
      <c r="F535" s="106" t="s">
        <v>1007</v>
      </c>
      <c r="G535" s="106" t="s">
        <v>608</v>
      </c>
      <c r="H535" s="106">
        <v>4</v>
      </c>
      <c r="I535" s="106" t="s">
        <v>24</v>
      </c>
      <c r="J535" s="106">
        <v>3720</v>
      </c>
      <c r="K535" s="106">
        <v>10046</v>
      </c>
      <c r="L535" s="106">
        <v>7781</v>
      </c>
      <c r="M535" s="106">
        <v>0.52</v>
      </c>
      <c r="N535" s="106">
        <v>0.5</v>
      </c>
      <c r="O535" s="106">
        <v>0.54</v>
      </c>
      <c r="P535" s="106">
        <v>4435</v>
      </c>
      <c r="Q535" s="106">
        <v>1668.5862068965516</v>
      </c>
      <c r="R535" s="106">
        <v>0.29185374079908899</v>
      </c>
      <c r="S535" s="106">
        <v>25297.872413793102</v>
      </c>
      <c r="T535" s="106">
        <v>25035.289655172415</v>
      </c>
      <c r="U535" s="106">
        <v>16874.279310344828</v>
      </c>
      <c r="V535" s="106">
        <v>0.23992810114393648</v>
      </c>
      <c r="W535" s="106">
        <v>66936.189873417723</v>
      </c>
      <c r="X535" s="110">
        <v>0.48556368844309977</v>
      </c>
      <c r="Y535" s="106">
        <v>449.22413793103453</v>
      </c>
      <c r="Z535" s="106">
        <v>15.000000000000002</v>
      </c>
      <c r="AA535" s="106">
        <v>88973.472727272732</v>
      </c>
      <c r="AB535" s="106">
        <v>563.44743811168678</v>
      </c>
      <c r="AC535" s="106">
        <v>1.1239305034942999</v>
      </c>
      <c r="AD535" s="106">
        <v>22.267206477732792</v>
      </c>
      <c r="AE535" s="106">
        <v>157.90909090909091</v>
      </c>
      <c r="AF535" s="106">
        <v>1.366864936218095E-2</v>
      </c>
      <c r="AG535" s="106">
        <v>2100</v>
      </c>
      <c r="AH535" s="106">
        <v>22556.26551724138</v>
      </c>
      <c r="AI535" s="106">
        <v>23280.079310344827</v>
      </c>
      <c r="AJ535" s="106">
        <v>25424.593103448275</v>
      </c>
      <c r="AK535" s="104">
        <v>19090.224137931036</v>
      </c>
      <c r="AL535" s="118">
        <v>3656165</v>
      </c>
      <c r="AM535" s="118">
        <v>329</v>
      </c>
      <c r="AN535" s="118">
        <v>8685</v>
      </c>
      <c r="AO535" s="118">
        <v>54</v>
      </c>
      <c r="AP535" s="118">
        <f t="shared" si="8"/>
        <v>1620</v>
      </c>
    </row>
    <row r="536" spans="1:42" ht="12.75">
      <c r="A536" s="106">
        <v>2018</v>
      </c>
      <c r="B536" s="106">
        <v>-133386</v>
      </c>
      <c r="C536" s="106">
        <v>0</v>
      </c>
      <c r="D536" s="106">
        <v>133386</v>
      </c>
      <c r="E536" s="106" t="s">
        <v>1008</v>
      </c>
      <c r="F536" s="106" t="s">
        <v>369</v>
      </c>
      <c r="G536" s="106" t="s">
        <v>258</v>
      </c>
      <c r="H536" s="106">
        <v>3</v>
      </c>
      <c r="I536" s="104" t="s">
        <v>26</v>
      </c>
      <c r="J536" s="106">
        <v>3109</v>
      </c>
      <c r="K536" s="106">
        <v>6171</v>
      </c>
      <c r="L536" s="106">
        <v>5610</v>
      </c>
      <c r="M536" s="106">
        <v>0.53</v>
      </c>
      <c r="N536" s="106">
        <v>0.24</v>
      </c>
      <c r="O536" s="106">
        <v>0.17</v>
      </c>
      <c r="P536" s="106">
        <v>2842</v>
      </c>
      <c r="Q536" s="106">
        <v>252.47115756871855</v>
      </c>
      <c r="R536" s="106">
        <v>8.1965375183457534E-2</v>
      </c>
      <c r="S536" s="106">
        <v>10363.202090592335</v>
      </c>
      <c r="T536" s="106">
        <v>11127.94154084398</v>
      </c>
      <c r="U536" s="106">
        <v>9100.2164628334122</v>
      </c>
      <c r="V536" s="106">
        <v>0.31073393070318178</v>
      </c>
      <c r="W536" s="106">
        <v>56790.734693877552</v>
      </c>
      <c r="X536" s="110">
        <v>0.54054005582415177</v>
      </c>
      <c r="Y536" s="106">
        <v>685.8023988005998</v>
      </c>
      <c r="Z536" s="106">
        <v>23.23538230884558</v>
      </c>
      <c r="AA536" s="106">
        <v>23336.668278479727</v>
      </c>
      <c r="AB536" s="106">
        <v>308.32060222738295</v>
      </c>
      <c r="AC536" s="106">
        <v>4.2851018323046812</v>
      </c>
      <c r="AD536" s="106">
        <v>45.198564056540278</v>
      </c>
      <c r="AE536" s="106">
        <v>75.68961694382395</v>
      </c>
      <c r="AF536" s="106">
        <v>1.6811169143463845E-3</v>
      </c>
      <c r="AG536" s="106">
        <v>3071</v>
      </c>
      <c r="AH536" s="106">
        <v>9102.703252032521</v>
      </c>
      <c r="AI536" s="106">
        <v>9110.7819396051109</v>
      </c>
      <c r="AJ536" s="106">
        <v>10417.548393341076</v>
      </c>
      <c r="AK536" s="104">
        <v>11049.80981416957</v>
      </c>
      <c r="AL536" s="119">
        <v>51482855</v>
      </c>
      <c r="AM536" s="118">
        <v>13970</v>
      </c>
      <c r="AN536" s="118">
        <v>304953.46666666667</v>
      </c>
      <c r="AO536" s="118">
        <v>2906</v>
      </c>
      <c r="AP536" s="118">
        <f t="shared" si="8"/>
        <v>38</v>
      </c>
    </row>
    <row r="537" spans="1:42" ht="12.75">
      <c r="A537" s="106">
        <v>2018</v>
      </c>
      <c r="B537" s="106">
        <v>1741</v>
      </c>
      <c r="C537" s="106">
        <v>1</v>
      </c>
      <c r="D537" s="106">
        <v>113333</v>
      </c>
      <c r="E537" s="106" t="s">
        <v>3843</v>
      </c>
      <c r="F537" s="106" t="s">
        <v>1009</v>
      </c>
      <c r="G537" s="106" t="s">
        <v>121</v>
      </c>
      <c r="H537" s="106">
        <v>4</v>
      </c>
      <c r="I537" s="106" t="s">
        <v>24</v>
      </c>
      <c r="J537" s="106">
        <v>1552</v>
      </c>
      <c r="K537" s="106">
        <v>5905</v>
      </c>
      <c r="L537" s="106">
        <v>3184</v>
      </c>
      <c r="M537" s="106">
        <v>0.26</v>
      </c>
      <c r="N537" s="106">
        <v>0.02</v>
      </c>
      <c r="O537" s="106">
        <v>0.06</v>
      </c>
      <c r="P537" s="106">
        <v>567</v>
      </c>
      <c r="Q537" s="106">
        <v>28.704124375704851</v>
      </c>
      <c r="R537" s="106">
        <v>9.5925229722071681E-3</v>
      </c>
      <c r="S537" s="106">
        <v>12775.317705816014</v>
      </c>
      <c r="T537" s="106">
        <v>15387.193209279845</v>
      </c>
      <c r="U537" s="106">
        <v>11449.95855485742</v>
      </c>
      <c r="V537" s="106">
        <v>0.25883407569937555</v>
      </c>
      <c r="W537" s="106">
        <v>148440.37931813052</v>
      </c>
      <c r="X537" s="110">
        <v>0.57363459790944415</v>
      </c>
      <c r="Y537" s="106">
        <v>1370.2910874897793</v>
      </c>
      <c r="Z537" s="106">
        <v>30.451349141455442</v>
      </c>
      <c r="AA537" s="106">
        <v>56516.81332007952</v>
      </c>
      <c r="AB537" s="106">
        <v>254.44716731528655</v>
      </c>
      <c r="AC537" s="106">
        <v>1.7693849692773036</v>
      </c>
      <c r="AD537" s="106">
        <v>22.321824798082897</v>
      </c>
      <c r="AE537" s="106">
        <v>222.11610337972166</v>
      </c>
      <c r="AF537" s="106">
        <v>0.20409883949531751</v>
      </c>
      <c r="AG537" s="106">
        <v>1395</v>
      </c>
      <c r="AH537" s="106">
        <v>12533.959521507975</v>
      </c>
      <c r="AI537" s="106">
        <v>12533.959521507975</v>
      </c>
      <c r="AJ537" s="106">
        <v>12775.317705816014</v>
      </c>
      <c r="AK537" s="104">
        <v>12269.480183663605</v>
      </c>
      <c r="AL537" s="118">
        <v>136280296</v>
      </c>
      <c r="AM537" s="118">
        <v>36371</v>
      </c>
      <c r="AN537" s="118">
        <v>1117244</v>
      </c>
      <c r="AO537" s="118">
        <v>3241</v>
      </c>
      <c r="AP537" s="118">
        <f t="shared" si="8"/>
        <v>157</v>
      </c>
    </row>
    <row r="538" spans="1:42" ht="12.75">
      <c r="A538" s="106">
        <v>2018</v>
      </c>
      <c r="B538" s="106">
        <v>-165574</v>
      </c>
      <c r="C538" s="106">
        <v>0</v>
      </c>
      <c r="D538" s="106">
        <v>165574</v>
      </c>
      <c r="E538" s="106" t="s">
        <v>1015</v>
      </c>
      <c r="F538" s="106" t="s">
        <v>1016</v>
      </c>
      <c r="G538" s="106" t="s">
        <v>150</v>
      </c>
      <c r="H538" s="106">
        <v>7</v>
      </c>
      <c r="I538" s="106" t="s">
        <v>3641</v>
      </c>
      <c r="J538" s="106">
        <v>38090</v>
      </c>
      <c r="K538" s="106">
        <v>31835</v>
      </c>
      <c r="L538" s="106">
        <v>27339</v>
      </c>
      <c r="M538" s="106">
        <v>0.4</v>
      </c>
      <c r="N538" s="106">
        <v>0.82</v>
      </c>
      <c r="O538" s="106">
        <v>0.95</v>
      </c>
      <c r="P538" s="106">
        <v>21488</v>
      </c>
      <c r="Q538" s="106">
        <v>18937.927439532945</v>
      </c>
      <c r="R538" s="106">
        <v>0.51045880127858312</v>
      </c>
      <c r="S538" s="106">
        <v>33022.361134278566</v>
      </c>
      <c r="T538" s="106">
        <v>34263.877397831529</v>
      </c>
      <c r="U538" s="106">
        <v>25638.113427856548</v>
      </c>
      <c r="V538" s="106">
        <v>0.70839409815804755</v>
      </c>
      <c r="W538" s="106">
        <v>83734.179525222557</v>
      </c>
      <c r="X538" s="110">
        <v>0.45791589676053163</v>
      </c>
      <c r="Y538" s="106">
        <v>556.45360824742272</v>
      </c>
      <c r="Z538" s="106">
        <v>18.541237113402065</v>
      </c>
      <c r="AA538" s="106">
        <v>85389.161111111112</v>
      </c>
      <c r="AB538" s="106">
        <v>854.27128723877274</v>
      </c>
      <c r="AC538" s="106">
        <v>1.1711088234006282</v>
      </c>
      <c r="AD538" s="106">
        <v>30.508474576271187</v>
      </c>
      <c r="AE538" s="106">
        <v>99.955555555555549</v>
      </c>
      <c r="AF538" s="106">
        <v>9.2981017105563266E-2</v>
      </c>
      <c r="AG538" s="106">
        <v>38090</v>
      </c>
      <c r="AH538" s="106">
        <v>31990</v>
      </c>
      <c r="AI538" s="106">
        <v>33115.236030025022</v>
      </c>
      <c r="AJ538" s="106">
        <v>37935.16763969975</v>
      </c>
      <c r="AK538" s="104">
        <v>25638.113427856548</v>
      </c>
      <c r="AM538" s="118">
        <v>1301</v>
      </c>
      <c r="AN538" s="118">
        <v>35984</v>
      </c>
      <c r="AO538" s="118">
        <v>351</v>
      </c>
      <c r="AP538" s="118">
        <f t="shared" si="8"/>
        <v>0</v>
      </c>
    </row>
    <row r="539" spans="1:42" ht="12.75">
      <c r="A539" s="106">
        <v>2018</v>
      </c>
      <c r="B539" s="106">
        <v>-202514</v>
      </c>
      <c r="C539" s="106">
        <v>0</v>
      </c>
      <c r="D539" s="106">
        <v>202514</v>
      </c>
      <c r="E539" s="106" t="s">
        <v>1017</v>
      </c>
      <c r="F539" s="106" t="s">
        <v>1018</v>
      </c>
      <c r="G539" s="106" t="s">
        <v>82</v>
      </c>
      <c r="H539" s="106">
        <v>7</v>
      </c>
      <c r="I539" s="106" t="s">
        <v>3641</v>
      </c>
      <c r="J539" s="106">
        <v>32190</v>
      </c>
      <c r="K539" s="106">
        <v>26084</v>
      </c>
      <c r="L539" s="106">
        <v>23611</v>
      </c>
      <c r="M539" s="106">
        <v>0.5</v>
      </c>
      <c r="N539" s="106">
        <v>0.87</v>
      </c>
      <c r="O539" s="106">
        <v>0.98</v>
      </c>
      <c r="P539" s="106">
        <v>16328</v>
      </c>
      <c r="Q539" s="106">
        <v>14987.764065335754</v>
      </c>
      <c r="R539" s="106">
        <v>0.48653401006854741</v>
      </c>
      <c r="S539" s="106">
        <v>27100.796733212341</v>
      </c>
      <c r="T539" s="106">
        <v>29086.791288566244</v>
      </c>
      <c r="U539" s="106">
        <v>25040.477313974592</v>
      </c>
      <c r="V539" s="106">
        <v>0.63167359591943439</v>
      </c>
      <c r="W539" s="106">
        <v>58989.76865671642</v>
      </c>
      <c r="X539" s="110">
        <v>0.49321250338963019</v>
      </c>
      <c r="Y539" s="106">
        <v>330.72483221476512</v>
      </c>
      <c r="Z539" s="106">
        <v>11.093959731543624</v>
      </c>
      <c r="AA539" s="106">
        <v>83116.283132530123</v>
      </c>
      <c r="AB539" s="106">
        <v>839.96730792645803</v>
      </c>
      <c r="AC539" s="106">
        <v>1.2031336848947942</v>
      </c>
      <c r="AD539" s="106">
        <v>29.537366548042705</v>
      </c>
      <c r="AE539" s="106">
        <v>98.951807228915669</v>
      </c>
      <c r="AF539" s="106">
        <v>1.6283283506438422E-2</v>
      </c>
      <c r="AG539" s="106">
        <v>31480</v>
      </c>
      <c r="AH539" s="106">
        <v>22495.858439201453</v>
      </c>
      <c r="AI539" s="106">
        <v>27024.613430127043</v>
      </c>
      <c r="AJ539" s="106">
        <v>30342.548094373866</v>
      </c>
      <c r="AK539" s="104">
        <v>25040.477313974592</v>
      </c>
      <c r="AM539" s="118">
        <v>584</v>
      </c>
      <c r="AN539" s="118">
        <v>16426</v>
      </c>
      <c r="AO539" s="118">
        <v>148</v>
      </c>
      <c r="AP539" s="118">
        <f t="shared" si="8"/>
        <v>710</v>
      </c>
    </row>
    <row r="540" spans="1:42" ht="12.75">
      <c r="A540" s="106">
        <v>2018</v>
      </c>
      <c r="B540" s="106">
        <v>-224350</v>
      </c>
      <c r="C540" s="106">
        <v>0</v>
      </c>
      <c r="D540" s="106">
        <v>224350</v>
      </c>
      <c r="E540" s="106" t="s">
        <v>1019</v>
      </c>
      <c r="F540" s="106" t="s">
        <v>1020</v>
      </c>
      <c r="G540" s="106" t="s">
        <v>60</v>
      </c>
      <c r="H540" s="106">
        <v>4</v>
      </c>
      <c r="I540" s="106" t="s">
        <v>24</v>
      </c>
      <c r="J540" s="106">
        <v>2676</v>
      </c>
      <c r="K540" s="106">
        <v>4769</v>
      </c>
      <c r="L540" s="106">
        <v>3712</v>
      </c>
      <c r="M540" s="106">
        <v>0.54</v>
      </c>
      <c r="N540" s="106">
        <v>0.13</v>
      </c>
      <c r="O540" s="106">
        <v>0.17</v>
      </c>
      <c r="P540" s="106">
        <v>1233</v>
      </c>
      <c r="Q540" s="106"/>
      <c r="R540" s="106"/>
      <c r="S540" s="106">
        <v>24593.309477756287</v>
      </c>
      <c r="T540" s="106">
        <v>23118.56015473888</v>
      </c>
      <c r="U540" s="106">
        <v>17553.387374174854</v>
      </c>
      <c r="V540" s="106">
        <v>0.31686205075529644</v>
      </c>
      <c r="W540" s="106">
        <v>81066.922037422031</v>
      </c>
      <c r="X540" s="110">
        <v>0.65248034026199953</v>
      </c>
      <c r="Y540" s="106">
        <v>278.3959311892296</v>
      </c>
      <c r="Z540" s="106">
        <v>11.600598354525056</v>
      </c>
      <c r="AA540" s="106">
        <v>46419.955357792329</v>
      </c>
      <c r="AB540" s="106">
        <v>731.43955739347234</v>
      </c>
      <c r="AC540" s="106">
        <v>2.1542459321476581</v>
      </c>
      <c r="AD540" s="106">
        <v>34.743202416918429</v>
      </c>
      <c r="AE540" s="106">
        <v>63.463829497016199</v>
      </c>
      <c r="AF540" s="106">
        <v>7.5901936737700418E-2</v>
      </c>
      <c r="AG540" s="106">
        <v>1586</v>
      </c>
      <c r="AH540" s="106">
        <v>24688.000773694392</v>
      </c>
      <c r="AI540" s="106">
        <v>24821.366344294005</v>
      </c>
      <c r="AJ540" s="106">
        <v>25039.760541586074</v>
      </c>
      <c r="AK540" s="104">
        <v>18722.88491295938</v>
      </c>
      <c r="AL540" s="118">
        <v>88039601</v>
      </c>
      <c r="AM540" s="118">
        <v>11476</v>
      </c>
      <c r="AN540" s="118">
        <v>124071.78666666667</v>
      </c>
      <c r="AO540" s="118">
        <v>1387</v>
      </c>
      <c r="AP540" s="118">
        <f t="shared" si="8"/>
        <v>1090</v>
      </c>
    </row>
    <row r="541" spans="1:42" ht="12.75">
      <c r="A541" s="106">
        <v>2018</v>
      </c>
      <c r="B541" s="106">
        <v>-211927</v>
      </c>
      <c r="C541" s="106">
        <v>0</v>
      </c>
      <c r="D541" s="106">
        <v>211927</v>
      </c>
      <c r="E541" s="106" t="s">
        <v>1021</v>
      </c>
      <c r="F541" s="106" t="s">
        <v>1022</v>
      </c>
      <c r="G541" s="106" t="s">
        <v>104</v>
      </c>
      <c r="H541" s="106">
        <v>4</v>
      </c>
      <c r="I541" s="106" t="s">
        <v>24</v>
      </c>
      <c r="J541" s="106">
        <v>5291</v>
      </c>
      <c r="K541" s="106">
        <v>9813</v>
      </c>
      <c r="L541" s="106">
        <v>8894</v>
      </c>
      <c r="M541" s="106">
        <v>0.44</v>
      </c>
      <c r="N541" s="106">
        <v>0.33</v>
      </c>
      <c r="O541" s="106">
        <v>0.02</v>
      </c>
      <c r="P541" s="106">
        <v>1859</v>
      </c>
      <c r="Q541" s="106">
        <v>59.813042859176988</v>
      </c>
      <c r="R541" s="106">
        <v>1.0625446039462987E-2</v>
      </c>
      <c r="S541" s="106">
        <v>13185.734728748399</v>
      </c>
      <c r="T541" s="106">
        <v>14714.652570126727</v>
      </c>
      <c r="U541" s="106">
        <v>12532.196070055532</v>
      </c>
      <c r="V541" s="106">
        <v>0.44440842350148718</v>
      </c>
      <c r="W541" s="106">
        <v>88340.608814175386</v>
      </c>
      <c r="X541" s="110">
        <v>0.62717176013529186</v>
      </c>
      <c r="Y541" s="106">
        <v>620.31992149165853</v>
      </c>
      <c r="Z541" s="106">
        <v>20.676153091265949</v>
      </c>
      <c r="AA541" s="106">
        <v>57638.253438113949</v>
      </c>
      <c r="AB541" s="106">
        <v>417.71607768317341</v>
      </c>
      <c r="AC541" s="106">
        <v>1.7349588864168093</v>
      </c>
      <c r="AD541" s="106">
        <v>26.373056994818654</v>
      </c>
      <c r="AE541" s="106">
        <v>137.98428290766208</v>
      </c>
      <c r="AF541" s="106">
        <v>-4.0175350811895189E-2</v>
      </c>
      <c r="AG541" s="106">
        <v>3690</v>
      </c>
      <c r="AH541" s="106">
        <v>13154.923252171437</v>
      </c>
      <c r="AI541" s="106">
        <v>13154.923252171437</v>
      </c>
      <c r="AJ541" s="106">
        <v>13405.118183112631</v>
      </c>
      <c r="AK541" s="104">
        <v>13236.522568702834</v>
      </c>
      <c r="AL541" s="119">
        <v>27186199</v>
      </c>
      <c r="AM541" s="118">
        <v>11030</v>
      </c>
      <c r="AN541" s="118">
        <v>210702</v>
      </c>
      <c r="AO541" s="118">
        <v>1207</v>
      </c>
      <c r="AP541" s="118">
        <f t="shared" si="8"/>
        <v>1601</v>
      </c>
    </row>
    <row r="542" spans="1:42" ht="12.75">
      <c r="A542" s="106">
        <v>2018</v>
      </c>
      <c r="B542" s="106">
        <v>-130934</v>
      </c>
      <c r="C542" s="106">
        <v>0</v>
      </c>
      <c r="D542" s="106">
        <v>130934</v>
      </c>
      <c r="E542" s="106" t="s">
        <v>1023</v>
      </c>
      <c r="F542" s="106" t="s">
        <v>1024</v>
      </c>
      <c r="G542" s="106" t="s">
        <v>1025</v>
      </c>
      <c r="H542" s="106">
        <v>2</v>
      </c>
      <c r="I542" s="106" t="s">
        <v>25</v>
      </c>
      <c r="J542" s="106">
        <v>7868</v>
      </c>
      <c r="K542" s="106">
        <v>13234</v>
      </c>
      <c r="L542" s="106">
        <v>12265</v>
      </c>
      <c r="M542" s="106">
        <v>0.62</v>
      </c>
      <c r="N542" s="106">
        <v>0.76</v>
      </c>
      <c r="O542" s="106">
        <v>0.63</v>
      </c>
      <c r="P542" s="106">
        <v>7300</v>
      </c>
      <c r="Q542" s="107">
        <v>3361.5123750594953</v>
      </c>
      <c r="R542" s="106">
        <v>0.26419504489814299</v>
      </c>
      <c r="S542" s="106">
        <v>30100.649214659687</v>
      </c>
      <c r="T542" s="106">
        <v>34061.910280818658</v>
      </c>
      <c r="U542" s="106">
        <v>20854.639148634389</v>
      </c>
      <c r="V542" s="106">
        <v>0.44892115852633874</v>
      </c>
      <c r="W542" s="106">
        <v>93718.90542193233</v>
      </c>
      <c r="X542" s="110">
        <v>0.53540010547331407</v>
      </c>
      <c r="Y542" s="106">
        <v>422.16704288939053</v>
      </c>
      <c r="Z542" s="106">
        <v>14.227990970654629</v>
      </c>
      <c r="AA542" s="106">
        <v>119226.11388103633</v>
      </c>
      <c r="AB542" s="106">
        <v>702.84884265769733</v>
      </c>
      <c r="AC542" s="106">
        <v>0.83874242600727444</v>
      </c>
      <c r="AD542" s="106">
        <v>18.188567186340016</v>
      </c>
      <c r="AE542" s="106">
        <v>169.63265306122449</v>
      </c>
      <c r="AF542" s="106">
        <v>-8.8588618589847345E-2</v>
      </c>
      <c r="AG542" s="106">
        <v>7038</v>
      </c>
      <c r="AH542" s="106">
        <v>29807.495240361732</v>
      </c>
      <c r="AI542" s="106">
        <v>29809.820323655404</v>
      </c>
      <c r="AJ542" s="106">
        <v>30194.306520704427</v>
      </c>
      <c r="AK542" s="104">
        <v>27382.810090433126</v>
      </c>
      <c r="AL542" s="119">
        <v>35999006</v>
      </c>
      <c r="AM542" s="118">
        <v>4050</v>
      </c>
      <c r="AN542" s="118">
        <v>124680</v>
      </c>
      <c r="AO542" s="118">
        <v>613</v>
      </c>
      <c r="AP542" s="118">
        <f t="shared" si="8"/>
        <v>830</v>
      </c>
    </row>
    <row r="543" spans="1:42" ht="12.75">
      <c r="A543" s="106">
        <v>2018</v>
      </c>
      <c r="B543" s="106">
        <v>-130907</v>
      </c>
      <c r="C543" s="106">
        <v>0</v>
      </c>
      <c r="D543" s="106">
        <v>130907</v>
      </c>
      <c r="E543" s="106" t="s">
        <v>1027</v>
      </c>
      <c r="F543" s="106" t="s">
        <v>1024</v>
      </c>
      <c r="G543" s="106" t="s">
        <v>1025</v>
      </c>
      <c r="H543" s="106">
        <v>4</v>
      </c>
      <c r="I543" s="106" t="s">
        <v>24</v>
      </c>
      <c r="J543" s="106">
        <v>3978</v>
      </c>
      <c r="K543" s="106">
        <v>8261</v>
      </c>
      <c r="L543" s="106">
        <v>8262</v>
      </c>
      <c r="M543" s="106">
        <v>0.51</v>
      </c>
      <c r="N543" s="106">
        <v>0.16</v>
      </c>
      <c r="O543" s="106">
        <v>0.15</v>
      </c>
      <c r="P543" s="106">
        <v>1034</v>
      </c>
      <c r="Q543" s="106">
        <v>52.340871300299298</v>
      </c>
      <c r="R543" s="106">
        <v>7.0175674831527597E-3</v>
      </c>
      <c r="S543" s="106">
        <v>18607.079592062964</v>
      </c>
      <c r="T543" s="106">
        <v>16469.161622879947</v>
      </c>
      <c r="U543" s="106">
        <v>14520.0677399987</v>
      </c>
      <c r="V543" s="106">
        <v>0.51006705433675004</v>
      </c>
      <c r="W543" s="106">
        <v>79005.870470524605</v>
      </c>
      <c r="X543" s="110">
        <v>0.65550927358955502</v>
      </c>
      <c r="Y543" s="106">
        <v>431.19065321295807</v>
      </c>
      <c r="Z543" s="106">
        <v>14.372278279341478</v>
      </c>
      <c r="AA543" s="106">
        <v>69562.15139805006</v>
      </c>
      <c r="AB543" s="106">
        <v>483.97722130373575</v>
      </c>
      <c r="AC543" s="106">
        <v>1.4375633586686791</v>
      </c>
      <c r="AD543" s="106">
        <v>22.023391812865498</v>
      </c>
      <c r="AE543" s="106">
        <v>143.73021773765268</v>
      </c>
      <c r="AF543" s="106">
        <v>0.10338598052131023</v>
      </c>
      <c r="AG543" s="106">
        <v>3480</v>
      </c>
      <c r="AH543" s="106">
        <v>18099.799246203303</v>
      </c>
      <c r="AI543" s="106">
        <v>18099.799246203303</v>
      </c>
      <c r="AJ543" s="106">
        <v>18607.079592062964</v>
      </c>
      <c r="AK543" s="104">
        <v>15810.585633521783</v>
      </c>
      <c r="AL543" s="118">
        <v>74084607</v>
      </c>
      <c r="AM543" s="118">
        <v>14195</v>
      </c>
      <c r="AN543" s="118">
        <v>270644</v>
      </c>
      <c r="AO543" s="118">
        <v>1709</v>
      </c>
      <c r="AP543" s="118">
        <f t="shared" si="8"/>
        <v>498</v>
      </c>
    </row>
    <row r="544" spans="1:42" ht="12.75">
      <c r="A544" s="106">
        <v>2018</v>
      </c>
      <c r="B544" s="106">
        <v>-211981</v>
      </c>
      <c r="C544" s="106">
        <v>0</v>
      </c>
      <c r="D544" s="106">
        <v>211981</v>
      </c>
      <c r="E544" s="106" t="s">
        <v>1028</v>
      </c>
      <c r="F544" s="106" t="s">
        <v>1029</v>
      </c>
      <c r="G544" s="106" t="s">
        <v>104</v>
      </c>
      <c r="H544" s="106">
        <v>6</v>
      </c>
      <c r="I544" s="106" t="s">
        <v>3640</v>
      </c>
      <c r="J544" s="106">
        <v>38000</v>
      </c>
      <c r="K544" s="106">
        <v>28796</v>
      </c>
      <c r="L544" s="106">
        <v>23017</v>
      </c>
      <c r="M544" s="106">
        <v>0.4</v>
      </c>
      <c r="N544" s="106">
        <v>0.89</v>
      </c>
      <c r="O544" s="106">
        <v>0.99</v>
      </c>
      <c r="P544" s="106">
        <v>22201</v>
      </c>
      <c r="Q544" s="106">
        <v>14493.23741648107</v>
      </c>
      <c r="R544" s="106">
        <v>0.45573020116950519</v>
      </c>
      <c r="S544" s="106">
        <v>25568.961692650333</v>
      </c>
      <c r="T544" s="106">
        <v>26494.24320712695</v>
      </c>
      <c r="U544" s="106">
        <v>21659.589968579054</v>
      </c>
      <c r="V544" s="106">
        <v>0.79913766763192562</v>
      </c>
      <c r="W544" s="106">
        <v>75033.320997586488</v>
      </c>
      <c r="X544" s="110">
        <v>0.52268035669924751</v>
      </c>
      <c r="Y544" s="106">
        <v>468.62142857142857</v>
      </c>
      <c r="Z544" s="106">
        <v>16.035714285714285</v>
      </c>
      <c r="AA544" s="106">
        <v>98233.89793830298</v>
      </c>
      <c r="AB544" s="106">
        <v>741.16755040559667</v>
      </c>
      <c r="AC544" s="106">
        <v>1.0179785399822598</v>
      </c>
      <c r="AD544" s="106">
        <v>23.61641221374046</v>
      </c>
      <c r="AE544" s="106">
        <v>132.53939393939393</v>
      </c>
      <c r="AF544" s="106">
        <v>-1.7389048829931228E-4</v>
      </c>
      <c r="AG544" s="106">
        <v>35610</v>
      </c>
      <c r="AH544" s="106">
        <v>24613.442761692651</v>
      </c>
      <c r="AI544" s="106">
        <v>25568.961692650333</v>
      </c>
      <c r="AJ544" s="106">
        <v>26488.985746102451</v>
      </c>
      <c r="AK544" s="104">
        <v>21940.404899777284</v>
      </c>
      <c r="AM544" s="118">
        <v>1992</v>
      </c>
      <c r="AN544" s="118">
        <v>65607</v>
      </c>
      <c r="AO544" s="118">
        <v>405</v>
      </c>
      <c r="AP544" s="118">
        <f t="shared" si="8"/>
        <v>2390</v>
      </c>
    </row>
    <row r="545" spans="1:42" ht="12.75">
      <c r="A545" s="106">
        <v>2018</v>
      </c>
      <c r="B545" s="106">
        <v>-158662</v>
      </c>
      <c r="C545" s="106">
        <v>0</v>
      </c>
      <c r="D545" s="106">
        <v>158662</v>
      </c>
      <c r="E545" s="106" t="s">
        <v>1030</v>
      </c>
      <c r="F545" s="106" t="s">
        <v>1031</v>
      </c>
      <c r="G545" s="106" t="s">
        <v>306</v>
      </c>
      <c r="H545" s="106">
        <v>4</v>
      </c>
      <c r="I545" s="106" t="s">
        <v>24</v>
      </c>
      <c r="J545" s="106">
        <v>4079</v>
      </c>
      <c r="K545" s="106">
        <v>8957</v>
      </c>
      <c r="L545" s="106">
        <v>8653</v>
      </c>
      <c r="M545" s="106">
        <v>0.75</v>
      </c>
      <c r="N545" s="106">
        <v>0.47</v>
      </c>
      <c r="O545" s="106">
        <v>0.01</v>
      </c>
      <c r="P545" s="106">
        <v>1959</v>
      </c>
      <c r="Q545" s="106">
        <v>30.953051126992854</v>
      </c>
      <c r="R545" s="106">
        <v>5.368006518688611E-3</v>
      </c>
      <c r="S545" s="106">
        <v>12315.316217702035</v>
      </c>
      <c r="T545" s="106">
        <v>12369.98493677845</v>
      </c>
      <c r="U545" s="106">
        <v>7919.875096206707</v>
      </c>
      <c r="V545" s="106">
        <v>0.72415998419797267</v>
      </c>
      <c r="W545" s="106">
        <v>67922.986856516975</v>
      </c>
      <c r="X545" s="110">
        <v>0.55120821149542909</v>
      </c>
      <c r="Y545" s="106">
        <v>564.87784679089032</v>
      </c>
      <c r="Z545" s="106">
        <v>18.830227743271223</v>
      </c>
      <c r="AA545" s="106">
        <v>19446.885529157666</v>
      </c>
      <c r="AB545" s="106">
        <v>264.00938292600682</v>
      </c>
      <c r="AC545" s="106">
        <v>5.1422115819042133</v>
      </c>
      <c r="AD545" s="106">
        <v>45.170731707317074</v>
      </c>
      <c r="AE545" s="106">
        <v>73.659827213822894</v>
      </c>
      <c r="AF545" s="106">
        <v>-3.2786230029104378E-2</v>
      </c>
      <c r="AG545" s="106">
        <v>3335</v>
      </c>
      <c r="AH545" s="106">
        <v>10136.102913688839</v>
      </c>
      <c r="AI545" s="106">
        <v>10136.102913688839</v>
      </c>
      <c r="AJ545" s="106">
        <v>12363.001209455744</v>
      </c>
      <c r="AK545" s="104">
        <v>10296.039032435405</v>
      </c>
      <c r="AL545" s="118">
        <v>27105315</v>
      </c>
      <c r="AM545" s="118">
        <v>14239</v>
      </c>
      <c r="AN545" s="118">
        <v>272836</v>
      </c>
      <c r="AO545" s="118">
        <v>1173</v>
      </c>
      <c r="AP545" s="118">
        <f t="shared" si="8"/>
        <v>744</v>
      </c>
    </row>
    <row r="546" spans="1:42" ht="12.75">
      <c r="A546" s="106">
        <v>2018</v>
      </c>
      <c r="B546" s="106">
        <v>-169521</v>
      </c>
      <c r="C546" s="106">
        <v>0</v>
      </c>
      <c r="D546" s="106">
        <v>169521</v>
      </c>
      <c r="E546" s="106" t="s">
        <v>1032</v>
      </c>
      <c r="F546" s="106" t="s">
        <v>1033</v>
      </c>
      <c r="G546" s="106" t="s">
        <v>74</v>
      </c>
      <c r="H546" s="106">
        <v>4</v>
      </c>
      <c r="I546" s="106" t="s">
        <v>24</v>
      </c>
      <c r="J546" s="106">
        <v>3800</v>
      </c>
      <c r="K546" s="106">
        <v>4256</v>
      </c>
      <c r="L546" s="106">
        <v>2878</v>
      </c>
      <c r="M546" s="106">
        <v>0.53</v>
      </c>
      <c r="N546" s="106">
        <v>0.16</v>
      </c>
      <c r="O546" s="106">
        <v>0.1</v>
      </c>
      <c r="P546" s="106">
        <v>1447</v>
      </c>
      <c r="Q546" s="106">
        <v>138.75221700573815</v>
      </c>
      <c r="R546" s="106">
        <v>2.5042907528626777E-2</v>
      </c>
      <c r="S546" s="106">
        <v>17806.6511910972</v>
      </c>
      <c r="T546" s="106">
        <v>16254.806816205877</v>
      </c>
      <c r="U546" s="106">
        <v>13340.128508118753</v>
      </c>
      <c r="V546" s="106">
        <v>0.40493066893668195</v>
      </c>
      <c r="W546" s="106">
        <v>91716.554740701933</v>
      </c>
      <c r="X546" s="110">
        <v>0.62431996895553354</v>
      </c>
      <c r="Y546" s="106">
        <v>570.6714443219405</v>
      </c>
      <c r="Z546" s="106">
        <v>19.022050716648291</v>
      </c>
      <c r="AA546" s="106">
        <v>60791.663272734499</v>
      </c>
      <c r="AB546" s="106">
        <v>444.66321834194582</v>
      </c>
      <c r="AC546" s="106">
        <v>1.6449623947836727</v>
      </c>
      <c r="AD546" s="106">
        <v>25.290581162324649</v>
      </c>
      <c r="AE546" s="106">
        <v>136.71394611727416</v>
      </c>
      <c r="AF546" s="106">
        <v>0.13018213333263112</v>
      </c>
      <c r="AG546" s="106">
        <v>3210</v>
      </c>
      <c r="AH546" s="106">
        <v>16494.960876369329</v>
      </c>
      <c r="AI546" s="106">
        <v>16693.039819161884</v>
      </c>
      <c r="AJ546" s="106">
        <v>18377.284472265692</v>
      </c>
      <c r="AK546" s="104">
        <v>15244.081029386194</v>
      </c>
      <c r="AL546" s="119">
        <v>50871287</v>
      </c>
      <c r="AM546" s="118">
        <v>8677</v>
      </c>
      <c r="AN546" s="118">
        <v>172533</v>
      </c>
      <c r="AO546" s="118">
        <v>1034</v>
      </c>
      <c r="AP546" s="118">
        <f t="shared" si="8"/>
        <v>590</v>
      </c>
    </row>
    <row r="547" spans="1:42" ht="12.75">
      <c r="A547" s="106">
        <v>2018</v>
      </c>
      <c r="B547" s="106">
        <v>-175616</v>
      </c>
      <c r="C547" s="106">
        <v>0</v>
      </c>
      <c r="D547" s="106">
        <v>175616</v>
      </c>
      <c r="E547" s="106" t="s">
        <v>1034</v>
      </c>
      <c r="F547" s="106" t="s">
        <v>624</v>
      </c>
      <c r="G547" s="106" t="s">
        <v>107</v>
      </c>
      <c r="H547" s="106">
        <v>2</v>
      </c>
      <c r="I547" s="106" t="s">
        <v>25</v>
      </c>
      <c r="J547" s="106">
        <v>6859</v>
      </c>
      <c r="K547" s="106">
        <v>12814</v>
      </c>
      <c r="L547" s="106">
        <v>10719</v>
      </c>
      <c r="M547" s="106">
        <v>0.49</v>
      </c>
      <c r="N547" s="106">
        <v>0.65</v>
      </c>
      <c r="O547" s="106">
        <v>0.77</v>
      </c>
      <c r="P547" s="106">
        <v>4069</v>
      </c>
      <c r="Q547" s="106">
        <v>1167.0157459300774</v>
      </c>
      <c r="R547" s="106">
        <v>0.19458040628553011</v>
      </c>
      <c r="S547" s="106">
        <v>17063.911929543636</v>
      </c>
      <c r="T547" s="106">
        <v>19992.490525753936</v>
      </c>
      <c r="U547" s="106">
        <v>11052.518906431807</v>
      </c>
      <c r="V547" s="106">
        <v>0.4370574565734372</v>
      </c>
      <c r="W547" s="106">
        <v>71260.863970588238</v>
      </c>
      <c r="X547" s="110">
        <v>0.51748693684853275</v>
      </c>
      <c r="Y547" s="106">
        <v>514.91150442477874</v>
      </c>
      <c r="Z547" s="106">
        <v>19.895575221238936</v>
      </c>
      <c r="AA547" s="106">
        <v>45310.490527789916</v>
      </c>
      <c r="AB547" s="106">
        <v>427.05633763753531</v>
      </c>
      <c r="AC547" s="106">
        <v>2.2069944252461315</v>
      </c>
      <c r="AD547" s="106">
        <v>30.075682790391578</v>
      </c>
      <c r="AE547" s="106">
        <v>106.09956236323852</v>
      </c>
      <c r="AF547" s="106">
        <v>-1.3958219141790044E-2</v>
      </c>
      <c r="AG547" s="106">
        <v>6739</v>
      </c>
      <c r="AH547" s="106">
        <v>15590.703229250066</v>
      </c>
      <c r="AI547" s="106">
        <v>15590.703229250066</v>
      </c>
      <c r="AJ547" s="106">
        <v>17097.822791566588</v>
      </c>
      <c r="AK547" s="104">
        <v>14261.785962103017</v>
      </c>
      <c r="AL547" s="119">
        <v>19890101</v>
      </c>
      <c r="AM547" s="118">
        <v>3037</v>
      </c>
      <c r="AN547" s="118">
        <v>96975</v>
      </c>
      <c r="AO547" s="118">
        <v>559</v>
      </c>
      <c r="AP547" s="118">
        <f t="shared" si="8"/>
        <v>120</v>
      </c>
    </row>
    <row r="548" spans="1:42" ht="12.75">
      <c r="A548" s="106">
        <v>2018</v>
      </c>
      <c r="B548" s="106">
        <v>-202523</v>
      </c>
      <c r="C548" s="106">
        <v>0</v>
      </c>
      <c r="D548" s="106">
        <v>202523</v>
      </c>
      <c r="E548" s="106" t="s">
        <v>1035</v>
      </c>
      <c r="F548" s="106" t="s">
        <v>1036</v>
      </c>
      <c r="G548" s="106" t="s">
        <v>82</v>
      </c>
      <c r="H548" s="106">
        <v>7</v>
      </c>
      <c r="I548" s="106" t="s">
        <v>3641</v>
      </c>
      <c r="J548" s="106">
        <v>50440</v>
      </c>
      <c r="K548" s="106">
        <v>35694</v>
      </c>
      <c r="L548" s="106">
        <v>13968</v>
      </c>
      <c r="M548" s="106">
        <v>0.24</v>
      </c>
      <c r="N548" s="106">
        <v>0.44</v>
      </c>
      <c r="O548" s="106">
        <v>0.94</v>
      </c>
      <c r="P548" s="106">
        <v>27998</v>
      </c>
      <c r="Q548" s="106">
        <v>26442.744363929145</v>
      </c>
      <c r="R548" s="106">
        <v>0.59601144635502656</v>
      </c>
      <c r="S548" s="106">
        <v>44703.823268921093</v>
      </c>
      <c r="T548" s="106">
        <v>50965.947262479873</v>
      </c>
      <c r="U548" s="106">
        <v>39952.946555108982</v>
      </c>
      <c r="V548" s="106">
        <v>0.4486133279531046</v>
      </c>
      <c r="W548" s="106">
        <v>101805.97113109323</v>
      </c>
      <c r="X548" s="110">
        <v>0.5663955092745967</v>
      </c>
      <c r="Y548" s="106">
        <v>279.13857677902621</v>
      </c>
      <c r="Z548" s="106">
        <v>9.3033707865168545</v>
      </c>
      <c r="AA548" s="106">
        <v>190120.91808982895</v>
      </c>
      <c r="AB548" s="106">
        <v>1331.5861967381015</v>
      </c>
      <c r="AC548" s="106">
        <v>0.52598104934856071</v>
      </c>
      <c r="AD548" s="106">
        <v>22.422680412371136</v>
      </c>
      <c r="AE548" s="106">
        <v>142.77777777777777</v>
      </c>
      <c r="AF548" s="106">
        <v>6.3383848944898749E-2</v>
      </c>
      <c r="AG548" s="106">
        <v>49310</v>
      </c>
      <c r="AH548" s="106">
        <v>32272.353864734301</v>
      </c>
      <c r="AI548" s="106">
        <v>44434.618760064412</v>
      </c>
      <c r="AJ548" s="106">
        <v>75611.404186795495</v>
      </c>
      <c r="AK548" s="104">
        <v>40654.23872785829</v>
      </c>
      <c r="AL548" s="118"/>
      <c r="AM548" s="118">
        <v>2341</v>
      </c>
      <c r="AN548" s="118">
        <v>74530</v>
      </c>
      <c r="AO548" s="118">
        <v>522</v>
      </c>
      <c r="AP548" s="118">
        <f t="shared" si="8"/>
        <v>1130</v>
      </c>
    </row>
    <row r="549" spans="1:42" ht="12.75">
      <c r="A549" s="106">
        <v>2018</v>
      </c>
      <c r="B549" s="106">
        <v>-217989</v>
      </c>
      <c r="C549" s="106">
        <v>0</v>
      </c>
      <c r="D549" s="106">
        <v>217989</v>
      </c>
      <c r="E549" s="106" t="s">
        <v>1037</v>
      </c>
      <c r="F549" s="106" t="s">
        <v>1038</v>
      </c>
      <c r="G549" s="106" t="s">
        <v>79</v>
      </c>
      <c r="H549" s="106">
        <v>4</v>
      </c>
      <c r="I549" s="106" t="s">
        <v>24</v>
      </c>
      <c r="J549" s="106">
        <v>5700</v>
      </c>
      <c r="K549" s="106">
        <v>11816</v>
      </c>
      <c r="L549" s="106">
        <v>11888</v>
      </c>
      <c r="M549" s="106">
        <v>0.87</v>
      </c>
      <c r="N549" s="106">
        <v>0.83</v>
      </c>
      <c r="O549" s="106">
        <v>0.04</v>
      </c>
      <c r="P549" s="106">
        <v>467</v>
      </c>
      <c r="Q549" s="106"/>
      <c r="R549" s="106"/>
      <c r="S549" s="106">
        <v>19883.26371308017</v>
      </c>
      <c r="T549" s="106">
        <v>21926.061181434598</v>
      </c>
      <c r="U549" s="106">
        <v>15210.938818565401</v>
      </c>
      <c r="V549" s="106">
        <v>0.32961649712169999</v>
      </c>
      <c r="W549" s="106">
        <v>60951.825581395351</v>
      </c>
      <c r="X549" s="110">
        <v>0.50436646831752241</v>
      </c>
      <c r="Y549" s="106">
        <v>553.79220779220782</v>
      </c>
      <c r="Z549" s="106">
        <v>18.467532467532468</v>
      </c>
      <c r="AA549" s="106">
        <v>48066.566666666666</v>
      </c>
      <c r="AB549" s="106">
        <v>507.2453215140003</v>
      </c>
      <c r="AC549" s="106">
        <v>2.0804481562721699</v>
      </c>
      <c r="AD549" s="106">
        <v>40.106951871657756</v>
      </c>
      <c r="AE549" s="106">
        <v>94.76</v>
      </c>
      <c r="AF549" s="106">
        <v>6.7943518934711769</v>
      </c>
      <c r="AG549" s="106">
        <v>3750</v>
      </c>
      <c r="AH549" s="106">
        <v>20427.253164556962</v>
      </c>
      <c r="AI549" s="106">
        <v>20427.253164556962</v>
      </c>
      <c r="AJ549" s="106">
        <v>19885.118143459917</v>
      </c>
      <c r="AK549" s="104">
        <v>16222.51687763713</v>
      </c>
      <c r="AL549" s="118">
        <v>2690359</v>
      </c>
      <c r="AM549" s="118">
        <v>523</v>
      </c>
      <c r="AN549" s="118">
        <v>14214</v>
      </c>
      <c r="AO549" s="118">
        <v>52</v>
      </c>
      <c r="AP549" s="118">
        <f t="shared" si="8"/>
        <v>1950</v>
      </c>
    </row>
    <row r="550" spans="1:42" ht="12.75">
      <c r="A550" s="106">
        <v>2018</v>
      </c>
      <c r="B550" s="106">
        <v>-144740</v>
      </c>
      <c r="C550" s="106">
        <v>0</v>
      </c>
      <c r="D550" s="106">
        <v>144740</v>
      </c>
      <c r="E550" s="106" t="s">
        <v>1010</v>
      </c>
      <c r="F550" s="106" t="s">
        <v>725</v>
      </c>
      <c r="G550" s="106" t="s">
        <v>243</v>
      </c>
      <c r="H550" s="106">
        <v>5</v>
      </c>
      <c r="I550" s="106" t="s">
        <v>3639</v>
      </c>
      <c r="J550" s="106">
        <v>39010</v>
      </c>
      <c r="K550" s="106">
        <v>30584</v>
      </c>
      <c r="L550" s="106">
        <v>24170</v>
      </c>
      <c r="M550" s="106">
        <v>0.33</v>
      </c>
      <c r="N550" s="106">
        <v>0.62</v>
      </c>
      <c r="O550" s="106">
        <v>0.98</v>
      </c>
      <c r="P550" s="106">
        <v>21056</v>
      </c>
      <c r="Q550" s="106">
        <v>10872.198518954441</v>
      </c>
      <c r="R550" s="106">
        <v>0.31753864046854119</v>
      </c>
      <c r="S550" s="106">
        <v>28007.846598989749</v>
      </c>
      <c r="T550" s="106">
        <v>26528.811730665489</v>
      </c>
      <c r="U550" s="106">
        <v>22158.946537378448</v>
      </c>
      <c r="V550" s="106">
        <v>1.0545076870920411</v>
      </c>
      <c r="W550" s="106">
        <v>114639.51594135445</v>
      </c>
      <c r="X550" s="110">
        <v>0.60708865345901375</v>
      </c>
      <c r="Y550" s="106">
        <v>675.44703332430242</v>
      </c>
      <c r="Z550" s="106">
        <v>16.573557301544298</v>
      </c>
      <c r="AA550" s="106">
        <v>70877.345700970036</v>
      </c>
      <c r="AB550" s="106">
        <v>543.7177928987503</v>
      </c>
      <c r="AC550" s="106">
        <v>1.4108880490798541</v>
      </c>
      <c r="AD550" s="106">
        <v>31.785999202233743</v>
      </c>
      <c r="AE550" s="106">
        <v>130.35686274509803</v>
      </c>
      <c r="AF550" s="106">
        <v>8.9775675797283308E-2</v>
      </c>
      <c r="AG550" s="106">
        <v>38410</v>
      </c>
      <c r="AH550" s="106">
        <v>26941.591878770047</v>
      </c>
      <c r="AI550" s="106">
        <v>28113.579520376636</v>
      </c>
      <c r="AJ550" s="106">
        <v>29327.59550782208</v>
      </c>
      <c r="AK550" s="104">
        <v>23440.439409543425</v>
      </c>
      <c r="AM550" s="118">
        <v>14816</v>
      </c>
      <c r="AN550" s="118">
        <v>831025</v>
      </c>
      <c r="AO550" s="118">
        <v>3548</v>
      </c>
      <c r="AP550" s="118">
        <f t="shared" si="8"/>
        <v>600</v>
      </c>
    </row>
    <row r="551" spans="1:42" ht="12.75">
      <c r="A551" s="106">
        <v>2018</v>
      </c>
      <c r="B551" s="106">
        <v>-150400</v>
      </c>
      <c r="C551" s="106">
        <v>0</v>
      </c>
      <c r="D551" s="106">
        <v>150400</v>
      </c>
      <c r="E551" s="106" t="s">
        <v>1011</v>
      </c>
      <c r="F551" s="106" t="s">
        <v>1012</v>
      </c>
      <c r="G551" s="106" t="s">
        <v>161</v>
      </c>
      <c r="H551" s="106">
        <v>7</v>
      </c>
      <c r="I551" s="106" t="s">
        <v>3641</v>
      </c>
      <c r="J551" s="106">
        <v>47838</v>
      </c>
      <c r="K551" s="106">
        <v>29262</v>
      </c>
      <c r="L551" s="106">
        <v>13591</v>
      </c>
      <c r="M551" s="106">
        <v>0.22</v>
      </c>
      <c r="N551" s="106">
        <v>0.45</v>
      </c>
      <c r="O551" s="106">
        <v>0.99</v>
      </c>
      <c r="P551" s="106">
        <v>31168</v>
      </c>
      <c r="Q551" s="106">
        <v>27073.540044742731</v>
      </c>
      <c r="R551" s="106">
        <v>0.60462036550131115</v>
      </c>
      <c r="S551" s="106">
        <v>44293.704250559284</v>
      </c>
      <c r="T551" s="106">
        <v>52390.127069351227</v>
      </c>
      <c r="U551" s="106">
        <v>43338.951677852347</v>
      </c>
      <c r="V551" s="106">
        <v>0.40850574489789693</v>
      </c>
      <c r="W551" s="106">
        <v>85548.329305135951</v>
      </c>
      <c r="X551" s="110">
        <v>0.48366264067343873</v>
      </c>
      <c r="Y551" s="106">
        <v>276.73039889958733</v>
      </c>
      <c r="Z551" s="106">
        <v>9.2228335625859685</v>
      </c>
      <c r="AA551" s="106">
        <v>201796.99374999999</v>
      </c>
      <c r="AB551" s="106">
        <v>1444.3947599946318</v>
      </c>
      <c r="AC551" s="106">
        <v>0.49554752100958893</v>
      </c>
      <c r="AD551" s="106">
        <v>22.356776897997204</v>
      </c>
      <c r="AE551" s="106">
        <v>139.71041666666667</v>
      </c>
      <c r="AF551" s="106">
        <v>6.6599657171947851E-2</v>
      </c>
      <c r="AG551" s="106">
        <v>47026</v>
      </c>
      <c r="AH551" s="106">
        <v>29031.648769574946</v>
      </c>
      <c r="AI551" s="106">
        <v>44293.704250559284</v>
      </c>
      <c r="AJ551" s="106">
        <v>75877.156599552574</v>
      </c>
      <c r="AK551" s="104">
        <v>43338.951677852347</v>
      </c>
      <c r="AM551" s="118">
        <v>2158</v>
      </c>
      <c r="AN551" s="118">
        <v>67061</v>
      </c>
      <c r="AO551" s="118">
        <v>480</v>
      </c>
      <c r="AP551" s="118">
        <f t="shared" si="8"/>
        <v>812</v>
      </c>
    </row>
    <row r="552" spans="1:42" ht="12.75">
      <c r="A552" s="106">
        <v>2018</v>
      </c>
      <c r="B552" s="106">
        <v>-153214</v>
      </c>
      <c r="C552" s="106">
        <v>0</v>
      </c>
      <c r="D552" s="106">
        <v>153214</v>
      </c>
      <c r="E552" s="106" t="s">
        <v>1039</v>
      </c>
      <c r="F552" s="106" t="s">
        <v>1040</v>
      </c>
      <c r="G552" s="106" t="s">
        <v>447</v>
      </c>
      <c r="H552" s="106">
        <v>4</v>
      </c>
      <c r="I552" s="106" t="s">
        <v>24</v>
      </c>
      <c r="J552" s="106">
        <v>4530</v>
      </c>
      <c r="K552" s="106">
        <v>9239</v>
      </c>
      <c r="L552" s="106">
        <v>7966</v>
      </c>
      <c r="M552" s="106">
        <v>0.42</v>
      </c>
      <c r="N552" s="106">
        <v>0.44</v>
      </c>
      <c r="O552" s="106">
        <v>0.16</v>
      </c>
      <c r="P552" s="106">
        <v>1322</v>
      </c>
      <c r="Q552" s="106">
        <v>105.48645294725956</v>
      </c>
      <c r="R552" s="106">
        <v>2.5737238655541683E-2</v>
      </c>
      <c r="S552" s="106">
        <v>10942.506652878317</v>
      </c>
      <c r="T552" s="106">
        <v>10888.379179593243</v>
      </c>
      <c r="U552" s="106">
        <v>10164.113271285763</v>
      </c>
      <c r="V552" s="106">
        <v>0.39286319680078602</v>
      </c>
      <c r="W552" s="106">
        <v>90784.714937633093</v>
      </c>
      <c r="X552" s="110">
        <v>0.62981096006393478</v>
      </c>
      <c r="Y552" s="106">
        <v>712.98088476242503</v>
      </c>
      <c r="Z552" s="106">
        <v>23.765701802293833</v>
      </c>
      <c r="AA552" s="106">
        <v>41021.275180856981</v>
      </c>
      <c r="AB552" s="106">
        <v>338.79910422928788</v>
      </c>
      <c r="AC552" s="106">
        <v>2.437759420181703</v>
      </c>
      <c r="AD552" s="106">
        <v>29.905142286570147</v>
      </c>
      <c r="AE552" s="106">
        <v>121.07846410684473</v>
      </c>
      <c r="AF552" s="106">
        <v>1.7197915703203455E-2</v>
      </c>
      <c r="AG552" s="106">
        <v>4530</v>
      </c>
      <c r="AH552" s="106">
        <v>10906.537400896243</v>
      </c>
      <c r="AI552" s="106">
        <v>10906.537400896243</v>
      </c>
      <c r="AJ552" s="106">
        <v>11007.082454326095</v>
      </c>
      <c r="AK552" s="104">
        <v>10391.357256118579</v>
      </c>
      <c r="AL552" s="119">
        <v>69072696</v>
      </c>
      <c r="AM552" s="118">
        <v>22982</v>
      </c>
      <c r="AN552" s="118">
        <v>435156</v>
      </c>
      <c r="AO552" s="118">
        <v>2271</v>
      </c>
      <c r="AP552" s="118">
        <f t="shared" si="8"/>
        <v>0</v>
      </c>
    </row>
    <row r="553" spans="1:42" ht="12.75">
      <c r="A553" s="106">
        <v>2018</v>
      </c>
      <c r="B553" s="106">
        <v>-210739</v>
      </c>
      <c r="C553" s="106">
        <v>0</v>
      </c>
      <c r="D553" s="106">
        <v>210739</v>
      </c>
      <c r="E553" s="106" t="s">
        <v>1013</v>
      </c>
      <c r="F553" s="106" t="s">
        <v>1014</v>
      </c>
      <c r="G553" s="106" t="s">
        <v>104</v>
      </c>
      <c r="H553" s="106">
        <v>6</v>
      </c>
      <c r="I553" s="106" t="s">
        <v>3640</v>
      </c>
      <c r="J553" s="106">
        <v>35900</v>
      </c>
      <c r="K553" s="106">
        <v>28244</v>
      </c>
      <c r="L553" s="106">
        <v>21389</v>
      </c>
      <c r="M553" s="106">
        <v>0.28000000000000003</v>
      </c>
      <c r="N553" s="106">
        <v>0.74</v>
      </c>
      <c r="O553" s="106">
        <v>1</v>
      </c>
      <c r="P553" s="106">
        <v>20071</v>
      </c>
      <c r="Q553" s="106">
        <v>8505.4417706476524</v>
      </c>
      <c r="R553" s="106">
        <v>0.3456898779190557</v>
      </c>
      <c r="S553" s="106">
        <v>22432.928995840761</v>
      </c>
      <c r="T553" s="106">
        <v>22136.716577540108</v>
      </c>
      <c r="U553" s="106">
        <v>17596.625074272131</v>
      </c>
      <c r="V553" s="106">
        <v>0.914880709583483</v>
      </c>
      <c r="W553" s="106">
        <v>78215.726483357445</v>
      </c>
      <c r="X553" s="110">
        <v>0.48356354801982193</v>
      </c>
      <c r="Y553" s="106">
        <v>477.375</v>
      </c>
      <c r="Z553" s="106">
        <v>17.53125</v>
      </c>
      <c r="AA553" s="106">
        <v>72497.233782129741</v>
      </c>
      <c r="AB553" s="106">
        <v>646.22326961682813</v>
      </c>
      <c r="AC553" s="106">
        <v>1.3793629740483915</v>
      </c>
      <c r="AD553" s="106">
        <v>30.806938159879337</v>
      </c>
      <c r="AE553" s="106">
        <v>112.18604651162791</v>
      </c>
      <c r="AF553" s="106">
        <v>4.9387347145900144E-2</v>
      </c>
      <c r="AG553" s="106">
        <v>34500</v>
      </c>
      <c r="AH553" s="106">
        <v>21200.985442661913</v>
      </c>
      <c r="AI553" s="106">
        <v>22470.005050505049</v>
      </c>
      <c r="AJ553" s="106">
        <v>24418.287581699347</v>
      </c>
      <c r="AK553" s="104">
        <v>17596.625074272131</v>
      </c>
      <c r="AM553" s="118">
        <v>2345</v>
      </c>
      <c r="AN553" s="118">
        <v>91656</v>
      </c>
      <c r="AO553" s="118">
        <v>495</v>
      </c>
      <c r="AP553" s="118">
        <f t="shared" si="8"/>
        <v>1400</v>
      </c>
    </row>
    <row r="554" spans="1:42" ht="12.75">
      <c r="A554" s="106">
        <v>2018</v>
      </c>
      <c r="B554" s="106">
        <v>-113634</v>
      </c>
      <c r="C554" s="106">
        <v>0</v>
      </c>
      <c r="D554" s="106">
        <v>113634</v>
      </c>
      <c r="E554" s="106" t="s">
        <v>4081</v>
      </c>
      <c r="F554" s="106" t="s">
        <v>1041</v>
      </c>
      <c r="G554" s="106" t="s">
        <v>121</v>
      </c>
      <c r="H554" s="106">
        <v>4</v>
      </c>
      <c r="I554" s="106" t="s">
        <v>24</v>
      </c>
      <c r="J554" s="106">
        <v>1312</v>
      </c>
      <c r="K554" s="106">
        <v>6810</v>
      </c>
      <c r="L554" s="106">
        <v>3750</v>
      </c>
      <c r="M554" s="106">
        <v>0.19</v>
      </c>
      <c r="N554" s="106">
        <v>0.01</v>
      </c>
      <c r="O554" s="106">
        <v>0.02</v>
      </c>
      <c r="P554" s="106">
        <v>1175</v>
      </c>
      <c r="Q554" s="106">
        <v>5.5122708456534593</v>
      </c>
      <c r="R554" s="106">
        <v>2.2452967927364034E-3</v>
      </c>
      <c r="S554" s="106">
        <v>11316.049822590183</v>
      </c>
      <c r="T554" s="106">
        <v>10919.806327616794</v>
      </c>
      <c r="U554" s="106">
        <v>8248.2031433133561</v>
      </c>
      <c r="V554" s="106">
        <v>0.29697591396578094</v>
      </c>
      <c r="W554" s="106">
        <v>133766.09344845099</v>
      </c>
      <c r="X554" s="110">
        <v>0.59432223008527985</v>
      </c>
      <c r="Y554" s="106">
        <v>927.26504188880438</v>
      </c>
      <c r="Z554" s="106">
        <v>30.909367859862911</v>
      </c>
      <c r="AA554" s="106">
        <v>29278.84862837656</v>
      </c>
      <c r="AB554" s="106">
        <v>274.94484707439528</v>
      </c>
      <c r="AC554" s="106">
        <v>3.4154348509142434</v>
      </c>
      <c r="AD554" s="106">
        <v>33.027125400814626</v>
      </c>
      <c r="AE554" s="106">
        <v>106.48989766465495</v>
      </c>
      <c r="AF554" s="106"/>
      <c r="AG554" s="106">
        <v>1288</v>
      </c>
      <c r="AH554" s="106">
        <v>10799.736398580721</v>
      </c>
      <c r="AI554" s="106">
        <v>10799.736398580721</v>
      </c>
      <c r="AJ554" s="106">
        <v>11316.049822590183</v>
      </c>
      <c r="AK554" s="105">
        <v>9694.983663512714</v>
      </c>
      <c r="AL554" s="119">
        <v>80458473</v>
      </c>
      <c r="AM554" s="118">
        <v>19775</v>
      </c>
      <c r="AN554" s="119">
        <v>405833</v>
      </c>
      <c r="AO554" s="119">
        <v>2112</v>
      </c>
      <c r="AP554" s="118">
        <f t="shared" si="8"/>
        <v>24</v>
      </c>
    </row>
    <row r="555" spans="1:42" ht="12.75">
      <c r="A555" s="106">
        <v>2018</v>
      </c>
      <c r="B555" s="106">
        <v>-212009</v>
      </c>
      <c r="C555" s="106">
        <v>0</v>
      </c>
      <c r="D555" s="106">
        <v>212009</v>
      </c>
      <c r="E555" s="106" t="s">
        <v>1042</v>
      </c>
      <c r="F555" s="106" t="s">
        <v>1043</v>
      </c>
      <c r="G555" s="106" t="s">
        <v>104</v>
      </c>
      <c r="H555" s="106">
        <v>7</v>
      </c>
      <c r="I555" s="106" t="s">
        <v>3641</v>
      </c>
      <c r="J555" s="106">
        <v>52930</v>
      </c>
      <c r="K555" s="107">
        <v>33297</v>
      </c>
      <c r="L555" s="107">
        <v>14656</v>
      </c>
      <c r="M555" s="106">
        <v>0.12</v>
      </c>
      <c r="N555" s="106">
        <v>0.5</v>
      </c>
      <c r="O555" s="106">
        <v>0.73</v>
      </c>
      <c r="P555" s="107">
        <v>34652</v>
      </c>
      <c r="Q555" s="106">
        <v>21038.05713144227</v>
      </c>
      <c r="R555" s="106">
        <v>0.43327143199615165</v>
      </c>
      <c r="S555" s="106">
        <v>50393.542149420697</v>
      </c>
      <c r="T555" s="106">
        <v>54383.145425489412</v>
      </c>
      <c r="U555" s="106">
        <v>40444.899019825854</v>
      </c>
      <c r="V555" s="106">
        <v>0.68038843900831059</v>
      </c>
      <c r="W555" s="106">
        <v>84266.579688658268</v>
      </c>
      <c r="X555" s="110">
        <v>0.55673802545092721</v>
      </c>
      <c r="Y555" s="106">
        <v>287.35714285714289</v>
      </c>
      <c r="Z555" s="106">
        <v>9.5778061224489797</v>
      </c>
      <c r="AA555" s="106">
        <v>191006.75895589456</v>
      </c>
      <c r="AB555" s="106">
        <v>1348.0555854722504</v>
      </c>
      <c r="AC555" s="106">
        <v>0.52354168274794421</v>
      </c>
      <c r="AD555" s="106">
        <v>22.457627118644069</v>
      </c>
      <c r="AE555" s="106">
        <v>141.69056603773586</v>
      </c>
      <c r="AF555" s="106">
        <v>4.9694771492928343E-2</v>
      </c>
      <c r="AG555" s="106">
        <v>52480</v>
      </c>
      <c r="AH555" s="106">
        <v>44055.085497403117</v>
      </c>
      <c r="AI555" s="106">
        <v>50394.968038353974</v>
      </c>
      <c r="AJ555" s="106">
        <v>64918.337195365559</v>
      </c>
      <c r="AK555" s="104">
        <v>42851.049940071913</v>
      </c>
      <c r="AM555" s="118">
        <v>2382</v>
      </c>
      <c r="AN555" s="118">
        <v>75096</v>
      </c>
      <c r="AO555" s="118">
        <v>530</v>
      </c>
      <c r="AP555" s="118">
        <f t="shared" si="8"/>
        <v>450</v>
      </c>
    </row>
    <row r="556" spans="1:42" ht="12.75">
      <c r="A556" s="106">
        <v>2018</v>
      </c>
      <c r="B556" s="106">
        <v>-200059</v>
      </c>
      <c r="C556" s="106">
        <v>0</v>
      </c>
      <c r="D556" s="106">
        <v>200059</v>
      </c>
      <c r="E556" s="106" t="s">
        <v>1044</v>
      </c>
      <c r="F556" s="106" t="s">
        <v>1045</v>
      </c>
      <c r="G556" s="106" t="s">
        <v>382</v>
      </c>
      <c r="H556" s="106">
        <v>3</v>
      </c>
      <c r="I556" s="104" t="s">
        <v>26</v>
      </c>
      <c r="J556" s="106">
        <v>6554</v>
      </c>
      <c r="K556" s="106">
        <v>11502</v>
      </c>
      <c r="L556" s="106">
        <v>8705</v>
      </c>
      <c r="M556" s="106">
        <v>0.27</v>
      </c>
      <c r="N556" s="106">
        <v>0.54</v>
      </c>
      <c r="O556" s="106">
        <v>0.59</v>
      </c>
      <c r="P556" s="106">
        <v>2871</v>
      </c>
      <c r="Q556" s="106">
        <v>822.61293179805136</v>
      </c>
      <c r="R556" s="106">
        <v>0.1041772295024153</v>
      </c>
      <c r="S556" s="106">
        <v>24777.031886625333</v>
      </c>
      <c r="T556" s="106">
        <v>25960.991142604074</v>
      </c>
      <c r="U556" s="106">
        <v>22047.600776184485</v>
      </c>
      <c r="V556" s="106">
        <v>0.32083629310416617</v>
      </c>
      <c r="W556" s="106">
        <v>78443.343618513332</v>
      </c>
      <c r="X556" s="110">
        <v>0.63607622241982664</v>
      </c>
      <c r="Y556" s="106">
        <v>322.38095238095241</v>
      </c>
      <c r="Z556" s="106">
        <v>10.752380952380953</v>
      </c>
      <c r="AA556" s="106">
        <v>91178.539473671364</v>
      </c>
      <c r="AB556" s="106">
        <v>735.35424745383409</v>
      </c>
      <c r="AC556" s="106">
        <v>1.0967493072081496</v>
      </c>
      <c r="AD556" s="106">
        <v>24.266666666666666</v>
      </c>
      <c r="AE556" s="106">
        <v>123.99267399267399</v>
      </c>
      <c r="AF556" s="106">
        <v>4.8897748727381563E-2</v>
      </c>
      <c r="AG556" s="106">
        <v>5344</v>
      </c>
      <c r="AH556" s="106">
        <v>23837.867139061116</v>
      </c>
      <c r="AI556" s="106">
        <v>24668.818423383524</v>
      </c>
      <c r="AJ556" s="106">
        <v>24926.443755535871</v>
      </c>
      <c r="AK556" s="104">
        <v>22989.260407440212</v>
      </c>
      <c r="AL556" s="119">
        <v>14324670</v>
      </c>
      <c r="AM556" s="118">
        <v>1425</v>
      </c>
      <c r="AN556" s="118">
        <v>33850</v>
      </c>
      <c r="AO556" s="118">
        <v>272</v>
      </c>
      <c r="AP556" s="118">
        <f t="shared" si="8"/>
        <v>1210</v>
      </c>
    </row>
    <row r="557" spans="1:42" ht="12.75">
      <c r="A557" s="106">
        <v>2018</v>
      </c>
      <c r="B557" s="106">
        <v>-158802</v>
      </c>
      <c r="C557" s="106">
        <v>0</v>
      </c>
      <c r="D557" s="106">
        <v>158802</v>
      </c>
      <c r="E557" s="106" t="s">
        <v>1046</v>
      </c>
      <c r="F557" s="106" t="s">
        <v>1031</v>
      </c>
      <c r="G557" s="106" t="s">
        <v>306</v>
      </c>
      <c r="H557" s="106">
        <v>7</v>
      </c>
      <c r="I557" s="106" t="s">
        <v>3641</v>
      </c>
      <c r="J557" s="106">
        <v>17918</v>
      </c>
      <c r="K557" s="106">
        <v>17590</v>
      </c>
      <c r="L557" s="106">
        <v>16608</v>
      </c>
      <c r="M557" s="106">
        <v>0.82</v>
      </c>
      <c r="N557" s="106">
        <v>0.92</v>
      </c>
      <c r="O557" s="106">
        <v>0.99</v>
      </c>
      <c r="P557" s="106">
        <v>8553</v>
      </c>
      <c r="Q557" s="106">
        <v>6516.9493769470409</v>
      </c>
      <c r="R557" s="106">
        <v>0.36885703184929119</v>
      </c>
      <c r="S557" s="106">
        <v>28501.482087227414</v>
      </c>
      <c r="T557" s="106">
        <v>35681.135514018693</v>
      </c>
      <c r="U557" s="106">
        <v>28708.579439252335</v>
      </c>
      <c r="V557" s="106">
        <v>0.38842066272589498</v>
      </c>
      <c r="W557" s="106">
        <v>56078.483985765124</v>
      </c>
      <c r="X557" s="110">
        <v>0.34395283527439674</v>
      </c>
      <c r="Y557" s="106">
        <v>436.00754716981135</v>
      </c>
      <c r="Z557" s="106">
        <v>14.535849056603775</v>
      </c>
      <c r="AA557" s="106">
        <v>167553.70909090908</v>
      </c>
      <c r="AB557" s="106">
        <v>957.10172924131484</v>
      </c>
      <c r="AC557" s="106">
        <v>0.59682355313151148</v>
      </c>
      <c r="AD557" s="106">
        <v>17.813765182186234</v>
      </c>
      <c r="AE557" s="106">
        <v>175.06363636363636</v>
      </c>
      <c r="AF557" s="106">
        <v>1.3753269259223615</v>
      </c>
      <c r="AG557" s="106">
        <v>16580</v>
      </c>
      <c r="AH557" s="106">
        <v>20923.980529595017</v>
      </c>
      <c r="AI557" s="106">
        <v>23653.836448598129</v>
      </c>
      <c r="AJ557" s="106">
        <v>158276.36915887852</v>
      </c>
      <c r="AK557" s="104">
        <v>31299.718847352025</v>
      </c>
      <c r="AL557" s="118"/>
      <c r="AM557" s="118">
        <v>1290</v>
      </c>
      <c r="AN557" s="118">
        <v>38514</v>
      </c>
      <c r="AO557" s="118">
        <v>220</v>
      </c>
      <c r="AP557" s="118">
        <f t="shared" si="8"/>
        <v>1338</v>
      </c>
    </row>
    <row r="558" spans="1:42" ht="12.75">
      <c r="A558" s="106">
        <v>2018</v>
      </c>
      <c r="B558" s="106">
        <v>-230171</v>
      </c>
      <c r="C558" s="106">
        <v>0</v>
      </c>
      <c r="D558" s="106">
        <v>230171</v>
      </c>
      <c r="E558" s="106" t="s">
        <v>1047</v>
      </c>
      <c r="F558" s="106" t="s">
        <v>1048</v>
      </c>
      <c r="G558" s="106" t="s">
        <v>458</v>
      </c>
      <c r="H558" s="106">
        <v>3</v>
      </c>
      <c r="I558" s="104" t="s">
        <v>26</v>
      </c>
      <c r="J558" s="106">
        <v>5080</v>
      </c>
      <c r="K558" s="106">
        <v>14458</v>
      </c>
      <c r="L558" s="106">
        <v>11669</v>
      </c>
      <c r="M558" s="106">
        <v>0.43</v>
      </c>
      <c r="N558" s="106">
        <v>0.31</v>
      </c>
      <c r="O558" s="106">
        <v>0.63</v>
      </c>
      <c r="P558" s="106">
        <v>3508</v>
      </c>
      <c r="Q558" s="106">
        <v>2023.3892552899149</v>
      </c>
      <c r="R558" s="106">
        <v>0.26032109686298643</v>
      </c>
      <c r="S558" s="106">
        <v>15403.207611981314</v>
      </c>
      <c r="T558" s="106">
        <v>15425.99505358615</v>
      </c>
      <c r="U558" s="106">
        <v>8522.3730561721404</v>
      </c>
      <c r="V558" s="106">
        <v>0.67460998516305304</v>
      </c>
      <c r="W558" s="106">
        <v>78082.605543710029</v>
      </c>
      <c r="X558" s="110">
        <v>0.54363905668023316</v>
      </c>
      <c r="Y558" s="106">
        <v>713.51633986928107</v>
      </c>
      <c r="Z558" s="106">
        <v>23.784313725490197</v>
      </c>
      <c r="AA558" s="106">
        <v>30494.508900108576</v>
      </c>
      <c r="AB558" s="106">
        <v>284.08430631146877</v>
      </c>
      <c r="AC558" s="106">
        <v>3.2792789130519151</v>
      </c>
      <c r="AD558" s="106">
        <v>27.069470322065474</v>
      </c>
      <c r="AE558" s="106">
        <v>107.34316617502458</v>
      </c>
      <c r="AF558" s="106">
        <v>4.4988485337458632E-2</v>
      </c>
      <c r="AG558" s="106">
        <v>4308</v>
      </c>
      <c r="AH558" s="106">
        <v>12805.215993404781</v>
      </c>
      <c r="AI558" s="106">
        <v>12995.817257488321</v>
      </c>
      <c r="AJ558" s="106">
        <v>15586.963176696894</v>
      </c>
      <c r="AK558" s="104">
        <v>12389.997938994229</v>
      </c>
      <c r="AL558" s="119">
        <v>37131561</v>
      </c>
      <c r="AM558" s="118">
        <v>9673</v>
      </c>
      <c r="AN558" s="118">
        <v>218336</v>
      </c>
      <c r="AO558" s="118">
        <v>1644</v>
      </c>
      <c r="AP558" s="118">
        <f t="shared" si="8"/>
        <v>772</v>
      </c>
    </row>
    <row r="559" spans="1:42" ht="12.75">
      <c r="A559" s="106">
        <v>2018</v>
      </c>
      <c r="B559" s="106">
        <v>-181020</v>
      </c>
      <c r="C559" s="106">
        <v>0</v>
      </c>
      <c r="D559" s="106">
        <v>181020</v>
      </c>
      <c r="E559" s="106" t="s">
        <v>1049</v>
      </c>
      <c r="F559" s="106" t="s">
        <v>1050</v>
      </c>
      <c r="G559" s="106" t="s">
        <v>323</v>
      </c>
      <c r="H559" s="106">
        <v>7</v>
      </c>
      <c r="I559" s="106" t="s">
        <v>3641</v>
      </c>
      <c r="J559" s="106">
        <v>32250</v>
      </c>
      <c r="K559" s="106">
        <v>24846</v>
      </c>
      <c r="L559" s="106">
        <v>20072</v>
      </c>
      <c r="M559" s="106">
        <v>0.28000000000000003</v>
      </c>
      <c r="N559" s="106">
        <v>0.94</v>
      </c>
      <c r="O559" s="106">
        <v>1</v>
      </c>
      <c r="P559" s="106">
        <v>20106</v>
      </c>
      <c r="Q559" s="106">
        <v>17771.461111111112</v>
      </c>
      <c r="R559" s="106">
        <v>0.57449454646810505</v>
      </c>
      <c r="S559" s="106">
        <v>24030.713888888888</v>
      </c>
      <c r="T559" s="106">
        <v>31030.000925925928</v>
      </c>
      <c r="U559" s="106">
        <v>26274.202777777777</v>
      </c>
      <c r="V559" s="106">
        <v>0.50097125616702121</v>
      </c>
      <c r="W559" s="106">
        <v>61908.460264900663</v>
      </c>
      <c r="X559" s="110">
        <v>0.55789362868986914</v>
      </c>
      <c r="Y559" s="106">
        <v>303.81210191082801</v>
      </c>
      <c r="Z559" s="106">
        <v>10.318471337579618</v>
      </c>
      <c r="AA559" s="106">
        <v>125005.01762114538</v>
      </c>
      <c r="AB559" s="106">
        <v>892.35947671310419</v>
      </c>
      <c r="AC559" s="106">
        <v>0.79996788851365574</v>
      </c>
      <c r="AD559" s="106">
        <v>21.314553990610328</v>
      </c>
      <c r="AE559" s="106">
        <v>140.08370044052865</v>
      </c>
      <c r="AF559" s="106">
        <v>-4.0265408746942961E-4</v>
      </c>
      <c r="AG559" s="106">
        <v>31450</v>
      </c>
      <c r="AH559" s="106">
        <v>22969.096296296295</v>
      </c>
      <c r="AI559" s="106">
        <v>24605.728703703702</v>
      </c>
      <c r="AJ559" s="106">
        <v>30759.72685185185</v>
      </c>
      <c r="AK559" s="104">
        <v>26274.202777777777</v>
      </c>
      <c r="AM559" s="118">
        <v>1069</v>
      </c>
      <c r="AN559" s="118">
        <v>31799</v>
      </c>
      <c r="AO559" s="118">
        <v>227</v>
      </c>
      <c r="AP559" s="118">
        <f t="shared" si="8"/>
        <v>800</v>
      </c>
    </row>
    <row r="560" spans="1:42" ht="12.75">
      <c r="A560" s="106">
        <v>2018</v>
      </c>
      <c r="B560" s="106">
        <v>-448284</v>
      </c>
      <c r="C560" s="106">
        <v>0</v>
      </c>
      <c r="D560" s="106">
        <v>448284</v>
      </c>
      <c r="E560" s="106" t="s">
        <v>1051</v>
      </c>
      <c r="F560" s="106" t="s">
        <v>1052</v>
      </c>
      <c r="G560" s="106" t="s">
        <v>323</v>
      </c>
      <c r="H560" s="106">
        <v>6</v>
      </c>
      <c r="I560" s="106" t="s">
        <v>3640</v>
      </c>
      <c r="J560" s="106">
        <v>10780</v>
      </c>
      <c r="K560" s="106"/>
      <c r="L560" s="106"/>
      <c r="M560" s="106">
        <v>0</v>
      </c>
      <c r="N560" s="106">
        <v>0</v>
      </c>
      <c r="O560" s="106">
        <v>0</v>
      </c>
      <c r="P560" s="106"/>
      <c r="Q560" s="106"/>
      <c r="R560" s="106"/>
      <c r="S560" s="106">
        <v>10297.765782250686</v>
      </c>
      <c r="T560" s="106">
        <v>10091.892040256176</v>
      </c>
      <c r="U560" s="106">
        <v>9907.1665141811536</v>
      </c>
      <c r="V560" s="106">
        <v>1.0290753142646376</v>
      </c>
      <c r="W560" s="106">
        <v>69995.821316614412</v>
      </c>
      <c r="X560" s="110">
        <v>0.67475915280970711</v>
      </c>
      <c r="Y560" s="106">
        <v>486.26815642458104</v>
      </c>
      <c r="Z560" s="106">
        <v>18.318435754189945</v>
      </c>
      <c r="AA560" s="106">
        <v>21485.184523809523</v>
      </c>
      <c r="AB560" s="106">
        <v>373.21751568208452</v>
      </c>
      <c r="AC560" s="106">
        <v>4.6543700794927618</v>
      </c>
      <c r="AD560" s="106">
        <v>44.879786286731964</v>
      </c>
      <c r="AE560" s="106">
        <v>57.567460317460316</v>
      </c>
      <c r="AF560" s="106"/>
      <c r="AG560" s="106">
        <v>10675</v>
      </c>
      <c r="AH560" s="106">
        <v>10401.069533394328</v>
      </c>
      <c r="AI560" s="106">
        <v>10406.371454711802</v>
      </c>
      <c r="AJ560" s="106">
        <v>10297.765782250686</v>
      </c>
      <c r="AK560" s="104">
        <v>9907.1665141811536</v>
      </c>
      <c r="AM560" s="118">
        <v>598</v>
      </c>
      <c r="AN560" s="118">
        <v>29014</v>
      </c>
      <c r="AO560" s="118">
        <v>176</v>
      </c>
      <c r="AP560" s="118">
        <f t="shared" si="8"/>
        <v>105</v>
      </c>
    </row>
    <row r="561" spans="1:42" ht="12.75">
      <c r="A561" s="106">
        <v>2018</v>
      </c>
      <c r="B561" s="106">
        <v>-154998</v>
      </c>
      <c r="C561" s="106">
        <v>0</v>
      </c>
      <c r="D561" s="106">
        <v>154998</v>
      </c>
      <c r="E561" s="106" t="s">
        <v>1053</v>
      </c>
      <c r="F561" s="106" t="s">
        <v>1054</v>
      </c>
      <c r="G561" s="106" t="s">
        <v>129</v>
      </c>
      <c r="H561" s="106">
        <v>4</v>
      </c>
      <c r="I561" s="106" t="s">
        <v>24</v>
      </c>
      <c r="J561" s="106">
        <v>2130</v>
      </c>
      <c r="K561" s="106">
        <v>5113</v>
      </c>
      <c r="L561" s="106">
        <v>2829</v>
      </c>
      <c r="M561" s="106">
        <v>0.55000000000000004</v>
      </c>
      <c r="N561" s="106">
        <v>0.28000000000000003</v>
      </c>
      <c r="O561" s="106">
        <v>0.68</v>
      </c>
      <c r="P561" s="106">
        <v>2495</v>
      </c>
      <c r="Q561" s="106">
        <v>995.6047765793528</v>
      </c>
      <c r="R561" s="106">
        <v>0.30905664059417165</v>
      </c>
      <c r="S561" s="106">
        <v>23086.050077041604</v>
      </c>
      <c r="T561" s="106">
        <v>23911.070107858242</v>
      </c>
      <c r="U561" s="106">
        <v>17879.983085916712</v>
      </c>
      <c r="V561" s="106">
        <v>0.12448706722478056</v>
      </c>
      <c r="W561" s="106">
        <v>47170.284076433119</v>
      </c>
      <c r="X561" s="110">
        <v>0.39768864271047488</v>
      </c>
      <c r="Y561" s="106">
        <v>467.28</v>
      </c>
      <c r="Z561" s="106">
        <v>15.575999999999999</v>
      </c>
      <c r="AA561" s="106">
        <v>86275.903514943842</v>
      </c>
      <c r="AB561" s="106">
        <v>595.99943619722376</v>
      </c>
      <c r="AC561" s="106">
        <v>1.1590721850009835</v>
      </c>
      <c r="AD561" s="106">
        <v>22.085385878489326</v>
      </c>
      <c r="AE561" s="106">
        <v>144.75836431226764</v>
      </c>
      <c r="AF561" s="106">
        <v>-3.8938820447031522E-2</v>
      </c>
      <c r="AG561" s="106">
        <v>930</v>
      </c>
      <c r="AH561" s="106">
        <v>20879.929121725731</v>
      </c>
      <c r="AI561" s="106">
        <v>21203.168721109399</v>
      </c>
      <c r="AJ561" s="106">
        <v>23218.262711864405</v>
      </c>
      <c r="AK561" s="104">
        <v>21168.659476117104</v>
      </c>
      <c r="AL561" s="119">
        <v>15667531</v>
      </c>
      <c r="AM561" s="118">
        <v>1773</v>
      </c>
      <c r="AN561" s="118">
        <v>38940</v>
      </c>
      <c r="AO561" s="118">
        <v>199</v>
      </c>
      <c r="AP561" s="118">
        <f t="shared" si="8"/>
        <v>1200</v>
      </c>
    </row>
    <row r="562" spans="1:42" ht="12.75">
      <c r="A562" s="106">
        <v>2018</v>
      </c>
      <c r="B562" s="106">
        <v>-190761</v>
      </c>
      <c r="C562" s="106">
        <v>0</v>
      </c>
      <c r="D562" s="106">
        <v>190761</v>
      </c>
      <c r="E562" s="106" t="s">
        <v>1055</v>
      </c>
      <c r="F562" s="106" t="s">
        <v>749</v>
      </c>
      <c r="G562" s="106" t="s">
        <v>69</v>
      </c>
      <c r="H562" s="106">
        <v>6</v>
      </c>
      <c r="I562" s="106" t="s">
        <v>3640</v>
      </c>
      <c r="J562" s="106">
        <v>28448</v>
      </c>
      <c r="K562" s="106">
        <v>20210</v>
      </c>
      <c r="L562" s="106">
        <v>15985</v>
      </c>
      <c r="M562" s="106">
        <v>0.55000000000000004</v>
      </c>
      <c r="N562" s="106">
        <v>0.76</v>
      </c>
      <c r="O562" s="106">
        <v>1</v>
      </c>
      <c r="P562" s="106">
        <v>17238</v>
      </c>
      <c r="Q562" s="106">
        <v>8943.4997327632282</v>
      </c>
      <c r="R562" s="106">
        <v>0.35028227559696584</v>
      </c>
      <c r="S562" s="106">
        <v>21487.118653126669</v>
      </c>
      <c r="T562" s="106">
        <v>21051.990913949758</v>
      </c>
      <c r="U562" s="106">
        <v>17016.292357028327</v>
      </c>
      <c r="V562" s="106">
        <v>0.97487540079723012</v>
      </c>
      <c r="W562" s="106">
        <v>73642.713325867851</v>
      </c>
      <c r="X562" s="110">
        <v>0.55653569494982957</v>
      </c>
      <c r="Y562" s="106">
        <v>363.42966751918158</v>
      </c>
      <c r="Z562" s="106">
        <v>14.355498721227621</v>
      </c>
      <c r="AA562" s="106">
        <v>52886.184385382061</v>
      </c>
      <c r="AB562" s="106">
        <v>672.14480545527476</v>
      </c>
      <c r="AC562" s="106">
        <v>1.8908529923675186</v>
      </c>
      <c r="AD562" s="106">
        <v>36.662606577344704</v>
      </c>
      <c r="AE562" s="106">
        <v>78.682724252491695</v>
      </c>
      <c r="AF562" s="106">
        <v>4.9408304406231833E-2</v>
      </c>
      <c r="AG562" s="106">
        <v>27588</v>
      </c>
      <c r="AH562" s="106">
        <v>20951.576162479956</v>
      </c>
      <c r="AI562" s="106">
        <v>21487.118653126669</v>
      </c>
      <c r="AJ562" s="106">
        <v>21691.352752538751</v>
      </c>
      <c r="AK562" s="104">
        <v>17016.292357028327</v>
      </c>
      <c r="AL562" s="118">
        <v>203980</v>
      </c>
      <c r="AM562" s="118">
        <v>1425</v>
      </c>
      <c r="AN562" s="118">
        <v>47367</v>
      </c>
      <c r="AO562" s="118">
        <v>381</v>
      </c>
      <c r="AP562" s="118">
        <f t="shared" si="8"/>
        <v>860</v>
      </c>
    </row>
    <row r="563" spans="1:42" ht="12.75">
      <c r="A563" s="106">
        <v>2018</v>
      </c>
      <c r="B563" s="106">
        <v>-148496</v>
      </c>
      <c r="C563" s="106">
        <v>0</v>
      </c>
      <c r="D563" s="106">
        <v>148496</v>
      </c>
      <c r="E563" s="106" t="s">
        <v>1056</v>
      </c>
      <c r="F563" s="106" t="s">
        <v>1057</v>
      </c>
      <c r="G563" s="106" t="s">
        <v>243</v>
      </c>
      <c r="H563" s="106">
        <v>6</v>
      </c>
      <c r="I563" s="106" t="s">
        <v>3640</v>
      </c>
      <c r="J563" s="106">
        <v>32530</v>
      </c>
      <c r="K563" s="106">
        <v>18037</v>
      </c>
      <c r="L563" s="106">
        <v>15162</v>
      </c>
      <c r="M563" s="106">
        <v>0.55000000000000004</v>
      </c>
      <c r="N563" s="106">
        <v>0.72</v>
      </c>
      <c r="O563" s="106">
        <v>1</v>
      </c>
      <c r="P563" s="106">
        <v>17492</v>
      </c>
      <c r="Q563" s="106">
        <v>9889.007901064926</v>
      </c>
      <c r="R563" s="106">
        <v>0.3358064482826621</v>
      </c>
      <c r="S563" s="106">
        <v>24710.802816901407</v>
      </c>
      <c r="T563" s="106">
        <v>24888.636207488835</v>
      </c>
      <c r="U563" s="106">
        <v>21451.418372993277</v>
      </c>
      <c r="V563" s="106">
        <v>0.91180576624728005</v>
      </c>
      <c r="W563" s="106">
        <v>88695.101971447992</v>
      </c>
      <c r="X563" s="110">
        <v>0.60027153591912419</v>
      </c>
      <c r="Y563" s="106">
        <v>351.97585227272725</v>
      </c>
      <c r="Z563" s="106">
        <v>12.404829545454545</v>
      </c>
      <c r="AA563" s="106">
        <v>59870.641307558421</v>
      </c>
      <c r="AB563" s="106">
        <v>756.02114948222606</v>
      </c>
      <c r="AC563" s="106">
        <v>1.6702677274875861</v>
      </c>
      <c r="AD563" s="106">
        <v>39.537528430629266</v>
      </c>
      <c r="AE563" s="106">
        <v>79.191754554170657</v>
      </c>
      <c r="AF563" s="106">
        <v>3.5449810378122046E-2</v>
      </c>
      <c r="AG563" s="106">
        <v>32160</v>
      </c>
      <c r="AH563" s="106">
        <v>24932.960151150808</v>
      </c>
      <c r="AI563" s="106">
        <v>26538.272758502233</v>
      </c>
      <c r="AJ563" s="106">
        <v>26025.206801786328</v>
      </c>
      <c r="AK563" s="104">
        <v>23294.511851597388</v>
      </c>
      <c r="AL563" s="118"/>
      <c r="AM563" s="118">
        <v>2171</v>
      </c>
      <c r="AN563" s="118">
        <v>82597</v>
      </c>
      <c r="AO563" s="118">
        <v>553</v>
      </c>
      <c r="AP563" s="118">
        <f t="shared" si="8"/>
        <v>370</v>
      </c>
    </row>
    <row r="564" spans="1:42" ht="12.75">
      <c r="A564" s="106">
        <v>2018</v>
      </c>
      <c r="B564" s="106">
        <v>-113698</v>
      </c>
      <c r="C564" s="106">
        <v>0</v>
      </c>
      <c r="D564" s="106">
        <v>113698</v>
      </c>
      <c r="E564" s="106" t="s">
        <v>1058</v>
      </c>
      <c r="F564" s="106" t="s">
        <v>1059</v>
      </c>
      <c r="G564" s="106" t="s">
        <v>121</v>
      </c>
      <c r="H564" s="106">
        <v>6</v>
      </c>
      <c r="I564" s="106" t="s">
        <v>3640</v>
      </c>
      <c r="J564" s="106">
        <v>44690</v>
      </c>
      <c r="K564" s="106">
        <v>35801</v>
      </c>
      <c r="L564" s="106">
        <v>26544</v>
      </c>
      <c r="M564" s="106">
        <v>0.24</v>
      </c>
      <c r="N564" s="106">
        <v>0.66</v>
      </c>
      <c r="O564" s="106">
        <v>0.98</v>
      </c>
      <c r="P564" s="106">
        <v>24487</v>
      </c>
      <c r="Q564" s="106">
        <v>14685.796951219512</v>
      </c>
      <c r="R564" s="106">
        <v>0.37217430350019315</v>
      </c>
      <c r="S564" s="106">
        <v>33132.278048780485</v>
      </c>
      <c r="T564" s="106">
        <v>35271.543902439022</v>
      </c>
      <c r="U564" s="106">
        <v>33379.796951219512</v>
      </c>
      <c r="V564" s="106">
        <v>0.74217535957698377</v>
      </c>
      <c r="W564" s="106">
        <v>94537.07917383821</v>
      </c>
      <c r="X564" s="110">
        <v>0.63302190053987417</v>
      </c>
      <c r="Y564" s="106">
        <v>261.69962686567163</v>
      </c>
      <c r="Z564" s="106">
        <v>9.1791044776119399</v>
      </c>
      <c r="AA564" s="106">
        <v>114285.73486430063</v>
      </c>
      <c r="AB564" s="106">
        <v>1170.7951108924867</v>
      </c>
      <c r="AC564" s="106">
        <v>0.87499984244522677</v>
      </c>
      <c r="AD564" s="106">
        <v>31.266318537859007</v>
      </c>
      <c r="AE564" s="106">
        <v>97.613778705636747</v>
      </c>
      <c r="AF564" s="106">
        <v>-1.2178258563209844E-2</v>
      </c>
      <c r="AG564" s="106">
        <v>44240</v>
      </c>
      <c r="AH564" s="106">
        <v>31368.59756097561</v>
      </c>
      <c r="AI564" s="106">
        <v>33132.278048780485</v>
      </c>
      <c r="AJ564" s="106">
        <v>34478.868292682928</v>
      </c>
      <c r="AK564" s="104">
        <v>33379.796951219512</v>
      </c>
      <c r="AL564" s="118"/>
      <c r="AM564" s="118">
        <v>1302</v>
      </c>
      <c r="AN564" s="118">
        <v>46757</v>
      </c>
      <c r="AO564" s="118">
        <v>345</v>
      </c>
      <c r="AP564" s="118">
        <f t="shared" si="8"/>
        <v>450</v>
      </c>
    </row>
    <row r="565" spans="1:42" ht="12.75">
      <c r="A565" s="106">
        <v>2018</v>
      </c>
      <c r="B565" s="106">
        <v>-155007</v>
      </c>
      <c r="C565" s="106">
        <v>0</v>
      </c>
      <c r="D565" s="106">
        <v>155007</v>
      </c>
      <c r="E565" s="106" t="s">
        <v>1060</v>
      </c>
      <c r="F565" s="106" t="s">
        <v>263</v>
      </c>
      <c r="G565" s="106" t="s">
        <v>129</v>
      </c>
      <c r="H565" s="106">
        <v>7</v>
      </c>
      <c r="I565" s="106" t="s">
        <v>3641</v>
      </c>
      <c r="J565" s="106">
        <v>8422</v>
      </c>
      <c r="K565" s="106">
        <v>12029</v>
      </c>
      <c r="L565" s="106">
        <v>9744</v>
      </c>
      <c r="M565" s="106">
        <v>0.7</v>
      </c>
      <c r="N565" s="106">
        <v>0.24</v>
      </c>
      <c r="O565" s="106">
        <v>0.74</v>
      </c>
      <c r="P565" s="106">
        <v>3305</v>
      </c>
      <c r="Q565" s="106">
        <v>1703.5750798722045</v>
      </c>
      <c r="R565" s="106">
        <v>0.22925256524135582</v>
      </c>
      <c r="S565" s="106">
        <v>23172.888178913738</v>
      </c>
      <c r="T565" s="106">
        <v>18068.124600638977</v>
      </c>
      <c r="U565" s="106">
        <v>17847.207667731629</v>
      </c>
      <c r="V565" s="106">
        <v>0.32091416382154803</v>
      </c>
      <c r="W565" s="106">
        <v>57697.962765957447</v>
      </c>
      <c r="X565" s="110">
        <v>0.63935145702553153</v>
      </c>
      <c r="Y565" s="106">
        <v>356.88607594936707</v>
      </c>
      <c r="Z565" s="106">
        <v>11.886075949367088</v>
      </c>
      <c r="AA565" s="106">
        <v>62766.02247191011</v>
      </c>
      <c r="AB565" s="106">
        <v>594.40051074696748</v>
      </c>
      <c r="AC565" s="106">
        <v>1.5932186884194124</v>
      </c>
      <c r="AD565" s="106">
        <v>32.36363636363636</v>
      </c>
      <c r="AE565" s="106">
        <v>105.59550561797752</v>
      </c>
      <c r="AF565" s="106">
        <v>0.15261089638407915</v>
      </c>
      <c r="AG565" s="106">
        <v>8227</v>
      </c>
      <c r="AH565" s="106">
        <v>9255.3354632587852</v>
      </c>
      <c r="AI565" s="106">
        <v>23172.888178913738</v>
      </c>
      <c r="AJ565" s="106">
        <v>24619.392971246005</v>
      </c>
      <c r="AK565" s="104">
        <v>17847.207667731629</v>
      </c>
      <c r="AL565" s="118"/>
      <c r="AM565" s="118">
        <v>360</v>
      </c>
      <c r="AN565" s="118">
        <v>9398</v>
      </c>
      <c r="AO565" s="118">
        <v>52</v>
      </c>
      <c r="AP565" s="118">
        <f t="shared" si="8"/>
        <v>195</v>
      </c>
    </row>
    <row r="566" spans="1:42" ht="12.75">
      <c r="A566" s="106">
        <v>2018</v>
      </c>
      <c r="B566" s="106">
        <v>-153250</v>
      </c>
      <c r="C566" s="106">
        <v>0</v>
      </c>
      <c r="D566" s="106">
        <v>153250</v>
      </c>
      <c r="E566" s="106" t="s">
        <v>1061</v>
      </c>
      <c r="F566" s="106" t="s">
        <v>1062</v>
      </c>
      <c r="G566" s="106" t="s">
        <v>447</v>
      </c>
      <c r="H566" s="106">
        <v>7</v>
      </c>
      <c r="I566" s="106" t="s">
        <v>3641</v>
      </c>
      <c r="J566" s="106">
        <v>30000</v>
      </c>
      <c r="K566" s="106">
        <v>26273</v>
      </c>
      <c r="L566" s="106">
        <v>23225</v>
      </c>
      <c r="M566" s="106">
        <v>0.27</v>
      </c>
      <c r="N566" s="106">
        <v>0.66</v>
      </c>
      <c r="O566" s="106">
        <v>0.98</v>
      </c>
      <c r="P566" s="106">
        <v>15301</v>
      </c>
      <c r="Q566" s="106">
        <v>12972.949367088608</v>
      </c>
      <c r="R566" s="106">
        <v>0.48291497427498503</v>
      </c>
      <c r="S566" s="106">
        <v>28732.724850099934</v>
      </c>
      <c r="T566" s="106">
        <v>26277.6508994004</v>
      </c>
      <c r="U566" s="106">
        <v>19989.582904628172</v>
      </c>
      <c r="V566" s="106">
        <v>0.69490634901645576</v>
      </c>
      <c r="W566" s="106">
        <v>88530.292286874144</v>
      </c>
      <c r="X566" s="110">
        <v>0.55290160519724363</v>
      </c>
      <c r="Y566" s="106">
        <v>431.05466237942119</v>
      </c>
      <c r="Z566" s="106">
        <v>14.47909967845659</v>
      </c>
      <c r="AA566" s="106">
        <v>98698.565591601597</v>
      </c>
      <c r="AB566" s="106">
        <v>671.44886407033266</v>
      </c>
      <c r="AC566" s="106">
        <v>1.0131859505819318</v>
      </c>
      <c r="AD566" s="106">
        <v>21.45377558221595</v>
      </c>
      <c r="AE566" s="106">
        <v>146.99342105263159</v>
      </c>
      <c r="AF566" s="106">
        <v>5.8170363405886494E-2</v>
      </c>
      <c r="AG566" s="106">
        <v>29480</v>
      </c>
      <c r="AH566" s="106">
        <v>22576.199866755498</v>
      </c>
      <c r="AI566" s="106">
        <v>27814.738840772818</v>
      </c>
      <c r="AJ566" s="106">
        <v>31067.988674217188</v>
      </c>
      <c r="AK566" s="104">
        <v>21213.502998001331</v>
      </c>
      <c r="AM566" s="118">
        <v>1448</v>
      </c>
      <c r="AN566" s="118">
        <v>44686</v>
      </c>
      <c r="AO566" s="118">
        <v>277</v>
      </c>
      <c r="AP566" s="118">
        <f t="shared" si="8"/>
        <v>520</v>
      </c>
    </row>
    <row r="567" spans="1:42" ht="12.75">
      <c r="A567" s="106">
        <v>2018</v>
      </c>
      <c r="B567" s="106">
        <v>-153269</v>
      </c>
      <c r="C567" s="106">
        <v>0</v>
      </c>
      <c r="D567" s="106">
        <v>153269</v>
      </c>
      <c r="E567" s="106" t="s">
        <v>1063</v>
      </c>
      <c r="F567" s="106" t="s">
        <v>1064</v>
      </c>
      <c r="G567" s="106" t="s">
        <v>447</v>
      </c>
      <c r="H567" s="106">
        <v>6</v>
      </c>
      <c r="I567" s="106" t="s">
        <v>3640</v>
      </c>
      <c r="J567" s="106">
        <v>39062</v>
      </c>
      <c r="K567" s="106">
        <v>29511</v>
      </c>
      <c r="L567" s="106">
        <v>22298</v>
      </c>
      <c r="M567" s="106">
        <v>0.18</v>
      </c>
      <c r="N567" s="106">
        <v>0.56000000000000005</v>
      </c>
      <c r="O567" s="106">
        <v>1</v>
      </c>
      <c r="P567" s="106">
        <v>22437</v>
      </c>
      <c r="Q567" s="106">
        <v>15281.60096969697</v>
      </c>
      <c r="R567" s="106">
        <v>0.41934488692954042</v>
      </c>
      <c r="S567" s="106">
        <v>34227.681939393937</v>
      </c>
      <c r="T567" s="106">
        <v>36287.512727272726</v>
      </c>
      <c r="U567" s="106">
        <v>28035.572662943832</v>
      </c>
      <c r="V567" s="106">
        <v>0.75475556930673848</v>
      </c>
      <c r="W567" s="106">
        <v>83311.870512427136</v>
      </c>
      <c r="X567" s="110">
        <v>0.60462880995075086</v>
      </c>
      <c r="Y567" s="106">
        <v>256.39503985828168</v>
      </c>
      <c r="Z567" s="106">
        <v>10.96102745792737</v>
      </c>
      <c r="AA567" s="106">
        <v>78993.672974483139</v>
      </c>
      <c r="AB567" s="106">
        <v>1198.5359854352089</v>
      </c>
      <c r="AC567" s="106">
        <v>1.2659241713232201</v>
      </c>
      <c r="AD567" s="106">
        <v>34.495758718190388</v>
      </c>
      <c r="AE567" s="106">
        <v>65.908469945355193</v>
      </c>
      <c r="AF567" s="106">
        <v>2.4976970390538446E-2</v>
      </c>
      <c r="AG567" s="106">
        <v>38916</v>
      </c>
      <c r="AH567" s="106">
        <v>30079.227393939393</v>
      </c>
      <c r="AI567" s="106">
        <v>34227.681939393937</v>
      </c>
      <c r="AJ567" s="106">
        <v>37956.227878787882</v>
      </c>
      <c r="AK567" s="104">
        <v>32953.306424242423</v>
      </c>
      <c r="AL567" s="118"/>
      <c r="AM567" s="118">
        <v>3098</v>
      </c>
      <c r="AN567" s="118">
        <v>96490</v>
      </c>
      <c r="AO567" s="118">
        <v>844</v>
      </c>
      <c r="AP567" s="118">
        <f t="shared" si="8"/>
        <v>146</v>
      </c>
    </row>
    <row r="568" spans="1:42" ht="12.75">
      <c r="A568" s="106">
        <v>2018</v>
      </c>
      <c r="B568" s="106">
        <v>-184348</v>
      </c>
      <c r="C568" s="106">
        <v>0</v>
      </c>
      <c r="D568" s="106">
        <v>184348</v>
      </c>
      <c r="E568" s="106" t="s">
        <v>1065</v>
      </c>
      <c r="F568" s="106" t="s">
        <v>988</v>
      </c>
      <c r="G568" s="106" t="s">
        <v>234</v>
      </c>
      <c r="H568" s="106">
        <v>7</v>
      </c>
      <c r="I568" s="106" t="s">
        <v>3641</v>
      </c>
      <c r="J568" s="106">
        <v>49168</v>
      </c>
      <c r="K568" s="106">
        <v>28993</v>
      </c>
      <c r="L568" s="106">
        <v>18856</v>
      </c>
      <c r="M568" s="106">
        <v>0.33</v>
      </c>
      <c r="N568" s="106">
        <v>0.69</v>
      </c>
      <c r="O568" s="106">
        <v>0.98</v>
      </c>
      <c r="P568" s="106">
        <v>32721</v>
      </c>
      <c r="Q568" s="106">
        <v>21268.398268398269</v>
      </c>
      <c r="R568" s="106">
        <v>0.56865619815579305</v>
      </c>
      <c r="S568" s="106">
        <v>33179.894179894181</v>
      </c>
      <c r="T568" s="106">
        <v>45244.348244348243</v>
      </c>
      <c r="U568" s="106">
        <v>37051.467051467051</v>
      </c>
      <c r="V568" s="106">
        <v>0.43541477346488383</v>
      </c>
      <c r="W568" s="106">
        <v>98281.861092380321</v>
      </c>
      <c r="X568" s="110">
        <v>0.51650489565503965</v>
      </c>
      <c r="Y568" s="106">
        <v>321.95404411764702</v>
      </c>
      <c r="Z568" s="106">
        <v>11.465073529411764</v>
      </c>
      <c r="AA568" s="106">
        <v>170044.15011037528</v>
      </c>
      <c r="AB568" s="106">
        <v>1319.4361179150751</v>
      </c>
      <c r="AC568" s="106">
        <v>0.58808256523432434</v>
      </c>
      <c r="AD568" s="106">
        <v>23.804519180241723</v>
      </c>
      <c r="AE568" s="106">
        <v>128.87637969094922</v>
      </c>
      <c r="AF568" s="106">
        <v>-9.4904570127823495E-2</v>
      </c>
      <c r="AG568" s="106">
        <v>48336</v>
      </c>
      <c r="AH568" s="106">
        <v>28421.35642135642</v>
      </c>
      <c r="AI568" s="106">
        <v>33359.788359788363</v>
      </c>
      <c r="AJ568" s="106">
        <v>35663.299663299666</v>
      </c>
      <c r="AK568" s="104">
        <v>37051.467051467051</v>
      </c>
      <c r="AL568" s="118"/>
      <c r="AM568" s="118">
        <v>1537</v>
      </c>
      <c r="AN568" s="118">
        <v>58381</v>
      </c>
      <c r="AO568" s="118">
        <v>304</v>
      </c>
      <c r="AP568" s="118">
        <f t="shared" si="8"/>
        <v>832</v>
      </c>
    </row>
    <row r="569" spans="1:42" ht="12.75">
      <c r="A569" s="106">
        <v>2018</v>
      </c>
      <c r="B569" s="106">
        <v>-212054</v>
      </c>
      <c r="C569" s="106">
        <v>0</v>
      </c>
      <c r="D569" s="106">
        <v>212054</v>
      </c>
      <c r="E569" s="106" t="s">
        <v>1066</v>
      </c>
      <c r="F569" s="106" t="s">
        <v>721</v>
      </c>
      <c r="G569" s="106" t="s">
        <v>104</v>
      </c>
      <c r="H569" s="106">
        <v>5</v>
      </c>
      <c r="I569" s="106" t="s">
        <v>3639</v>
      </c>
      <c r="J569" s="106">
        <v>52002</v>
      </c>
      <c r="K569" s="106">
        <v>36727</v>
      </c>
      <c r="L569" s="106">
        <v>24714</v>
      </c>
      <c r="M569" s="106">
        <v>0.26</v>
      </c>
      <c r="N569" s="106">
        <v>0.61</v>
      </c>
      <c r="O569" s="106">
        <v>1</v>
      </c>
      <c r="P569" s="106">
        <v>28329</v>
      </c>
      <c r="Q569" s="106">
        <v>16719.306236283832</v>
      </c>
      <c r="R569" s="106">
        <v>0.39835901231755494</v>
      </c>
      <c r="S569" s="106">
        <v>46061.1741038771</v>
      </c>
      <c r="T569" s="106">
        <v>46612.015362106802</v>
      </c>
      <c r="U569" s="106">
        <v>32635.094394560212</v>
      </c>
      <c r="V569" s="106">
        <v>0.77374195765689546</v>
      </c>
      <c r="W569" s="106">
        <v>115785.03610591068</v>
      </c>
      <c r="X569" s="110">
        <v>0.56618747658161173</v>
      </c>
      <c r="Y569" s="106">
        <v>533.55706134094157</v>
      </c>
      <c r="Z569" s="106">
        <v>11.700427960057063</v>
      </c>
      <c r="AA569" s="106">
        <v>105590.94446713329</v>
      </c>
      <c r="AB569" s="106">
        <v>715.65835896456474</v>
      </c>
      <c r="AC569" s="106">
        <v>0.94705090957043625</v>
      </c>
      <c r="AD569" s="106">
        <v>33.145378769306205</v>
      </c>
      <c r="AE569" s="106">
        <v>147.54378698224852</v>
      </c>
      <c r="AF569" s="106">
        <v>6.5925242027799841E-2</v>
      </c>
      <c r="AG569" s="106">
        <v>49632</v>
      </c>
      <c r="AH569" s="106">
        <v>40545.028346744693</v>
      </c>
      <c r="AI569" s="106">
        <v>43797.222933430872</v>
      </c>
      <c r="AJ569" s="106">
        <v>50395.757132406732</v>
      </c>
      <c r="AK569" s="104">
        <v>42757.269568397955</v>
      </c>
      <c r="AL569" s="118">
        <v>8217000</v>
      </c>
      <c r="AM569" s="118">
        <v>15534</v>
      </c>
      <c r="AN569" s="118">
        <v>997396</v>
      </c>
      <c r="AO569" s="118">
        <v>3424</v>
      </c>
      <c r="AP569" s="118">
        <f t="shared" si="8"/>
        <v>2370</v>
      </c>
    </row>
    <row r="570" spans="1:42" ht="12.75">
      <c r="A570" s="106">
        <v>2018</v>
      </c>
      <c r="B570" s="106">
        <v>-177214</v>
      </c>
      <c r="C570" s="106">
        <v>0</v>
      </c>
      <c r="D570" s="106">
        <v>177214</v>
      </c>
      <c r="E570" s="106" t="s">
        <v>1067</v>
      </c>
      <c r="F570" s="106" t="s">
        <v>149</v>
      </c>
      <c r="G570" s="106" t="s">
        <v>264</v>
      </c>
      <c r="H570" s="106">
        <v>6</v>
      </c>
      <c r="I570" s="106" t="s">
        <v>3640</v>
      </c>
      <c r="J570" s="106">
        <v>27015</v>
      </c>
      <c r="K570" s="106">
        <v>19150</v>
      </c>
      <c r="L570" s="106">
        <v>15483</v>
      </c>
      <c r="M570" s="106">
        <v>0.32</v>
      </c>
      <c r="N570" s="106">
        <v>0.59</v>
      </c>
      <c r="O570" s="106">
        <v>1</v>
      </c>
      <c r="P570" s="106">
        <v>16900</v>
      </c>
      <c r="Q570" s="106">
        <v>12450.694117647059</v>
      </c>
      <c r="R570" s="106">
        <v>0.52921115344663738</v>
      </c>
      <c r="S570" s="106">
        <v>26141.032198142413</v>
      </c>
      <c r="T570" s="106">
        <v>28965.773374613003</v>
      </c>
      <c r="U570" s="106">
        <v>26588.660492652776</v>
      </c>
      <c r="V570" s="106">
        <v>0.41657603491046813</v>
      </c>
      <c r="W570" s="106">
        <v>52326.792811839325</v>
      </c>
      <c r="X570" s="110">
        <v>0.52908762351825767</v>
      </c>
      <c r="Y570" s="106">
        <v>240.28330522765597</v>
      </c>
      <c r="Z570" s="106">
        <v>8.1703204047217532</v>
      </c>
      <c r="AA570" s="106">
        <v>123748.37664447905</v>
      </c>
      <c r="AB570" s="106">
        <v>904.09059069467389</v>
      </c>
      <c r="AC570" s="106">
        <v>0.80809140864363349</v>
      </c>
      <c r="AD570" s="106">
        <v>11.609233857477417</v>
      </c>
      <c r="AE570" s="106">
        <v>136.87608069164264</v>
      </c>
      <c r="AF570" s="106">
        <v>9.1955040478373384E-2</v>
      </c>
      <c r="AG570" s="106">
        <v>25850</v>
      </c>
      <c r="AH570" s="106">
        <v>17159.809287925698</v>
      </c>
      <c r="AI570" s="106">
        <v>26135.736222910218</v>
      </c>
      <c r="AJ570" s="106">
        <v>31877.805572755417</v>
      </c>
      <c r="AK570" s="104">
        <v>26603.894736842107</v>
      </c>
      <c r="AL570" s="118"/>
      <c r="AM570" s="118">
        <v>3279</v>
      </c>
      <c r="AN570" s="118">
        <v>47496</v>
      </c>
      <c r="AO570" s="118">
        <v>255</v>
      </c>
      <c r="AP570" s="118">
        <f t="shared" si="8"/>
        <v>1165</v>
      </c>
    </row>
    <row r="571" spans="1:42" ht="12.75">
      <c r="A571" s="106">
        <v>2018</v>
      </c>
      <c r="B571" s="106">
        <v>-198419</v>
      </c>
      <c r="C571" s="106">
        <v>0</v>
      </c>
      <c r="D571" s="106">
        <v>198419</v>
      </c>
      <c r="E571" s="106" t="s">
        <v>1068</v>
      </c>
      <c r="F571" s="106" t="s">
        <v>1069</v>
      </c>
      <c r="G571" s="106" t="s">
        <v>90</v>
      </c>
      <c r="H571" s="106">
        <v>5</v>
      </c>
      <c r="I571" s="106" t="s">
        <v>3639</v>
      </c>
      <c r="J571" s="106">
        <v>53500</v>
      </c>
      <c r="K571" s="106">
        <v>19785</v>
      </c>
      <c r="L571" s="106">
        <v>-3260</v>
      </c>
      <c r="M571" s="106">
        <v>0.15</v>
      </c>
      <c r="N571" s="106">
        <v>0.25</v>
      </c>
      <c r="O571" s="106">
        <v>0.52</v>
      </c>
      <c r="P571" s="106">
        <v>50473</v>
      </c>
      <c r="Q571" s="106">
        <v>20819.279247292739</v>
      </c>
      <c r="R571" s="106">
        <v>0.42341162722687498</v>
      </c>
      <c r="S571" s="106">
        <v>352601.21900704183</v>
      </c>
      <c r="T571" s="106">
        <v>366073.37712290668</v>
      </c>
      <c r="U571" s="106">
        <v>87999.559668800866</v>
      </c>
      <c r="V571" s="106">
        <v>0.32217236989222348</v>
      </c>
      <c r="W571" s="106">
        <v>180627.53984157005</v>
      </c>
      <c r="X571" s="110">
        <v>0.51971671477855652</v>
      </c>
      <c r="Y571" s="106">
        <v>76.372419018753547</v>
      </c>
      <c r="Z571" s="106">
        <v>3.201174464860769</v>
      </c>
      <c r="AA571" s="106">
        <v>264092.44518612424</v>
      </c>
      <c r="AB571" s="106">
        <v>3688.5297984549093</v>
      </c>
      <c r="AC571" s="106">
        <v>0.37865528462778653</v>
      </c>
      <c r="AD571" s="106">
        <v>36.015350175887434</v>
      </c>
      <c r="AE571" s="106">
        <v>71.598295151838045</v>
      </c>
      <c r="AF571" s="106">
        <v>0.11780533011903148</v>
      </c>
      <c r="AG571" s="106">
        <v>51720</v>
      </c>
      <c r="AH571" s="106">
        <v>299974.49553228001</v>
      </c>
      <c r="AI571" s="106">
        <v>350972.12852831528</v>
      </c>
      <c r="AJ571" s="106">
        <v>442487.1885910409</v>
      </c>
      <c r="AK571" s="104">
        <v>159327.17912302504</v>
      </c>
      <c r="AL571" s="118"/>
      <c r="AM571" s="118">
        <v>6696</v>
      </c>
      <c r="AN571" s="118">
        <v>403170</v>
      </c>
      <c r="AO571" s="118">
        <v>1863</v>
      </c>
      <c r="AP571" s="118">
        <f t="shared" si="8"/>
        <v>1780</v>
      </c>
    </row>
    <row r="572" spans="1:42" ht="12.75">
      <c r="A572" s="106">
        <v>2018</v>
      </c>
      <c r="B572" s="106">
        <v>-175227</v>
      </c>
      <c r="C572" s="106">
        <v>0</v>
      </c>
      <c r="D572" s="106">
        <v>175227</v>
      </c>
      <c r="E572" s="106" t="s">
        <v>1070</v>
      </c>
      <c r="F572" s="106" t="s">
        <v>238</v>
      </c>
      <c r="G572" s="106" t="s">
        <v>113</v>
      </c>
      <c r="H572" s="106">
        <v>7</v>
      </c>
      <c r="I572" s="106" t="s">
        <v>3641</v>
      </c>
      <c r="J572" s="106">
        <v>21610</v>
      </c>
      <c r="K572" s="106">
        <v>21797</v>
      </c>
      <c r="L572" s="106">
        <v>20111</v>
      </c>
      <c r="M572" s="106">
        <v>0.34</v>
      </c>
      <c r="N572" s="106">
        <v>0.66</v>
      </c>
      <c r="O572" s="106">
        <v>0.42</v>
      </c>
      <c r="P572" s="106">
        <v>4391</v>
      </c>
      <c r="Q572" s="106">
        <v>1554.5701320132014</v>
      </c>
      <c r="R572" s="106">
        <v>7.5774539437195157E-2</v>
      </c>
      <c r="S572" s="106">
        <v>25304.974422442243</v>
      </c>
      <c r="T572" s="106">
        <v>23444.002475247526</v>
      </c>
      <c r="U572" s="106">
        <v>23332.834698223702</v>
      </c>
      <c r="V572" s="106">
        <v>0.81263858255572796</v>
      </c>
      <c r="W572" s="106">
        <v>78770.060301507532</v>
      </c>
      <c r="X572" s="110">
        <v>0.55167064584871517</v>
      </c>
      <c r="Y572" s="106">
        <v>319.75953079178885</v>
      </c>
      <c r="Z572" s="106">
        <v>10.662756598240469</v>
      </c>
      <c r="AA572" s="106">
        <v>63549.203717409277</v>
      </c>
      <c r="AB572" s="106">
        <v>778.06073995067209</v>
      </c>
      <c r="AC572" s="106">
        <v>1.5735838397705217</v>
      </c>
      <c r="AD572" s="106">
        <v>38.263112639724852</v>
      </c>
      <c r="AE572" s="106">
        <v>81.676404494382027</v>
      </c>
      <c r="AF572" s="106">
        <v>0.10110691885948174</v>
      </c>
      <c r="AG572" s="106">
        <v>19955</v>
      </c>
      <c r="AH572" s="106">
        <v>19283.179042904292</v>
      </c>
      <c r="AI572" s="106">
        <v>23924.584158415841</v>
      </c>
      <c r="AJ572" s="106">
        <v>26373.044554455446</v>
      </c>
      <c r="AK572" s="104">
        <v>23444.002475247526</v>
      </c>
      <c r="AL572" s="118"/>
      <c r="AM572" s="118">
        <v>1301</v>
      </c>
      <c r="AN572" s="118">
        <v>36346</v>
      </c>
      <c r="AO572" s="118">
        <v>400</v>
      </c>
      <c r="AP572" s="118">
        <f t="shared" si="8"/>
        <v>1655</v>
      </c>
    </row>
    <row r="573" spans="1:42" ht="12.75">
      <c r="A573" s="106">
        <v>2018</v>
      </c>
      <c r="B573" s="106">
        <v>-212106</v>
      </c>
      <c r="C573" s="106">
        <v>0</v>
      </c>
      <c r="D573" s="106">
        <v>212106</v>
      </c>
      <c r="E573" s="106" t="s">
        <v>1071</v>
      </c>
      <c r="F573" s="106" t="s">
        <v>602</v>
      </c>
      <c r="G573" s="106" t="s">
        <v>104</v>
      </c>
      <c r="H573" s="106">
        <v>5</v>
      </c>
      <c r="I573" s="106" t="s">
        <v>3639</v>
      </c>
      <c r="J573" s="106">
        <v>36394</v>
      </c>
      <c r="K573" s="106">
        <v>30710</v>
      </c>
      <c r="L573" s="106">
        <v>23842</v>
      </c>
      <c r="M573" s="106">
        <v>0.2</v>
      </c>
      <c r="N573" s="106">
        <v>0.75</v>
      </c>
      <c r="O573" s="106">
        <v>0.99</v>
      </c>
      <c r="P573" s="106">
        <v>19304</v>
      </c>
      <c r="Q573" s="106">
        <v>13534.453242028676</v>
      </c>
      <c r="R573" s="106">
        <v>0.38588704018938491</v>
      </c>
      <c r="S573" s="106">
        <v>31990.905200085599</v>
      </c>
      <c r="T573" s="106">
        <v>30302.054354804193</v>
      </c>
      <c r="U573" s="106">
        <v>22334.399274584684</v>
      </c>
      <c r="V573" s="106">
        <v>0.9643940216903587</v>
      </c>
      <c r="W573" s="106">
        <v>91297.595006425545</v>
      </c>
      <c r="X573" s="110">
        <v>0.58532572041962827</v>
      </c>
      <c r="Y573" s="106">
        <v>351.9975</v>
      </c>
      <c r="Z573" s="106">
        <v>14.019</v>
      </c>
      <c r="AA573" s="106">
        <v>82018.583740773465</v>
      </c>
      <c r="AB573" s="106">
        <v>889.51183866477095</v>
      </c>
      <c r="AC573" s="106">
        <v>1.2192358784938093</v>
      </c>
      <c r="AD573" s="106">
        <v>28.618014168447093</v>
      </c>
      <c r="AE573" s="106">
        <v>92.206286836935163</v>
      </c>
      <c r="AF573" s="106">
        <v>9.3485798370788742E-2</v>
      </c>
      <c r="AG573" s="106">
        <v>36394</v>
      </c>
      <c r="AH573" s="106">
        <v>29141.771881018616</v>
      </c>
      <c r="AI573" s="106">
        <v>31990.691204793493</v>
      </c>
      <c r="AJ573" s="106">
        <v>34842.927455595978</v>
      </c>
      <c r="AK573" s="104">
        <v>25978.172480205434</v>
      </c>
      <c r="AL573" s="118"/>
      <c r="AM573" s="118">
        <v>5942</v>
      </c>
      <c r="AN573" s="118">
        <v>234665</v>
      </c>
      <c r="AO573" s="118">
        <v>1364</v>
      </c>
      <c r="AP573" s="118">
        <f t="shared" si="8"/>
        <v>0</v>
      </c>
    </row>
    <row r="574" spans="1:42" ht="12.75">
      <c r="A574" s="106">
        <v>2018</v>
      </c>
      <c r="B574" s="106">
        <v>-198455</v>
      </c>
      <c r="C574" s="106">
        <v>0</v>
      </c>
      <c r="D574" s="106">
        <v>198455</v>
      </c>
      <c r="E574" s="106" t="s">
        <v>1072</v>
      </c>
      <c r="F574" s="106" t="s">
        <v>1069</v>
      </c>
      <c r="G574" s="106" t="s">
        <v>90</v>
      </c>
      <c r="H574" s="106">
        <v>4</v>
      </c>
      <c r="I574" s="106" t="s">
        <v>24</v>
      </c>
      <c r="J574" s="106">
        <v>2231</v>
      </c>
      <c r="K574" s="106">
        <v>7759</v>
      </c>
      <c r="L574" s="106">
        <v>6600</v>
      </c>
      <c r="M574" s="106">
        <v>0.49</v>
      </c>
      <c r="N574" s="106">
        <v>0.08</v>
      </c>
      <c r="O574" s="106">
        <v>0.63</v>
      </c>
      <c r="P574" s="106">
        <v>923</v>
      </c>
      <c r="Q574" s="106">
        <v>82.562898089171981</v>
      </c>
      <c r="R574" s="106">
        <v>2.810001425337515E-2</v>
      </c>
      <c r="S574" s="106">
        <v>12029.890392781317</v>
      </c>
      <c r="T574" s="106">
        <v>12210.988853503184</v>
      </c>
      <c r="U574" s="106">
        <v>9011.5531691309188</v>
      </c>
      <c r="V574" s="106">
        <v>0.3168840026376894</v>
      </c>
      <c r="W574" s="106">
        <v>57517.45741935484</v>
      </c>
      <c r="X574" s="110">
        <v>0.64587488045794961</v>
      </c>
      <c r="Y574" s="106">
        <v>452.15600000000001</v>
      </c>
      <c r="Z574" s="106">
        <v>15.071999999999999</v>
      </c>
      <c r="AA574" s="106">
        <v>32680.974341949281</v>
      </c>
      <c r="AB574" s="106">
        <v>300.38776299582713</v>
      </c>
      <c r="AC574" s="106">
        <v>3.0598842908927613</v>
      </c>
      <c r="AD574" s="106">
        <v>37.809315866084425</v>
      </c>
      <c r="AE574" s="106">
        <v>108.79595765158807</v>
      </c>
      <c r="AF574" s="106">
        <v>3.3518578863783753E-2</v>
      </c>
      <c r="AG574" s="106">
        <v>2097</v>
      </c>
      <c r="AH574" s="106">
        <v>11047.911093418259</v>
      </c>
      <c r="AI574" s="106">
        <v>11098.647558386412</v>
      </c>
      <c r="AJ574" s="106">
        <v>12030.065286624204</v>
      </c>
      <c r="AK574" s="104">
        <v>10848.204617834395</v>
      </c>
      <c r="AL574" s="119">
        <v>28619874</v>
      </c>
      <c r="AM574" s="118">
        <v>5415</v>
      </c>
      <c r="AN574" s="118">
        <v>113039</v>
      </c>
      <c r="AO574" s="118">
        <v>520</v>
      </c>
      <c r="AP574" s="118">
        <f t="shared" si="8"/>
        <v>134</v>
      </c>
    </row>
    <row r="575" spans="1:42" ht="12.75">
      <c r="A575" s="106">
        <v>2018</v>
      </c>
      <c r="B575" s="106">
        <v>-190840</v>
      </c>
      <c r="C575" s="106">
        <v>0</v>
      </c>
      <c r="D575" s="106">
        <v>190840</v>
      </c>
      <c r="E575" s="106" t="s">
        <v>1073</v>
      </c>
      <c r="F575" s="106" t="s">
        <v>1074</v>
      </c>
      <c r="G575" s="106" t="s">
        <v>69</v>
      </c>
      <c r="H575" s="106">
        <v>4</v>
      </c>
      <c r="I575" s="106" t="s">
        <v>24</v>
      </c>
      <c r="J575" s="106">
        <v>4236</v>
      </c>
      <c r="K575" s="106">
        <v>7737</v>
      </c>
      <c r="L575" s="106">
        <v>5308</v>
      </c>
      <c r="M575" s="106">
        <v>0.47</v>
      </c>
      <c r="N575" s="106">
        <v>0.3</v>
      </c>
      <c r="O575" s="106">
        <v>0.05</v>
      </c>
      <c r="P575" s="106">
        <v>2073</v>
      </c>
      <c r="Q575" s="106">
        <v>149.65302658872338</v>
      </c>
      <c r="R575" s="106">
        <v>3.065281760772064E-2</v>
      </c>
      <c r="S575" s="106">
        <v>13591.185743918537</v>
      </c>
      <c r="T575" s="106">
        <v>14687.076560437488</v>
      </c>
      <c r="U575" s="106">
        <v>13344.415990948519</v>
      </c>
      <c r="V575" s="106">
        <v>0.35464585126993775</v>
      </c>
      <c r="W575" s="106">
        <v>101695.09431605248</v>
      </c>
      <c r="X575" s="110">
        <v>0.69680794645816724</v>
      </c>
      <c r="Y575" s="106">
        <v>604.11265822784799</v>
      </c>
      <c r="Z575" s="106">
        <v>20.1379746835443</v>
      </c>
      <c r="AA575" s="106">
        <v>62958.574733096088</v>
      </c>
      <c r="AB575" s="106">
        <v>444.83343914811763</v>
      </c>
      <c r="AC575" s="106">
        <v>1.5883459945517471</v>
      </c>
      <c r="AD575" s="106">
        <v>20.100143061516452</v>
      </c>
      <c r="AE575" s="106">
        <v>141.53291814946618</v>
      </c>
      <c r="AF575" s="106">
        <v>0.29333352566932469</v>
      </c>
      <c r="AG575" s="106">
        <v>3696</v>
      </c>
      <c r="AH575" s="106">
        <v>12829.760890062229</v>
      </c>
      <c r="AI575" s="106">
        <v>12829.760890062229</v>
      </c>
      <c r="AJ575" s="106">
        <v>13608.356402036583</v>
      </c>
      <c r="AK575" s="104">
        <v>14677.858570620403</v>
      </c>
      <c r="AL575" s="118">
        <v>32922154</v>
      </c>
      <c r="AM575" s="118">
        <v>9061</v>
      </c>
      <c r="AN575" s="118">
        <v>159083</v>
      </c>
      <c r="AO575" s="118">
        <v>1062</v>
      </c>
      <c r="AP575" s="118">
        <f t="shared" si="8"/>
        <v>540</v>
      </c>
    </row>
    <row r="576" spans="1:42" ht="12.75">
      <c r="A576" s="106">
        <v>2018</v>
      </c>
      <c r="B576" s="106">
        <v>-220057</v>
      </c>
      <c r="C576" s="106">
        <v>0</v>
      </c>
      <c r="D576" s="106">
        <v>220057</v>
      </c>
      <c r="E576" s="106" t="s">
        <v>1075</v>
      </c>
      <c r="F576" s="106" t="s">
        <v>1076</v>
      </c>
      <c r="G576" s="106" t="s">
        <v>255</v>
      </c>
      <c r="H576" s="106">
        <v>4</v>
      </c>
      <c r="I576" s="106" t="s">
        <v>24</v>
      </c>
      <c r="J576" s="106">
        <v>4331</v>
      </c>
      <c r="K576" s="106">
        <v>6246</v>
      </c>
      <c r="L576" s="106">
        <v>5663</v>
      </c>
      <c r="M576" s="106">
        <v>0.65</v>
      </c>
      <c r="N576" s="106">
        <v>0.1</v>
      </c>
      <c r="O576" s="106">
        <v>0.3</v>
      </c>
      <c r="P576" s="106">
        <v>1469</v>
      </c>
      <c r="Q576" s="106">
        <v>932.3154726068633</v>
      </c>
      <c r="R576" s="106">
        <v>0.16920960320355916</v>
      </c>
      <c r="S576" s="106">
        <v>15014.068031306442</v>
      </c>
      <c r="T576" s="106">
        <v>15414.375677302829</v>
      </c>
      <c r="U576" s="106">
        <v>9808.0742451451842</v>
      </c>
      <c r="V576" s="106">
        <v>0.46670838957887961</v>
      </c>
      <c r="W576" s="106">
        <v>67366.146412884336</v>
      </c>
      <c r="X576" s="110">
        <v>0.59902587473369617</v>
      </c>
      <c r="Y576" s="106">
        <v>633.48305084745755</v>
      </c>
      <c r="Z576" s="106">
        <v>21.114406779661017</v>
      </c>
      <c r="AA576" s="106">
        <v>28783.058871353624</v>
      </c>
      <c r="AB576" s="106">
        <v>326.90956618345211</v>
      </c>
      <c r="AC576" s="106">
        <v>3.4742659022778541</v>
      </c>
      <c r="AD576" s="106">
        <v>32.641291810841984</v>
      </c>
      <c r="AE576" s="107">
        <v>88.045936395759711</v>
      </c>
      <c r="AF576" s="106">
        <v>3.1151972678566185E-3</v>
      </c>
      <c r="AG576" s="106">
        <v>4032</v>
      </c>
      <c r="AH576" s="106">
        <v>14066.423841059603</v>
      </c>
      <c r="AI576" s="106">
        <v>14506.098133654425</v>
      </c>
      <c r="AJ576" s="106">
        <v>15090.69717037929</v>
      </c>
      <c r="AK576" s="104">
        <v>13495.105358217941</v>
      </c>
      <c r="AL576" s="118">
        <v>9516355</v>
      </c>
      <c r="AM576" s="118">
        <v>2843</v>
      </c>
      <c r="AN576" s="118">
        <v>49834</v>
      </c>
      <c r="AO576" s="118">
        <v>359</v>
      </c>
      <c r="AP576" s="118">
        <f t="shared" si="8"/>
        <v>299</v>
      </c>
    </row>
    <row r="577" spans="1:42" ht="12.75">
      <c r="A577" s="106">
        <v>2018</v>
      </c>
      <c r="B577" s="106">
        <v>-190716</v>
      </c>
      <c r="C577" s="106">
        <v>0</v>
      </c>
      <c r="D577" s="106">
        <v>190716</v>
      </c>
      <c r="E577" s="106" t="s">
        <v>979</v>
      </c>
      <c r="F577" s="106" t="s">
        <v>585</v>
      </c>
      <c r="G577" s="106" t="s">
        <v>69</v>
      </c>
      <c r="H577" s="106">
        <v>6</v>
      </c>
      <c r="I577" s="106" t="s">
        <v>3640</v>
      </c>
      <c r="J577" s="106">
        <v>25870</v>
      </c>
      <c r="K577" s="106">
        <v>21240</v>
      </c>
      <c r="L577" s="106">
        <v>13792</v>
      </c>
      <c r="M577" s="106">
        <v>0.28999999999999998</v>
      </c>
      <c r="N577" s="106">
        <v>0.61</v>
      </c>
      <c r="O577" s="106">
        <v>0.81</v>
      </c>
      <c r="P577" s="106">
        <v>13482</v>
      </c>
      <c r="Q577" s="106">
        <v>6451.818250377074</v>
      </c>
      <c r="R577" s="106">
        <v>0.24094807768667953</v>
      </c>
      <c r="S577" s="106">
        <v>24866.581070889893</v>
      </c>
      <c r="T577" s="106">
        <v>23437.360105580694</v>
      </c>
      <c r="U577" s="106">
        <v>21064.17124645373</v>
      </c>
      <c r="V577" s="106">
        <v>0.96490768762870704</v>
      </c>
      <c r="W577" s="106">
        <v>87820.944035346096</v>
      </c>
      <c r="X577" s="110">
        <v>0.63957930672977858</v>
      </c>
      <c r="Y577" s="106">
        <v>256.38360175695465</v>
      </c>
      <c r="Z577" s="106">
        <v>11.648609077598829</v>
      </c>
      <c r="AA577" s="106">
        <v>68965.656969870732</v>
      </c>
      <c r="AB577" s="106">
        <v>957.03584282328757</v>
      </c>
      <c r="AC577" s="106">
        <v>1.4499970622144198</v>
      </c>
      <c r="AD577" s="106">
        <v>32.142857142857146</v>
      </c>
      <c r="AE577" s="107">
        <v>72.061728395061735</v>
      </c>
      <c r="AF577" s="106">
        <v>6.8438503483129617E-2</v>
      </c>
      <c r="AG577" s="106">
        <v>25240</v>
      </c>
      <c r="AH577" s="106">
        <v>23166.607088989444</v>
      </c>
      <c r="AI577" s="106">
        <v>25362.313725490196</v>
      </c>
      <c r="AJ577" s="106">
        <v>26926.743966817496</v>
      </c>
      <c r="AK577" s="104">
        <v>21612.611236802415</v>
      </c>
      <c r="AL577" s="119">
        <v>355048</v>
      </c>
      <c r="AM577" s="118">
        <v>1735</v>
      </c>
      <c r="AN577" s="118">
        <v>58370</v>
      </c>
      <c r="AO577" s="118">
        <v>368</v>
      </c>
      <c r="AP577" s="118">
        <f t="shared" si="8"/>
        <v>630</v>
      </c>
    </row>
    <row r="578" spans="1:42" ht="12.75">
      <c r="A578" s="106">
        <v>2018</v>
      </c>
      <c r="B578" s="106">
        <v>-150455</v>
      </c>
      <c r="C578" s="106">
        <v>0</v>
      </c>
      <c r="D578" s="106">
        <v>150455</v>
      </c>
      <c r="E578" s="106" t="s">
        <v>1077</v>
      </c>
      <c r="F578" s="106" t="s">
        <v>1078</v>
      </c>
      <c r="G578" s="106" t="s">
        <v>161</v>
      </c>
      <c r="H578" s="106">
        <v>7</v>
      </c>
      <c r="I578" s="106" t="s">
        <v>3641</v>
      </c>
      <c r="J578" s="106">
        <v>45750</v>
      </c>
      <c r="K578" s="106">
        <v>22601</v>
      </c>
      <c r="L578" s="106">
        <v>15973</v>
      </c>
      <c r="M578" s="106">
        <v>0.36</v>
      </c>
      <c r="N578" s="106">
        <v>0.63</v>
      </c>
      <c r="O578" s="106">
        <v>0.99</v>
      </c>
      <c r="P578" s="106">
        <v>32935</v>
      </c>
      <c r="Q578" s="107">
        <v>29708.548551959113</v>
      </c>
      <c r="R578" s="106">
        <v>0.71943158408201768</v>
      </c>
      <c r="S578" s="106">
        <v>31966.623509369678</v>
      </c>
      <c r="T578" s="106">
        <v>55465.784497444634</v>
      </c>
      <c r="U578" s="106">
        <v>47465.118236044778</v>
      </c>
      <c r="V578" s="106">
        <v>0.24409346217094521</v>
      </c>
      <c r="W578" s="106">
        <v>81028.39631336405</v>
      </c>
      <c r="X578" s="110">
        <v>0.45004140327406289</v>
      </c>
      <c r="Y578" s="106">
        <v>272.88188976377955</v>
      </c>
      <c r="Z578" s="106">
        <v>9.2440944881889759</v>
      </c>
      <c r="AA578" s="106">
        <v>243336.45768173176</v>
      </c>
      <c r="AB578" s="106">
        <v>1607.9192292565954</v>
      </c>
      <c r="AC578" s="106">
        <v>0.41095362755215864</v>
      </c>
      <c r="AD578" s="106">
        <v>20.761559383499549</v>
      </c>
      <c r="AE578" s="106">
        <v>151.33624454148472</v>
      </c>
      <c r="AF578" s="106">
        <v>1.3839918509479437E-2</v>
      </c>
      <c r="AG578" s="106">
        <v>44820</v>
      </c>
      <c r="AH578" s="106">
        <v>22161.963373083476</v>
      </c>
      <c r="AI578" s="106">
        <v>31966.623509369678</v>
      </c>
      <c r="AJ578" s="106">
        <v>61165.668654173765</v>
      </c>
      <c r="AK578" s="104">
        <v>48532.136286201021</v>
      </c>
      <c r="AL578" s="118"/>
      <c r="AM578" s="118">
        <v>1060</v>
      </c>
      <c r="AN578" s="118">
        <v>34656</v>
      </c>
      <c r="AO578" s="118">
        <v>210</v>
      </c>
      <c r="AP578" s="118">
        <f t="shared" si="8"/>
        <v>930</v>
      </c>
    </row>
    <row r="579" spans="1:42" ht="12.75">
      <c r="A579" s="106">
        <v>2018</v>
      </c>
      <c r="B579" s="106">
        <v>-106883</v>
      </c>
      <c r="C579" s="106">
        <v>0</v>
      </c>
      <c r="D579" s="106">
        <v>106883</v>
      </c>
      <c r="E579" s="106" t="s">
        <v>1079</v>
      </c>
      <c r="F579" s="106" t="s">
        <v>1080</v>
      </c>
      <c r="G579" s="106" t="s">
        <v>200</v>
      </c>
      <c r="H579" s="106">
        <v>4</v>
      </c>
      <c r="I579" s="106" t="s">
        <v>24</v>
      </c>
      <c r="J579" s="106">
        <v>2850</v>
      </c>
      <c r="K579" s="106">
        <v>5028</v>
      </c>
      <c r="L579" s="106">
        <v>4118</v>
      </c>
      <c r="M579" s="106">
        <v>0.57999999999999996</v>
      </c>
      <c r="N579" s="106">
        <v>0.04</v>
      </c>
      <c r="O579" s="106">
        <v>0.19</v>
      </c>
      <c r="P579" s="106">
        <v>1350</v>
      </c>
      <c r="Q579" s="106">
        <v>202.67316341829084</v>
      </c>
      <c r="R579" s="106">
        <v>4.7249122618154261E-2</v>
      </c>
      <c r="S579" s="106">
        <v>25880.883058470765</v>
      </c>
      <c r="T579" s="106">
        <v>25094.505247376313</v>
      </c>
      <c r="U579" s="106">
        <v>17465.281388314015</v>
      </c>
      <c r="V579" s="106">
        <v>0.23399483331146684</v>
      </c>
      <c r="W579" s="106">
        <v>72479.985948477741</v>
      </c>
      <c r="X579" s="110">
        <v>0.61633985112350409</v>
      </c>
      <c r="Y579" s="106">
        <v>422.83098591549293</v>
      </c>
      <c r="Z579" s="106">
        <v>14.091549295774648</v>
      </c>
      <c r="AA579" s="106">
        <v>36178.082875793312</v>
      </c>
      <c r="AB579" s="106">
        <v>582.05969251551153</v>
      </c>
      <c r="AC579" s="106">
        <v>2.7641044536085633</v>
      </c>
      <c r="AD579" s="106">
        <v>51.602564102564109</v>
      </c>
      <c r="AE579" s="106">
        <v>62.155279503105589</v>
      </c>
      <c r="AF579" s="106">
        <v>2.6716220821706254E-2</v>
      </c>
      <c r="AG579" s="106">
        <v>2520</v>
      </c>
      <c r="AH579" s="106">
        <v>24336.290854572715</v>
      </c>
      <c r="AI579" s="106">
        <v>24336.607196401797</v>
      </c>
      <c r="AJ579" s="106">
        <v>25921.080959520241</v>
      </c>
      <c r="AK579" s="104">
        <v>22358.953523238382</v>
      </c>
      <c r="AL579" s="118">
        <v>10456883</v>
      </c>
      <c r="AM579" s="118">
        <v>1045</v>
      </c>
      <c r="AN579" s="118">
        <v>20014</v>
      </c>
      <c r="AO579" s="118">
        <v>112</v>
      </c>
      <c r="AP579" s="118">
        <f t="shared" si="8"/>
        <v>330</v>
      </c>
    </row>
    <row r="580" spans="1:42" ht="12.75">
      <c r="A580" s="106">
        <v>2018</v>
      </c>
      <c r="B580" s="106">
        <v>-198464</v>
      </c>
      <c r="C580" s="106">
        <v>0</v>
      </c>
      <c r="D580" s="106">
        <v>198464</v>
      </c>
      <c r="E580" s="106" t="s">
        <v>1081</v>
      </c>
      <c r="F580" s="106" t="s">
        <v>1082</v>
      </c>
      <c r="G580" s="106" t="s">
        <v>90</v>
      </c>
      <c r="H580" s="106">
        <v>1</v>
      </c>
      <c r="I580" s="106" t="s">
        <v>23</v>
      </c>
      <c r="J580" s="106">
        <v>6973</v>
      </c>
      <c r="K580" s="106">
        <v>13746</v>
      </c>
      <c r="L580" s="106">
        <v>11774</v>
      </c>
      <c r="M580" s="106">
        <v>0.38</v>
      </c>
      <c r="N580" s="106">
        <v>0.66</v>
      </c>
      <c r="O580" s="106">
        <v>0.4</v>
      </c>
      <c r="P580" s="106">
        <v>3721</v>
      </c>
      <c r="Q580" s="106">
        <v>1388.9069974083673</v>
      </c>
      <c r="R580" s="106">
        <v>0.14962074271875325</v>
      </c>
      <c r="S580" s="106">
        <v>34897.233358015546</v>
      </c>
      <c r="T580" s="106">
        <v>34079.193187708253</v>
      </c>
      <c r="U580" s="106">
        <v>15492.96789535162</v>
      </c>
      <c r="V580" s="106">
        <v>0.50951784253174615</v>
      </c>
      <c r="W580" s="106">
        <v>102675.23539559786</v>
      </c>
      <c r="X580" s="110">
        <v>0.62502627870900884</v>
      </c>
      <c r="Y580" s="106">
        <v>422.51101072840203</v>
      </c>
      <c r="Z580" s="106">
        <v>15.251270468661772</v>
      </c>
      <c r="AA580" s="106">
        <v>63432.630415862855</v>
      </c>
      <c r="AB580" s="106">
        <v>559.24564741388735</v>
      </c>
      <c r="AC580" s="106">
        <v>1.5764756930999444</v>
      </c>
      <c r="AD580" s="106">
        <v>26.249403151360816</v>
      </c>
      <c r="AE580" s="107">
        <v>113.42534485372138</v>
      </c>
      <c r="AF580" s="106">
        <v>3.9574980717383398E-2</v>
      </c>
      <c r="AG580" s="106">
        <v>4452</v>
      </c>
      <c r="AH580" s="106">
        <v>33635.71051462421</v>
      </c>
      <c r="AI580" s="106">
        <v>34253.972676786376</v>
      </c>
      <c r="AJ580" s="106">
        <v>35212.380636801186</v>
      </c>
      <c r="AK580" s="104">
        <v>20034.837985931135</v>
      </c>
      <c r="AL580" s="118">
        <v>304945175</v>
      </c>
      <c r="AM580" s="118">
        <v>23265</v>
      </c>
      <c r="AN580" s="118">
        <v>748267</v>
      </c>
      <c r="AO580" s="118">
        <v>4846</v>
      </c>
      <c r="AP580" s="118">
        <f t="shared" si="8"/>
        <v>2521</v>
      </c>
    </row>
    <row r="581" spans="1:42" ht="12.75">
      <c r="A581" s="106">
        <v>2018</v>
      </c>
      <c r="B581" s="106">
        <v>-177250</v>
      </c>
      <c r="C581" s="106">
        <v>0</v>
      </c>
      <c r="D581" s="106">
        <v>177250</v>
      </c>
      <c r="E581" s="106" t="s">
        <v>1083</v>
      </c>
      <c r="F581" s="106" t="s">
        <v>1084</v>
      </c>
      <c r="G581" s="106" t="s">
        <v>264</v>
      </c>
      <c r="H581" s="106">
        <v>4</v>
      </c>
      <c r="I581" s="106" t="s">
        <v>24</v>
      </c>
      <c r="J581" s="106">
        <v>2592</v>
      </c>
      <c r="K581" s="106">
        <v>7548</v>
      </c>
      <c r="L581" s="106">
        <v>6329</v>
      </c>
      <c r="M581" s="106">
        <v>0.51</v>
      </c>
      <c r="N581" s="106">
        <v>0.1</v>
      </c>
      <c r="O581" s="106">
        <v>7.0000000000000007E-2</v>
      </c>
      <c r="P581" s="106">
        <v>2071</v>
      </c>
      <c r="Q581" s="106">
        <v>398.6204259967231</v>
      </c>
      <c r="R581" s="106">
        <v>9.0224580553246322E-2</v>
      </c>
      <c r="S581" s="106">
        <v>13713.732386673948</v>
      </c>
      <c r="T581" s="106">
        <v>14001.221736755871</v>
      </c>
      <c r="U581" s="106">
        <v>9272.6529973587258</v>
      </c>
      <c r="V581" s="106">
        <v>0.43347581130652907</v>
      </c>
      <c r="W581" s="106">
        <v>56574.113725490199</v>
      </c>
      <c r="X581" s="110">
        <v>0.5627346556360826</v>
      </c>
      <c r="Y581" s="106">
        <v>490.32142857142856</v>
      </c>
      <c r="Z581" s="106">
        <v>16.348214285714285</v>
      </c>
      <c r="AA581" s="106">
        <v>33553.80956158859</v>
      </c>
      <c r="AB581" s="106">
        <v>309.16723064614735</v>
      </c>
      <c r="AC581" s="106">
        <v>2.9802875234315285</v>
      </c>
      <c r="AD581" s="106">
        <v>27.635172037138179</v>
      </c>
      <c r="AE581" s="106">
        <v>108.5296442687747</v>
      </c>
      <c r="AF581" s="106">
        <v>-1.772532775156177E-2</v>
      </c>
      <c r="AG581" s="106">
        <v>2040</v>
      </c>
      <c r="AH581" s="106">
        <v>13021.256690333152</v>
      </c>
      <c r="AI581" s="106">
        <v>13053.669033315129</v>
      </c>
      <c r="AJ581" s="106">
        <v>13767.09066084107</v>
      </c>
      <c r="AK581" s="104">
        <v>10751.734571272529</v>
      </c>
      <c r="AL581" s="118">
        <v>13317977</v>
      </c>
      <c r="AM581" s="118">
        <v>2897</v>
      </c>
      <c r="AN581" s="118">
        <v>54916</v>
      </c>
      <c r="AO581" s="118">
        <v>454</v>
      </c>
      <c r="AP581" s="118">
        <f t="shared" si="8"/>
        <v>552</v>
      </c>
    </row>
    <row r="582" spans="1:42" ht="12.75">
      <c r="A582" s="106">
        <v>2018</v>
      </c>
      <c r="B582" s="106">
        <v>-175643</v>
      </c>
      <c r="C582" s="106">
        <v>0</v>
      </c>
      <c r="D582" s="106">
        <v>175643</v>
      </c>
      <c r="E582" s="106" t="s">
        <v>1085</v>
      </c>
      <c r="F582" s="106" t="s">
        <v>76</v>
      </c>
      <c r="G582" s="106" t="s">
        <v>107</v>
      </c>
      <c r="H582" s="106">
        <v>4</v>
      </c>
      <c r="I582" s="106" t="s">
        <v>24</v>
      </c>
      <c r="J582" s="106">
        <v>2790</v>
      </c>
      <c r="K582" s="106">
        <v>5624</v>
      </c>
      <c r="L582" s="106">
        <v>4589</v>
      </c>
      <c r="M582" s="106">
        <v>0.7</v>
      </c>
      <c r="N582" s="106">
        <v>0.22</v>
      </c>
      <c r="O582" s="106">
        <v>0.56999999999999995</v>
      </c>
      <c r="P582" s="106">
        <v>2093</v>
      </c>
      <c r="Q582" s="106">
        <v>1507.3858234295417</v>
      </c>
      <c r="R582" s="106">
        <v>0.53101552017047993</v>
      </c>
      <c r="S582" s="106">
        <v>14781.025042444822</v>
      </c>
      <c r="T582" s="106">
        <v>14299.196943972835</v>
      </c>
      <c r="U582" s="106">
        <v>6811.1340095318483</v>
      </c>
      <c r="V582" s="106">
        <v>0.1954592633370773</v>
      </c>
      <c r="W582" s="106">
        <v>61703.5</v>
      </c>
      <c r="X582" s="110">
        <v>0.46155494265352859</v>
      </c>
      <c r="Y582" s="106">
        <v>636.88288288288288</v>
      </c>
      <c r="Z582" s="106">
        <v>21.225225225225227</v>
      </c>
      <c r="AA582" s="106">
        <v>27015.204926695344</v>
      </c>
      <c r="AB582" s="106">
        <v>226.99283852175623</v>
      </c>
      <c r="AC582" s="106">
        <v>3.7016191537819507</v>
      </c>
      <c r="AD582" s="106">
        <v>28.366762177650429</v>
      </c>
      <c r="AE582" s="107">
        <v>119.01346801346801</v>
      </c>
      <c r="AF582" s="106">
        <v>0.28364470183072416</v>
      </c>
      <c r="AG582" s="106">
        <v>2580</v>
      </c>
      <c r="AH582" s="106">
        <v>12997.070882852293</v>
      </c>
      <c r="AI582" s="106">
        <v>12997.070882852293</v>
      </c>
      <c r="AJ582" s="106">
        <v>14793.490662139218</v>
      </c>
      <c r="AK582" s="104">
        <v>9671.4100169779285</v>
      </c>
      <c r="AL582" s="118">
        <v>11535085</v>
      </c>
      <c r="AM582" s="118">
        <v>2560</v>
      </c>
      <c r="AN582" s="118">
        <v>70694</v>
      </c>
      <c r="AO582" s="118">
        <v>475</v>
      </c>
      <c r="AP582" s="118">
        <f t="shared" ref="AP582:AP645" si="9">J582-AG582</f>
        <v>210</v>
      </c>
    </row>
    <row r="583" spans="1:42" ht="12.75">
      <c r="A583" s="106">
        <v>2018</v>
      </c>
      <c r="B583" s="106">
        <v>-207041</v>
      </c>
      <c r="C583" s="106">
        <v>0</v>
      </c>
      <c r="D583" s="106">
        <v>207041</v>
      </c>
      <c r="E583" s="106" t="s">
        <v>1086</v>
      </c>
      <c r="F583" s="106" t="s">
        <v>1087</v>
      </c>
      <c r="G583" s="106" t="s">
        <v>271</v>
      </c>
      <c r="H583" s="106">
        <v>2</v>
      </c>
      <c r="I583" s="106" t="s">
        <v>25</v>
      </c>
      <c r="J583" s="106">
        <v>6600</v>
      </c>
      <c r="K583" s="106">
        <v>9283</v>
      </c>
      <c r="L583" s="106">
        <v>7548</v>
      </c>
      <c r="M583" s="106">
        <v>0.52</v>
      </c>
      <c r="N583" s="106">
        <v>0.38</v>
      </c>
      <c r="O583" s="106">
        <v>0.19</v>
      </c>
      <c r="P583" s="106">
        <v>1324</v>
      </c>
      <c r="Q583" s="106">
        <v>2658.731055900621</v>
      </c>
      <c r="R583" s="106">
        <v>0.34994384254805105</v>
      </c>
      <c r="S583" s="106">
        <v>18198.775465838509</v>
      </c>
      <c r="T583" s="106">
        <v>19241.411801242237</v>
      </c>
      <c r="U583" s="106">
        <v>10315.578228503447</v>
      </c>
      <c r="V583" s="106">
        <v>0.47877707996178548</v>
      </c>
      <c r="W583" s="106">
        <v>66373.723168023687</v>
      </c>
      <c r="X583" s="110">
        <v>0.48243351159683306</v>
      </c>
      <c r="Y583" s="106">
        <v>559.33598409542742</v>
      </c>
      <c r="Z583" s="106">
        <v>19.204771371769386</v>
      </c>
      <c r="AA583" s="106">
        <v>32952.541563274899</v>
      </c>
      <c r="AB583" s="106">
        <v>354.18483179907764</v>
      </c>
      <c r="AC583" s="106">
        <v>3.0346672898653884</v>
      </c>
      <c r="AD583" s="106">
        <v>31.888642834546026</v>
      </c>
      <c r="AE583" s="107">
        <v>93.037698412698418</v>
      </c>
      <c r="AF583" s="106">
        <v>4.4951265566574269E-5</v>
      </c>
      <c r="AG583" s="106">
        <v>5301</v>
      </c>
      <c r="AH583" s="106">
        <v>15383.844099378883</v>
      </c>
      <c r="AI583" s="106">
        <v>15458.469875776398</v>
      </c>
      <c r="AJ583" s="106">
        <v>18278.777950310559</v>
      </c>
      <c r="AK583" s="104">
        <v>16323.736645962734</v>
      </c>
      <c r="AL583" s="118">
        <v>13505236</v>
      </c>
      <c r="AM583" s="118">
        <v>3081</v>
      </c>
      <c r="AN583" s="118">
        <v>93782</v>
      </c>
      <c r="AO583" s="118">
        <v>660</v>
      </c>
      <c r="AP583" s="118">
        <f t="shared" si="9"/>
        <v>1299</v>
      </c>
    </row>
    <row r="584" spans="1:42" ht="12.75">
      <c r="A584" s="106">
        <v>2018</v>
      </c>
      <c r="B584" s="106">
        <v>-139621</v>
      </c>
      <c r="C584" s="106">
        <v>0</v>
      </c>
      <c r="D584" s="106">
        <v>139621</v>
      </c>
      <c r="E584" s="106" t="s">
        <v>1088</v>
      </c>
      <c r="F584" s="106" t="s">
        <v>1089</v>
      </c>
      <c r="G584" s="106" t="s">
        <v>63</v>
      </c>
      <c r="H584" s="106">
        <v>4</v>
      </c>
      <c r="I584" s="106" t="s">
        <v>24</v>
      </c>
      <c r="J584" s="106">
        <v>3110</v>
      </c>
      <c r="K584" s="106">
        <v>5055</v>
      </c>
      <c r="L584" s="106">
        <v>5021</v>
      </c>
      <c r="M584" s="106">
        <v>0.67</v>
      </c>
      <c r="N584" s="106">
        <v>0.53</v>
      </c>
      <c r="O584" s="106">
        <v>0.12</v>
      </c>
      <c r="P584" s="106">
        <v>1440</v>
      </c>
      <c r="Q584" s="106">
        <v>182.55930735930735</v>
      </c>
      <c r="R584" s="106">
        <v>5.0508181445807952E-2</v>
      </c>
      <c r="S584" s="106">
        <v>11131.148484848485</v>
      </c>
      <c r="T584" s="106">
        <v>11311.663203463204</v>
      </c>
      <c r="U584" s="106">
        <v>8428.899134199135</v>
      </c>
      <c r="V584" s="106">
        <v>0.40715766726481151</v>
      </c>
      <c r="W584" s="106">
        <v>66484.266206896558</v>
      </c>
      <c r="X584" s="110">
        <v>0.61488965417527519</v>
      </c>
      <c r="Y584" s="106">
        <v>747.75539568345323</v>
      </c>
      <c r="Z584" s="106">
        <v>24.928057553956833</v>
      </c>
      <c r="AA584" s="106">
        <v>64472.705298013243</v>
      </c>
      <c r="AB584" s="106">
        <v>280.99574265427464</v>
      </c>
      <c r="AC584" s="106">
        <v>1.5510439578697428</v>
      </c>
      <c r="AD584" s="106">
        <v>12.133386902370431</v>
      </c>
      <c r="AE584" s="107">
        <v>229.44370860927151</v>
      </c>
      <c r="AF584" s="106">
        <v>2.0633046834086032E-2</v>
      </c>
      <c r="AG584" s="106">
        <v>2224</v>
      </c>
      <c r="AH584" s="106">
        <v>8908.1549783549781</v>
      </c>
      <c r="AI584" s="106">
        <v>9285.7926406926399</v>
      </c>
      <c r="AJ584" s="106">
        <v>11136.33116883117</v>
      </c>
      <c r="AK584" s="104">
        <v>10318.727272727272</v>
      </c>
      <c r="AL584" s="118">
        <v>9237733</v>
      </c>
      <c r="AM584" s="118">
        <v>3003</v>
      </c>
      <c r="AN584" s="118">
        <v>69292</v>
      </c>
      <c r="AO584" s="118">
        <v>302</v>
      </c>
      <c r="AP584" s="118">
        <f t="shared" si="9"/>
        <v>886</v>
      </c>
    </row>
    <row r="585" spans="1:42" ht="12.75">
      <c r="A585" s="106">
        <v>2018</v>
      </c>
      <c r="B585" s="106">
        <v>-113856</v>
      </c>
      <c r="C585" s="106">
        <v>0</v>
      </c>
      <c r="D585" s="106">
        <v>113856</v>
      </c>
      <c r="E585" s="106" t="s">
        <v>4082</v>
      </c>
      <c r="F585" s="106" t="s">
        <v>4083</v>
      </c>
      <c r="G585" s="106" t="s">
        <v>121</v>
      </c>
      <c r="H585" s="106">
        <v>4</v>
      </c>
      <c r="I585" s="106" t="s">
        <v>24</v>
      </c>
      <c r="J585" s="106">
        <v>1244</v>
      </c>
      <c r="K585" s="106">
        <v>10368</v>
      </c>
      <c r="L585" s="106">
        <v>8307</v>
      </c>
      <c r="M585" s="106">
        <v>0.48</v>
      </c>
      <c r="N585" s="106">
        <v>0</v>
      </c>
      <c r="O585" s="106">
        <v>0</v>
      </c>
      <c r="P585" s="106"/>
      <c r="Q585" s="106"/>
      <c r="R585" s="106"/>
      <c r="S585" s="106">
        <v>12160.695190036504</v>
      </c>
      <c r="T585" s="106">
        <v>13174.645587287954</v>
      </c>
      <c r="U585" s="106">
        <v>10419.635293528818</v>
      </c>
      <c r="V585" s="106">
        <v>0.17006842836403593</v>
      </c>
      <c r="W585" s="106">
        <v>138761.18626062322</v>
      </c>
      <c r="X585" s="110">
        <v>0.53223848141299313</v>
      </c>
      <c r="Y585" s="106">
        <v>975.26527050610821</v>
      </c>
      <c r="Z585" s="106">
        <v>32.509598603839443</v>
      </c>
      <c r="AA585" s="106">
        <v>31965.903532255408</v>
      </c>
      <c r="AB585" s="106">
        <v>347.32925618814915</v>
      </c>
      <c r="AC585" s="106">
        <v>3.1283332848419048</v>
      </c>
      <c r="AD585" s="106">
        <v>35.867446393762179</v>
      </c>
      <c r="AE585" s="106">
        <v>92.033432147562579</v>
      </c>
      <c r="AF585" s="106"/>
      <c r="AG585" s="106">
        <v>1220</v>
      </c>
      <c r="AH585" s="106">
        <v>11403.136407558513</v>
      </c>
      <c r="AI585" s="106">
        <v>11403.136407558513</v>
      </c>
      <c r="AJ585" s="106">
        <v>12263.713066351729</v>
      </c>
      <c r="AK585" s="104">
        <v>12633.905733304702</v>
      </c>
      <c r="AL585" s="118">
        <v>136849483</v>
      </c>
      <c r="AM585" s="118">
        <v>36465</v>
      </c>
      <c r="AN585" s="118">
        <v>558827</v>
      </c>
      <c r="AO585" s="118">
        <v>2159</v>
      </c>
      <c r="AP585" s="118">
        <f t="shared" si="9"/>
        <v>24</v>
      </c>
    </row>
    <row r="586" spans="1:42" ht="12.75">
      <c r="A586" s="106">
        <v>2018</v>
      </c>
      <c r="B586" s="106">
        <v>-175652</v>
      </c>
      <c r="C586" s="106">
        <v>0</v>
      </c>
      <c r="D586" s="106">
        <v>175652</v>
      </c>
      <c r="E586" s="106" t="s">
        <v>1090</v>
      </c>
      <c r="F586" s="106" t="s">
        <v>1091</v>
      </c>
      <c r="G586" s="106" t="s">
        <v>107</v>
      </c>
      <c r="H586" s="106">
        <v>4</v>
      </c>
      <c r="I586" s="106" t="s">
        <v>24</v>
      </c>
      <c r="J586" s="106">
        <v>3240</v>
      </c>
      <c r="K586" s="106">
        <v>6787</v>
      </c>
      <c r="L586" s="106">
        <v>5853</v>
      </c>
      <c r="M586" s="106">
        <v>0.68</v>
      </c>
      <c r="N586" s="106">
        <v>0.37</v>
      </c>
      <c r="O586" s="106">
        <v>0.47</v>
      </c>
      <c r="P586" s="106">
        <v>2917</v>
      </c>
      <c r="Q586" s="106">
        <v>699.37748344370857</v>
      </c>
      <c r="R586" s="106">
        <v>0.22395581585204802</v>
      </c>
      <c r="S586" s="106">
        <v>11773.01030169242</v>
      </c>
      <c r="T586" s="106">
        <v>12723.834437086092</v>
      </c>
      <c r="U586" s="106">
        <v>7617.2695609516804</v>
      </c>
      <c r="V586" s="106">
        <v>0.31815329456760272</v>
      </c>
      <c r="W586" s="106">
        <v>67010.287179487175</v>
      </c>
      <c r="X586" s="110">
        <v>0.50378747418822911</v>
      </c>
      <c r="Y586" s="106">
        <v>921.83668341708551</v>
      </c>
      <c r="Z586" s="106">
        <v>30.731155778894475</v>
      </c>
      <c r="AA586" s="106">
        <v>30476.553483807653</v>
      </c>
      <c r="AB586" s="106">
        <v>253.93597553496815</v>
      </c>
      <c r="AC586" s="106">
        <v>3.2812109168817427</v>
      </c>
      <c r="AD586" s="106">
        <v>34.730743012951606</v>
      </c>
      <c r="AE586" s="106">
        <v>120.01668302257114</v>
      </c>
      <c r="AF586" s="106">
        <v>0.3561554714966626</v>
      </c>
      <c r="AG586" s="106">
        <v>3000</v>
      </c>
      <c r="AH586" s="106">
        <v>10537.610497915133</v>
      </c>
      <c r="AI586" s="106">
        <v>10537.610497915133</v>
      </c>
      <c r="AJ586" s="106">
        <v>11808.408143242581</v>
      </c>
      <c r="AK586" s="104">
        <v>8954.4684817267607</v>
      </c>
      <c r="AL586" s="118">
        <v>19188621</v>
      </c>
      <c r="AM586" s="118">
        <v>3908</v>
      </c>
      <c r="AN586" s="118">
        <v>122297</v>
      </c>
      <c r="AO586" s="118">
        <v>771</v>
      </c>
      <c r="AP586" s="118">
        <f t="shared" si="9"/>
        <v>240</v>
      </c>
    </row>
    <row r="587" spans="1:42" ht="12.75">
      <c r="A587" s="106">
        <v>2018</v>
      </c>
      <c r="B587" s="106">
        <v>-413802</v>
      </c>
      <c r="C587" s="106">
        <v>0</v>
      </c>
      <c r="D587" s="106">
        <v>413802</v>
      </c>
      <c r="E587" s="106" t="s">
        <v>1092</v>
      </c>
      <c r="F587" s="106" t="s">
        <v>1093</v>
      </c>
      <c r="G587" s="106" t="s">
        <v>121</v>
      </c>
      <c r="H587" s="106">
        <v>4</v>
      </c>
      <c r="I587" s="106" t="s">
        <v>24</v>
      </c>
      <c r="J587" s="106"/>
      <c r="K587" s="106">
        <v>12323</v>
      </c>
      <c r="L587" s="106">
        <v>12514</v>
      </c>
      <c r="M587" s="106">
        <v>0.88</v>
      </c>
      <c r="N587" s="106">
        <v>0.01</v>
      </c>
      <c r="O587" s="106">
        <v>0.11</v>
      </c>
      <c r="P587" s="106">
        <v>1696</v>
      </c>
      <c r="Q587" s="106"/>
      <c r="R587" s="106"/>
      <c r="S587" s="106">
        <v>10023.753488372093</v>
      </c>
      <c r="T587" s="106">
        <v>16095.320930232558</v>
      </c>
      <c r="U587" s="106">
        <v>9996.8093023255806</v>
      </c>
      <c r="V587" s="106">
        <v>0.47322168840848755</v>
      </c>
      <c r="W587" s="106">
        <v>82665.923076923078</v>
      </c>
      <c r="X587" s="110">
        <v>0.62110034000925884</v>
      </c>
      <c r="Y587" s="106">
        <v>419.12648648648644</v>
      </c>
      <c r="Z587" s="106">
        <v>17.432432432432432</v>
      </c>
      <c r="AA587" s="106">
        <v>8266.5923076923082</v>
      </c>
      <c r="AB587" s="106">
        <v>415.79024070654026</v>
      </c>
      <c r="AC587" s="106">
        <v>12.096883005461278</v>
      </c>
      <c r="AD587" s="106">
        <v>292.13483146067415</v>
      </c>
      <c r="AE587" s="106">
        <v>19.881641025641024</v>
      </c>
      <c r="AF587" s="106">
        <v>-2.1964675120138919</v>
      </c>
      <c r="AG587" s="106"/>
      <c r="AH587" s="106">
        <v>8442.4930232558145</v>
      </c>
      <c r="AI587" s="106">
        <v>8442.4930232558145</v>
      </c>
      <c r="AJ587" s="106">
        <v>10023.753488372093</v>
      </c>
      <c r="AK587" s="104">
        <v>16095.320930232558</v>
      </c>
      <c r="AL587" s="119">
        <v>676051</v>
      </c>
      <c r="AM587" s="118">
        <v>118</v>
      </c>
      <c r="AN587" s="118">
        <v>5169.2266666666665</v>
      </c>
      <c r="AO587" s="118">
        <v>33</v>
      </c>
      <c r="AP587" s="118">
        <f t="shared" si="9"/>
        <v>0</v>
      </c>
    </row>
    <row r="588" spans="1:42" ht="12.75">
      <c r="A588" s="106">
        <v>2018</v>
      </c>
      <c r="B588" s="106">
        <v>-212115</v>
      </c>
      <c r="C588" s="106">
        <v>0</v>
      </c>
      <c r="D588" s="106">
        <v>212115</v>
      </c>
      <c r="E588" s="106" t="s">
        <v>1094</v>
      </c>
      <c r="F588" s="106" t="s">
        <v>1095</v>
      </c>
      <c r="G588" s="106" t="s">
        <v>104</v>
      </c>
      <c r="H588" s="106">
        <v>2</v>
      </c>
      <c r="I588" s="106" t="s">
        <v>25</v>
      </c>
      <c r="J588" s="106">
        <v>10298</v>
      </c>
      <c r="K588" s="106">
        <v>15275</v>
      </c>
      <c r="L588" s="106">
        <v>13813</v>
      </c>
      <c r="M588" s="106">
        <v>0.45</v>
      </c>
      <c r="N588" s="106">
        <v>0.79</v>
      </c>
      <c r="O588" s="106">
        <v>0.11</v>
      </c>
      <c r="P588" s="106">
        <v>4346</v>
      </c>
      <c r="Q588" s="106">
        <v>654.24260167748059</v>
      </c>
      <c r="R588" s="106">
        <v>5.8726720701316105E-2</v>
      </c>
      <c r="S588" s="106">
        <v>19635.514638392149</v>
      </c>
      <c r="T588" s="106">
        <v>18933.561006488369</v>
      </c>
      <c r="U588" s="106">
        <v>13620.77922005542</v>
      </c>
      <c r="V588" s="106">
        <v>0.76986902480235719</v>
      </c>
      <c r="W588" s="106">
        <v>111649.32986627043</v>
      </c>
      <c r="X588" s="110">
        <v>0.6280446584057201</v>
      </c>
      <c r="Y588" s="106">
        <v>647.31865585168009</v>
      </c>
      <c r="Z588" s="106">
        <v>21.966396292004635</v>
      </c>
      <c r="AA588" s="106">
        <v>56291.500256069456</v>
      </c>
      <c r="AB588" s="106">
        <v>462.21351949138722</v>
      </c>
      <c r="AC588" s="106">
        <v>1.7764671317179508</v>
      </c>
      <c r="AD588" s="106">
        <v>24.709114414996769</v>
      </c>
      <c r="AE588" s="106">
        <v>121.78678875081752</v>
      </c>
      <c r="AF588" s="106">
        <v>0.5398247598135435</v>
      </c>
      <c r="AG588" s="106">
        <v>7492</v>
      </c>
      <c r="AH588" s="106">
        <v>19964.463997467952</v>
      </c>
      <c r="AI588" s="106">
        <v>20009.594397847759</v>
      </c>
      <c r="AJ588" s="106">
        <v>19898.716252571608</v>
      </c>
      <c r="AK588" s="104">
        <v>14971.062668143693</v>
      </c>
      <c r="AL588" s="118">
        <v>27030316</v>
      </c>
      <c r="AM588" s="118">
        <v>6051</v>
      </c>
      <c r="AN588" s="118">
        <v>186212</v>
      </c>
      <c r="AO588" s="118">
        <v>1270</v>
      </c>
      <c r="AP588" s="118">
        <f t="shared" si="9"/>
        <v>2806</v>
      </c>
    </row>
    <row r="589" spans="1:42" ht="12.75">
      <c r="A589" s="106">
        <v>2018</v>
      </c>
      <c r="B589" s="106">
        <v>-220075</v>
      </c>
      <c r="C589" s="106">
        <v>0</v>
      </c>
      <c r="D589" s="106">
        <v>220075</v>
      </c>
      <c r="E589" s="106" t="s">
        <v>1096</v>
      </c>
      <c r="F589" s="106" t="s">
        <v>1097</v>
      </c>
      <c r="G589" s="106" t="s">
        <v>255</v>
      </c>
      <c r="H589" s="106">
        <v>1</v>
      </c>
      <c r="I589" s="106" t="s">
        <v>23</v>
      </c>
      <c r="J589" s="106">
        <v>8679</v>
      </c>
      <c r="K589" s="106">
        <v>11062</v>
      </c>
      <c r="L589" s="106">
        <v>8031</v>
      </c>
      <c r="M589" s="106">
        <v>0.5</v>
      </c>
      <c r="N589" s="106">
        <v>0.49</v>
      </c>
      <c r="O589" s="106">
        <v>0.37</v>
      </c>
      <c r="P589" s="106">
        <v>8225</v>
      </c>
      <c r="Q589" s="106">
        <v>2479.9630429750791</v>
      </c>
      <c r="R589" s="106">
        <v>0.18908812351162332</v>
      </c>
      <c r="S589" s="106">
        <v>29386.30468328061</v>
      </c>
      <c r="T589" s="106">
        <v>28670.196126842064</v>
      </c>
      <c r="U589" s="106">
        <v>18042.25351654768</v>
      </c>
      <c r="V589" s="106">
        <v>0.58947289068815334</v>
      </c>
      <c r="W589" s="106">
        <v>97555.982730923701</v>
      </c>
      <c r="X589" s="110">
        <v>0.65370842282741326</v>
      </c>
      <c r="Y589" s="106">
        <v>371.36046912728523</v>
      </c>
      <c r="Z589" s="106">
        <v>13.412556053811659</v>
      </c>
      <c r="AA589" s="106">
        <v>67978.385996504207</v>
      </c>
      <c r="AB589" s="106">
        <v>651.63838573467626</v>
      </c>
      <c r="AC589" s="106">
        <v>1.4710558147871076</v>
      </c>
      <c r="AD589" s="106">
        <v>27.251841875940741</v>
      </c>
      <c r="AE589" s="106">
        <v>104.31918604651163</v>
      </c>
      <c r="AF589" s="106">
        <v>0.12049285815835482</v>
      </c>
      <c r="AG589" s="106">
        <v>6888</v>
      </c>
      <c r="AH589" s="106">
        <v>29231.629426741765</v>
      </c>
      <c r="AI589" s="106">
        <v>29553.866445490316</v>
      </c>
      <c r="AJ589" s="106">
        <v>29582.997145281999</v>
      </c>
      <c r="AK589" s="104">
        <v>23819.682894838363</v>
      </c>
      <c r="AL589" s="119">
        <v>102141245</v>
      </c>
      <c r="AM589" s="118">
        <v>11323</v>
      </c>
      <c r="AN589" s="118">
        <v>358858</v>
      </c>
      <c r="AO589" s="118">
        <v>2442</v>
      </c>
      <c r="AP589" s="118">
        <f t="shared" si="9"/>
        <v>1791</v>
      </c>
    </row>
    <row r="590" spans="1:42" ht="12.75">
      <c r="A590" s="106">
        <v>2018</v>
      </c>
      <c r="B590" s="106">
        <v>-224527</v>
      </c>
      <c r="C590" s="106">
        <v>0</v>
      </c>
      <c r="D590" s="106">
        <v>224527</v>
      </c>
      <c r="E590" s="106" t="s">
        <v>1098</v>
      </c>
      <c r="F590" s="106" t="s">
        <v>1099</v>
      </c>
      <c r="G590" s="106" t="s">
        <v>60</v>
      </c>
      <c r="H590" s="106">
        <v>7</v>
      </c>
      <c r="I590" s="106" t="s">
        <v>3641</v>
      </c>
      <c r="J590" s="106">
        <v>25470</v>
      </c>
      <c r="K590" s="106">
        <v>21850</v>
      </c>
      <c r="L590" s="106">
        <v>18454</v>
      </c>
      <c r="M590" s="106">
        <v>0.45</v>
      </c>
      <c r="N590" s="106">
        <v>0.79</v>
      </c>
      <c r="O590" s="106">
        <v>0.99</v>
      </c>
      <c r="P590" s="106">
        <v>12135</v>
      </c>
      <c r="Q590" s="106">
        <v>10379.533333333333</v>
      </c>
      <c r="R590" s="106">
        <v>0.45888424515010934</v>
      </c>
      <c r="S590" s="106">
        <v>21360.397101449274</v>
      </c>
      <c r="T590" s="106">
        <v>24553.369565217392</v>
      </c>
      <c r="U590" s="106">
        <v>19552.021014492755</v>
      </c>
      <c r="V590" s="106">
        <v>0.62599837245780854</v>
      </c>
      <c r="W590" s="106">
        <v>64883.34422110553</v>
      </c>
      <c r="X590" s="110">
        <v>0.50808322007812023</v>
      </c>
      <c r="Y590" s="106">
        <v>477.9375</v>
      </c>
      <c r="Z590" s="106">
        <v>16.171875</v>
      </c>
      <c r="AA590" s="106">
        <v>92720.92439862543</v>
      </c>
      <c r="AB590" s="106">
        <v>661.57780011769319</v>
      </c>
      <c r="AC590" s="106">
        <v>1.0785052095693135</v>
      </c>
      <c r="AD590" s="106">
        <v>21.349963316214232</v>
      </c>
      <c r="AE590" s="106">
        <v>140.15120274914091</v>
      </c>
      <c r="AF590" s="106">
        <v>1.9984980125778207E-2</v>
      </c>
      <c r="AG590" s="106">
        <v>24420</v>
      </c>
      <c r="AH590" s="106">
        <v>18608.889855072463</v>
      </c>
      <c r="AI590" s="106">
        <v>21360.397101449274</v>
      </c>
      <c r="AJ590" s="106">
        <v>26106.702898550724</v>
      </c>
      <c r="AK590" s="104">
        <v>19552.021014492755</v>
      </c>
      <c r="AL590" s="118"/>
      <c r="AM590" s="118">
        <v>1421</v>
      </c>
      <c r="AN590" s="118">
        <v>40784</v>
      </c>
      <c r="AO590" s="118">
        <v>234</v>
      </c>
      <c r="AP590" s="118">
        <f t="shared" si="9"/>
        <v>1050</v>
      </c>
    </row>
    <row r="591" spans="1:42" ht="12.75">
      <c r="A591" s="106">
        <v>2018</v>
      </c>
      <c r="B591" s="106">
        <v>-104577</v>
      </c>
      <c r="C591" s="106">
        <v>0</v>
      </c>
      <c r="D591" s="106">
        <v>104577</v>
      </c>
      <c r="E591" s="106" t="s">
        <v>1101</v>
      </c>
      <c r="F591" s="106" t="s">
        <v>1102</v>
      </c>
      <c r="G591" s="106" t="s">
        <v>147</v>
      </c>
      <c r="H591" s="106">
        <v>4</v>
      </c>
      <c r="I591" s="106" t="s">
        <v>24</v>
      </c>
      <c r="J591" s="106">
        <v>2550</v>
      </c>
      <c r="K591" s="106">
        <v>6479</v>
      </c>
      <c r="L591" s="106">
        <v>6795</v>
      </c>
      <c r="M591" s="106">
        <v>0.35</v>
      </c>
      <c r="N591" s="106">
        <v>0.01</v>
      </c>
      <c r="O591" s="106">
        <v>0.25</v>
      </c>
      <c r="P591" s="106">
        <v>8432</v>
      </c>
      <c r="Q591" s="106">
        <v>818.44464751958219</v>
      </c>
      <c r="R591" s="106">
        <v>0.39639862136205939</v>
      </c>
      <c r="S591" s="106">
        <v>10957.434203655352</v>
      </c>
      <c r="T591" s="106">
        <v>11357.672584856396</v>
      </c>
      <c r="U591" s="106">
        <v>9733.2240208877283</v>
      </c>
      <c r="V591" s="106">
        <v>0.12804147877335867</v>
      </c>
      <c r="W591" s="106">
        <v>68399.732909379964</v>
      </c>
      <c r="X591" s="110">
        <v>0.65936467051890668</v>
      </c>
      <c r="Y591" s="106">
        <v>625.64428312159703</v>
      </c>
      <c r="Z591" s="106">
        <v>20.852994555353899</v>
      </c>
      <c r="AA591" s="106">
        <v>20281.963003264416</v>
      </c>
      <c r="AB591" s="106">
        <v>324.41256635627883</v>
      </c>
      <c r="AC591" s="106">
        <v>4.9304892225621764</v>
      </c>
      <c r="AD591" s="106">
        <v>53.476869362816416</v>
      </c>
      <c r="AE591" s="106">
        <v>62.519042437431992</v>
      </c>
      <c r="AF591" s="106">
        <v>-3.6891463844875336E-2</v>
      </c>
      <c r="AG591" s="106">
        <v>2550</v>
      </c>
      <c r="AH591" s="106">
        <v>10279.620365535247</v>
      </c>
      <c r="AI591" s="106">
        <v>10279.620365535247</v>
      </c>
      <c r="AJ591" s="106">
        <v>11044.677545691906</v>
      </c>
      <c r="AK591" s="104">
        <v>10505.337597911228</v>
      </c>
      <c r="AL591" s="118">
        <v>24628956</v>
      </c>
      <c r="AM591" s="118">
        <v>6365</v>
      </c>
      <c r="AN591" s="118">
        <v>114910</v>
      </c>
      <c r="AO591" s="118">
        <v>579</v>
      </c>
      <c r="AP591" s="118">
        <f t="shared" si="9"/>
        <v>0</v>
      </c>
    </row>
    <row r="592" spans="1:42" ht="12.75">
      <c r="A592" s="106">
        <v>2018</v>
      </c>
      <c r="B592" s="106">
        <v>-129215</v>
      </c>
      <c r="C592" s="106">
        <v>0</v>
      </c>
      <c r="D592" s="106">
        <v>129215</v>
      </c>
      <c r="E592" s="106" t="s">
        <v>1103</v>
      </c>
      <c r="F592" s="106" t="s">
        <v>1104</v>
      </c>
      <c r="G592" s="106" t="s">
        <v>99</v>
      </c>
      <c r="H592" s="106">
        <v>2</v>
      </c>
      <c r="I592" s="106" t="s">
        <v>25</v>
      </c>
      <c r="J592" s="106">
        <v>10919</v>
      </c>
      <c r="K592" s="106">
        <v>17769</v>
      </c>
      <c r="L592" s="106">
        <v>14716</v>
      </c>
      <c r="M592" s="106">
        <v>0.36</v>
      </c>
      <c r="N592" s="106">
        <v>0.72</v>
      </c>
      <c r="O592" s="106">
        <v>0.78</v>
      </c>
      <c r="P592" s="106">
        <v>5253</v>
      </c>
      <c r="Q592" s="106">
        <v>2883.0844922039614</v>
      </c>
      <c r="R592" s="106">
        <v>0.30126927430647021</v>
      </c>
      <c r="S592" s="106">
        <v>26541.892119679731</v>
      </c>
      <c r="T592" s="106">
        <v>29254.135482511589</v>
      </c>
      <c r="U592" s="106">
        <v>22715.475830923737</v>
      </c>
      <c r="V592" s="106">
        <v>0.29436795535678645</v>
      </c>
      <c r="W592" s="106">
        <v>129343.27493138153</v>
      </c>
      <c r="X592" s="110">
        <v>0.67882488324142776</v>
      </c>
      <c r="Y592" s="106">
        <v>465.7293729372937</v>
      </c>
      <c r="Z592" s="106">
        <v>15.663366336633663</v>
      </c>
      <c r="AA592" s="106">
        <v>96515.35209808778</v>
      </c>
      <c r="AB592" s="106">
        <v>763.96474030984473</v>
      </c>
      <c r="AC592" s="106">
        <v>1.0361045971046221</v>
      </c>
      <c r="AD592" s="106">
        <v>23.801406349882804</v>
      </c>
      <c r="AE592" s="106">
        <v>126.33482542524619</v>
      </c>
      <c r="AF592" s="106">
        <v>2.8211710495610779E-2</v>
      </c>
      <c r="AG592" s="106">
        <v>5424</v>
      </c>
      <c r="AH592" s="106">
        <v>24827.421407501053</v>
      </c>
      <c r="AI592" s="106">
        <v>24909.60450906026</v>
      </c>
      <c r="AJ592" s="106">
        <v>26683.206700379265</v>
      </c>
      <c r="AK592" s="104">
        <v>26374.456805731141</v>
      </c>
      <c r="AL592" s="118">
        <v>49803080</v>
      </c>
      <c r="AM592" s="118">
        <v>5073</v>
      </c>
      <c r="AN592" s="118">
        <v>141116</v>
      </c>
      <c r="AO592" s="118">
        <v>1015</v>
      </c>
      <c r="AP592" s="118">
        <f t="shared" si="9"/>
        <v>5495</v>
      </c>
    </row>
    <row r="593" spans="1:42" ht="12.75">
      <c r="A593" s="106">
        <v>2018</v>
      </c>
      <c r="B593" s="106">
        <v>-132693</v>
      </c>
      <c r="C593" s="106">
        <v>0</v>
      </c>
      <c r="D593" s="106">
        <v>132693</v>
      </c>
      <c r="E593" s="106" t="s">
        <v>1105</v>
      </c>
      <c r="F593" s="106" t="s">
        <v>1106</v>
      </c>
      <c r="G593" s="106" t="s">
        <v>258</v>
      </c>
      <c r="H593" s="106">
        <v>4</v>
      </c>
      <c r="I593" s="106" t="s">
        <v>24</v>
      </c>
      <c r="J593" s="106">
        <v>2496</v>
      </c>
      <c r="K593" s="106">
        <v>4408</v>
      </c>
      <c r="L593" s="106">
        <v>5579</v>
      </c>
      <c r="M593" s="106">
        <v>0.46</v>
      </c>
      <c r="N593" s="106">
        <v>0.21</v>
      </c>
      <c r="O593" s="106">
        <v>7.0000000000000007E-2</v>
      </c>
      <c r="P593" s="106">
        <v>1469</v>
      </c>
      <c r="Q593" s="106">
        <v>133.98016056104089</v>
      </c>
      <c r="R593" s="106">
        <v>4.7444922027483453E-2</v>
      </c>
      <c r="S593" s="106">
        <v>9748.9159361446891</v>
      </c>
      <c r="T593" s="106">
        <v>10698.158530958752</v>
      </c>
      <c r="U593" s="106">
        <v>8543.3808357506787</v>
      </c>
      <c r="V593" s="106">
        <v>0.31485535710859058</v>
      </c>
      <c r="W593" s="106">
        <v>56772.538933169839</v>
      </c>
      <c r="X593" s="110">
        <v>0.5324550080861894</v>
      </c>
      <c r="Y593" s="106">
        <v>656.17305348679747</v>
      </c>
      <c r="Z593" s="106">
        <v>22.01150981719702</v>
      </c>
      <c r="AA593" s="106">
        <v>21481.34991114388</v>
      </c>
      <c r="AB593" s="106">
        <v>286.59011542594942</v>
      </c>
      <c r="AC593" s="106">
        <v>4.6552009260890541</v>
      </c>
      <c r="AD593" s="106">
        <v>45.111994975926315</v>
      </c>
      <c r="AE593" s="106">
        <v>74.954957463263725</v>
      </c>
      <c r="AF593" s="106">
        <v>-2.3253638040562932E-2</v>
      </c>
      <c r="AG593" s="106">
        <v>1892</v>
      </c>
      <c r="AH593" s="106">
        <v>8403.6690966134538</v>
      </c>
      <c r="AI593" s="106">
        <v>8403.6690966134538</v>
      </c>
      <c r="AJ593" s="106">
        <v>9784.4671034419116</v>
      </c>
      <c r="AK593" s="104">
        <v>10698.158438682292</v>
      </c>
      <c r="AL593" s="118">
        <v>44533799</v>
      </c>
      <c r="AM593" s="118">
        <v>15769</v>
      </c>
      <c r="AN593" s="118">
        <v>323055.86666666664</v>
      </c>
      <c r="AO593" s="118">
        <v>2940</v>
      </c>
      <c r="AP593" s="118">
        <f t="shared" si="9"/>
        <v>604</v>
      </c>
    </row>
    <row r="594" spans="1:42" ht="12.75">
      <c r="A594" s="106">
        <v>2018</v>
      </c>
      <c r="B594" s="106">
        <v>-203331</v>
      </c>
      <c r="C594" s="106">
        <v>0</v>
      </c>
      <c r="D594" s="106">
        <v>203331</v>
      </c>
      <c r="E594" s="106" t="s">
        <v>1107</v>
      </c>
      <c r="F594" s="106" t="s">
        <v>1108</v>
      </c>
      <c r="G594" s="106" t="s">
        <v>82</v>
      </c>
      <c r="H594" s="106">
        <v>4</v>
      </c>
      <c r="I594" s="106" t="s">
        <v>24</v>
      </c>
      <c r="J594" s="106">
        <v>3645</v>
      </c>
      <c r="K594" s="106">
        <v>3446</v>
      </c>
      <c r="L594" s="106">
        <v>2520</v>
      </c>
      <c r="M594" s="106">
        <v>0.63</v>
      </c>
      <c r="N594" s="106">
        <v>0.28999999999999998</v>
      </c>
      <c r="O594" s="106">
        <v>0.53</v>
      </c>
      <c r="P594" s="106">
        <v>4232</v>
      </c>
      <c r="Q594" s="106">
        <v>7.2902740641711228</v>
      </c>
      <c r="R594" s="106">
        <v>1.2760807504483907E-3</v>
      </c>
      <c r="S594" s="106">
        <v>8833.4323195187171</v>
      </c>
      <c r="T594" s="106">
        <v>7450.059659090909</v>
      </c>
      <c r="U594" s="106">
        <v>3469.8119725652978</v>
      </c>
      <c r="V594" s="106">
        <v>1.6443914414025764</v>
      </c>
      <c r="W594" s="106">
        <v>66745.025423728817</v>
      </c>
      <c r="X594" s="110">
        <v>0.35332923279671724</v>
      </c>
      <c r="Y594" s="106">
        <v>1310.2627737226278</v>
      </c>
      <c r="Z594" s="106">
        <v>43.678832116788321</v>
      </c>
      <c r="AA594" s="106">
        <v>37889.333656625444</v>
      </c>
      <c r="AB594" s="106">
        <v>115.66941965076789</v>
      </c>
      <c r="AC594" s="106">
        <v>2.6392652060407431</v>
      </c>
      <c r="AD594" s="106">
        <v>13.571074789499752</v>
      </c>
      <c r="AE594" s="106">
        <v>327.56569343065695</v>
      </c>
      <c r="AF594" s="106">
        <v>-2.1170503282521782</v>
      </c>
      <c r="AG594" s="106">
        <v>3510</v>
      </c>
      <c r="AH594" s="106">
        <v>8826.142045454546</v>
      </c>
      <c r="AI594" s="106">
        <v>8826.142045454546</v>
      </c>
      <c r="AJ594" s="106">
        <v>8834.3123328877009</v>
      </c>
      <c r="AK594" s="104">
        <v>3770.2352941176468</v>
      </c>
      <c r="AL594" s="118">
        <v>9927592</v>
      </c>
      <c r="AM594" s="118">
        <v>8526</v>
      </c>
      <c r="AN594" s="118">
        <v>179506</v>
      </c>
      <c r="AO594" s="118">
        <v>462</v>
      </c>
      <c r="AP594" s="118">
        <f t="shared" si="9"/>
        <v>135</v>
      </c>
    </row>
    <row r="595" spans="1:42" ht="12.75">
      <c r="A595" s="106">
        <v>2018</v>
      </c>
      <c r="B595" s="106">
        <v>-144892</v>
      </c>
      <c r="C595" s="106">
        <v>0</v>
      </c>
      <c r="D595" s="106">
        <v>144892</v>
      </c>
      <c r="E595" s="106" t="s">
        <v>1110</v>
      </c>
      <c r="F595" s="106" t="s">
        <v>620</v>
      </c>
      <c r="G595" s="106" t="s">
        <v>243</v>
      </c>
      <c r="H595" s="106">
        <v>2</v>
      </c>
      <c r="I595" s="106" t="s">
        <v>25</v>
      </c>
      <c r="J595" s="106">
        <v>11535</v>
      </c>
      <c r="K595" s="106">
        <v>13168</v>
      </c>
      <c r="L595" s="106">
        <v>12082</v>
      </c>
      <c r="M595" s="106">
        <v>0.55000000000000004</v>
      </c>
      <c r="N595" s="106">
        <v>0.69</v>
      </c>
      <c r="O595" s="106">
        <v>0.74</v>
      </c>
      <c r="P595" s="106">
        <v>5433</v>
      </c>
      <c r="Q595" s="106">
        <v>2502.3339616175463</v>
      </c>
      <c r="R595" s="106">
        <v>0.24193724130213132</v>
      </c>
      <c r="S595" s="106">
        <v>36292.017991775188</v>
      </c>
      <c r="T595" s="106">
        <v>36350.637422892389</v>
      </c>
      <c r="U595" s="106">
        <v>26713.87532568652</v>
      </c>
      <c r="V595" s="106">
        <v>0.29350182952155779</v>
      </c>
      <c r="W595" s="106">
        <v>141316.05320108205</v>
      </c>
      <c r="X595" s="110">
        <v>0.73874700248399283</v>
      </c>
      <c r="Y595" s="106">
        <v>401.02065131056395</v>
      </c>
      <c r="Z595" s="106">
        <v>13.906274821286734</v>
      </c>
      <c r="AA595" s="106">
        <v>68770.258668154624</v>
      </c>
      <c r="AB595" s="106">
        <v>926.36249681040158</v>
      </c>
      <c r="AC595" s="106">
        <v>1.4541169676639141</v>
      </c>
      <c r="AD595" s="106">
        <v>39.194329183955738</v>
      </c>
      <c r="AE595" s="106">
        <v>74.236876929863257</v>
      </c>
      <c r="AF595" s="106">
        <v>3.6658409075766498E-3</v>
      </c>
      <c r="AG595" s="106">
        <v>8617</v>
      </c>
      <c r="AH595" s="106">
        <v>38265.563399588762</v>
      </c>
      <c r="AI595" s="106">
        <v>38750.845442083621</v>
      </c>
      <c r="AJ595" s="106">
        <v>36433.167409184374</v>
      </c>
      <c r="AK595" s="104">
        <v>28119.43848526388</v>
      </c>
      <c r="AL595" s="118">
        <v>55439800</v>
      </c>
      <c r="AM595" s="118">
        <v>5568</v>
      </c>
      <c r="AN595" s="118">
        <v>168295</v>
      </c>
      <c r="AO595" s="118">
        <v>1462</v>
      </c>
      <c r="AP595" s="118">
        <f t="shared" si="9"/>
        <v>2918</v>
      </c>
    </row>
    <row r="596" spans="1:42" ht="12.75">
      <c r="A596" s="106">
        <v>2018</v>
      </c>
      <c r="B596" s="106">
        <v>-153311</v>
      </c>
      <c r="C596" s="106">
        <v>0</v>
      </c>
      <c r="D596" s="106">
        <v>153311</v>
      </c>
      <c r="E596" s="106" t="s">
        <v>1111</v>
      </c>
      <c r="F596" s="106" t="s">
        <v>1112</v>
      </c>
      <c r="G596" s="106" t="s">
        <v>447</v>
      </c>
      <c r="H596" s="106">
        <v>4</v>
      </c>
      <c r="I596" s="106" t="s">
        <v>24</v>
      </c>
      <c r="J596" s="106">
        <v>4960</v>
      </c>
      <c r="K596" s="106">
        <v>9697</v>
      </c>
      <c r="L596" s="106">
        <v>8759</v>
      </c>
      <c r="M596" s="106">
        <v>0.56000000000000005</v>
      </c>
      <c r="N596" s="106">
        <v>0.31</v>
      </c>
      <c r="O596" s="106">
        <v>0.2</v>
      </c>
      <c r="P596" s="106">
        <v>1173</v>
      </c>
      <c r="Q596" s="106">
        <v>314.69564306661078</v>
      </c>
      <c r="R596" s="106">
        <v>6.5070096584908907E-2</v>
      </c>
      <c r="S596" s="106">
        <v>17060.448261416004</v>
      </c>
      <c r="T596" s="106">
        <v>15368.130708001676</v>
      </c>
      <c r="U596" s="106">
        <v>9926.5073271823803</v>
      </c>
      <c r="V596" s="106">
        <v>0.45550365075421151</v>
      </c>
      <c r="W596" s="106">
        <v>70837.293333333335</v>
      </c>
      <c r="X596" s="110">
        <v>0.50689475998731648</v>
      </c>
      <c r="Y596" s="106">
        <v>595.90568654646324</v>
      </c>
      <c r="Z596" s="106">
        <v>19.864077669902915</v>
      </c>
      <c r="AA596" s="106">
        <v>34768.265575912461</v>
      </c>
      <c r="AB596" s="106">
        <v>330.89281909820608</v>
      </c>
      <c r="AC596" s="106">
        <v>2.8761860375710038</v>
      </c>
      <c r="AD596" s="106">
        <v>32.592061214729796</v>
      </c>
      <c r="AE596" s="106">
        <v>105.07410124724872</v>
      </c>
      <c r="AF596" s="106">
        <v>9.5814720423742145E-2</v>
      </c>
      <c r="AG596" s="106">
        <v>4960</v>
      </c>
      <c r="AH596" s="106">
        <v>16752.149560117301</v>
      </c>
      <c r="AI596" s="106">
        <v>16752.149560117301</v>
      </c>
      <c r="AJ596" s="106">
        <v>17201.048387096773</v>
      </c>
      <c r="AK596" s="104">
        <v>12535.287808965228</v>
      </c>
      <c r="AL596" s="119">
        <v>36405095</v>
      </c>
      <c r="AM596" s="118">
        <v>7666</v>
      </c>
      <c r="AN596" s="118">
        <v>143216</v>
      </c>
      <c r="AO596" s="118">
        <v>803</v>
      </c>
      <c r="AP596" s="118">
        <f t="shared" si="9"/>
        <v>0</v>
      </c>
    </row>
    <row r="597" spans="1:42" ht="12.75">
      <c r="A597" s="106">
        <v>2018</v>
      </c>
      <c r="B597" s="106">
        <v>-156620</v>
      </c>
      <c r="C597" s="106">
        <v>0</v>
      </c>
      <c r="D597" s="106">
        <v>156620</v>
      </c>
      <c r="E597" s="106" t="s">
        <v>1113</v>
      </c>
      <c r="F597" s="106" t="s">
        <v>1078</v>
      </c>
      <c r="G597" s="106" t="s">
        <v>118</v>
      </c>
      <c r="H597" s="106">
        <v>2</v>
      </c>
      <c r="I597" s="106" t="s">
        <v>25</v>
      </c>
      <c r="J597" s="106">
        <v>9366</v>
      </c>
      <c r="K597" s="106">
        <v>14273</v>
      </c>
      <c r="L597" s="106">
        <v>11920</v>
      </c>
      <c r="M597" s="106">
        <v>0.49</v>
      </c>
      <c r="N597" s="106">
        <v>0.62</v>
      </c>
      <c r="O597" s="106">
        <v>0.6</v>
      </c>
      <c r="P597" s="106">
        <v>6650</v>
      </c>
      <c r="Q597" s="106">
        <v>3413.7266528313075</v>
      </c>
      <c r="R597" s="106">
        <v>0.29256885029652496</v>
      </c>
      <c r="S597" s="106">
        <v>22162.162170174917</v>
      </c>
      <c r="T597" s="106">
        <v>25099.57337681589</v>
      </c>
      <c r="U597" s="106">
        <v>13371.841646058256</v>
      </c>
      <c r="V597" s="106">
        <v>0.61729621176328697</v>
      </c>
      <c r="W597" s="106">
        <v>77135.877720964214</v>
      </c>
      <c r="X597" s="110">
        <v>0.51971583716825176</v>
      </c>
      <c r="Y597" s="106">
        <v>479.14829987709959</v>
      </c>
      <c r="Z597" s="106">
        <v>16.581728799672266</v>
      </c>
      <c r="AA597" s="106">
        <v>46450.279991920179</v>
      </c>
      <c r="AB597" s="106">
        <v>462.75495871314575</v>
      </c>
      <c r="AC597" s="106">
        <v>2.1528395526871864</v>
      </c>
      <c r="AD597" s="106">
        <v>28.808782079810118</v>
      </c>
      <c r="AE597" s="106">
        <v>100.37770339855818</v>
      </c>
      <c r="AF597" s="106">
        <v>0.42095504588720334</v>
      </c>
      <c r="AG597" s="106">
        <v>8996</v>
      </c>
      <c r="AH597" s="106">
        <v>22611.251037651942</v>
      </c>
      <c r="AI597" s="106">
        <v>22611.251037651942</v>
      </c>
      <c r="AJ597" s="106">
        <v>22307.865475837534</v>
      </c>
      <c r="AK597" s="104">
        <v>19649.173806700266</v>
      </c>
      <c r="AL597" s="118">
        <v>64394700</v>
      </c>
      <c r="AM597" s="118">
        <v>14143</v>
      </c>
      <c r="AN597" s="118">
        <v>389867</v>
      </c>
      <c r="AO597" s="118">
        <v>2854</v>
      </c>
      <c r="AP597" s="118">
        <f t="shared" si="9"/>
        <v>370</v>
      </c>
    </row>
    <row r="598" spans="1:42" ht="12.75">
      <c r="A598" s="106">
        <v>2018</v>
      </c>
      <c r="B598" s="106">
        <v>-161138</v>
      </c>
      <c r="C598" s="106">
        <v>0</v>
      </c>
      <c r="D598" s="106">
        <v>161138</v>
      </c>
      <c r="E598" s="106" t="s">
        <v>1114</v>
      </c>
      <c r="F598" s="106" t="s">
        <v>1115</v>
      </c>
      <c r="G598" s="106" t="s">
        <v>301</v>
      </c>
      <c r="H598" s="106">
        <v>4</v>
      </c>
      <c r="I598" s="106" t="s">
        <v>24</v>
      </c>
      <c r="J598" s="106">
        <v>3747</v>
      </c>
      <c r="K598" s="106">
        <v>10229</v>
      </c>
      <c r="L598" s="106">
        <v>8388</v>
      </c>
      <c r="M598" s="106">
        <v>0.59</v>
      </c>
      <c r="N598" s="106">
        <v>0.49</v>
      </c>
      <c r="O598" s="106">
        <v>0.34</v>
      </c>
      <c r="P598" s="106">
        <v>1292</v>
      </c>
      <c r="Q598" s="106">
        <v>38.789372599231754</v>
      </c>
      <c r="R598" s="106">
        <v>7.9314794737673014E-3</v>
      </c>
      <c r="S598" s="106">
        <v>11466.747119078105</v>
      </c>
      <c r="T598" s="106">
        <v>12280.864276568502</v>
      </c>
      <c r="U598" s="106">
        <v>11157.472698159654</v>
      </c>
      <c r="V598" s="106">
        <v>0.43484490598426739</v>
      </c>
      <c r="W598" s="106">
        <v>56670.226851851854</v>
      </c>
      <c r="X598" s="110">
        <v>0.63811468765362145</v>
      </c>
      <c r="Y598" s="106">
        <v>327.76923076923077</v>
      </c>
      <c r="Z598" s="106">
        <v>10.923076923076923</v>
      </c>
      <c r="AA598" s="106">
        <v>38052.341385426596</v>
      </c>
      <c r="AB598" s="106">
        <v>371.82847292623114</v>
      </c>
      <c r="AC598" s="106">
        <v>2.6279591835654643</v>
      </c>
      <c r="AD598" s="106">
        <v>28.236744759556103</v>
      </c>
      <c r="AE598" s="106">
        <v>102.33842794759825</v>
      </c>
      <c r="AF598" s="106">
        <v>-2.7822450832306514E-2</v>
      </c>
      <c r="AG598" s="106">
        <v>2760</v>
      </c>
      <c r="AH598" s="106">
        <v>11996.637644046095</v>
      </c>
      <c r="AI598" s="106">
        <v>12002.499359795134</v>
      </c>
      <c r="AJ598" s="106">
        <v>11538.508322663252</v>
      </c>
      <c r="AK598" s="104">
        <v>11323.352112676057</v>
      </c>
      <c r="AL598" s="118">
        <v>8230315</v>
      </c>
      <c r="AM598" s="118">
        <v>2567</v>
      </c>
      <c r="AN598" s="118">
        <v>46871</v>
      </c>
      <c r="AO598" s="118">
        <v>377</v>
      </c>
      <c r="AP598" s="118">
        <f t="shared" si="9"/>
        <v>987</v>
      </c>
    </row>
    <row r="599" spans="1:42" ht="12.75">
      <c r="A599" s="106">
        <v>2018</v>
      </c>
      <c r="B599" s="106">
        <v>-232043</v>
      </c>
      <c r="C599" s="106">
        <v>0</v>
      </c>
      <c r="D599" s="106">
        <v>232043</v>
      </c>
      <c r="E599" s="106" t="s">
        <v>1116</v>
      </c>
      <c r="F599" s="106" t="s">
        <v>1117</v>
      </c>
      <c r="G599" s="106" t="s">
        <v>261</v>
      </c>
      <c r="H599" s="106">
        <v>6</v>
      </c>
      <c r="I599" s="106" t="s">
        <v>3640</v>
      </c>
      <c r="J599" s="106">
        <v>35800</v>
      </c>
      <c r="K599" s="106">
        <v>25330</v>
      </c>
      <c r="L599" s="106">
        <v>22079</v>
      </c>
      <c r="M599" s="106">
        <v>0.37</v>
      </c>
      <c r="N599" s="106">
        <v>0.75</v>
      </c>
      <c r="O599" s="106">
        <v>1</v>
      </c>
      <c r="P599" s="106">
        <v>18728</v>
      </c>
      <c r="Q599" s="106">
        <v>10661.057678442681</v>
      </c>
      <c r="R599" s="106">
        <v>0.38377304235776472</v>
      </c>
      <c r="S599" s="106">
        <v>29808.201153568854</v>
      </c>
      <c r="T599" s="106">
        <v>25872.695025234319</v>
      </c>
      <c r="U599" s="106">
        <v>21813.206731422495</v>
      </c>
      <c r="V599" s="106">
        <v>0.78477833609737213</v>
      </c>
      <c r="W599" s="106">
        <v>59187.090140845074</v>
      </c>
      <c r="X599" s="110">
        <v>0.58551390274626236</v>
      </c>
      <c r="Y599" s="106">
        <v>293.83004926108373</v>
      </c>
      <c r="Z599" s="106">
        <v>10.248768472906404</v>
      </c>
      <c r="AA599" s="106">
        <v>56870.146121208651</v>
      </c>
      <c r="AB599" s="106">
        <v>760.84289542268323</v>
      </c>
      <c r="AC599" s="106">
        <v>1.7583918245412575</v>
      </c>
      <c r="AD599" s="106">
        <v>42.696629213483142</v>
      </c>
      <c r="AE599" s="106">
        <v>74.746240601503757</v>
      </c>
      <c r="AF599" s="106">
        <v>0.10331147088187428</v>
      </c>
      <c r="AG599" s="106">
        <v>35460</v>
      </c>
      <c r="AH599" s="106">
        <v>24453.413121845711</v>
      </c>
      <c r="AI599" s="106">
        <v>30159.131939437637</v>
      </c>
      <c r="AJ599" s="106">
        <v>30701.482335976929</v>
      </c>
      <c r="AK599" s="104">
        <v>23050.018745493871</v>
      </c>
      <c r="AL599" s="118"/>
      <c r="AM599" s="118">
        <v>1098</v>
      </c>
      <c r="AN599" s="118">
        <v>39765</v>
      </c>
      <c r="AO599" s="118">
        <v>348</v>
      </c>
      <c r="AP599" s="118">
        <f t="shared" si="9"/>
        <v>340</v>
      </c>
    </row>
    <row r="600" spans="1:42" ht="12.75">
      <c r="A600" s="106">
        <v>2018</v>
      </c>
      <c r="B600" s="106">
        <v>-169798</v>
      </c>
      <c r="C600" s="106">
        <v>0</v>
      </c>
      <c r="D600" s="106">
        <v>169798</v>
      </c>
      <c r="E600" s="106" t="s">
        <v>1118</v>
      </c>
      <c r="F600" s="106" t="s">
        <v>1119</v>
      </c>
      <c r="G600" s="106" t="s">
        <v>74</v>
      </c>
      <c r="H600" s="106">
        <v>1</v>
      </c>
      <c r="I600" s="106" t="s">
        <v>23</v>
      </c>
      <c r="J600" s="106">
        <v>12019</v>
      </c>
      <c r="K600" s="106">
        <v>15687</v>
      </c>
      <c r="L600" s="106">
        <v>13260</v>
      </c>
      <c r="M600" s="106">
        <v>0.48</v>
      </c>
      <c r="N600" s="106">
        <v>0.6</v>
      </c>
      <c r="O600" s="106">
        <v>0.93</v>
      </c>
      <c r="P600" s="106">
        <v>5569</v>
      </c>
      <c r="Q600" s="106">
        <v>3718.3805392004956</v>
      </c>
      <c r="R600" s="106">
        <v>0.2621988602884906</v>
      </c>
      <c r="S600" s="106">
        <v>21872.144654477845</v>
      </c>
      <c r="T600" s="106">
        <v>21919.494638983575</v>
      </c>
      <c r="U600" s="106">
        <v>12042.221355229723</v>
      </c>
      <c r="V600" s="106">
        <v>0.86887189520148123</v>
      </c>
      <c r="W600" s="106">
        <v>104847.99830995438</v>
      </c>
      <c r="X600" s="110">
        <v>0.58471057876759303</v>
      </c>
      <c r="Y600" s="106">
        <v>503.47970085470087</v>
      </c>
      <c r="Z600" s="106">
        <v>17.238247863247864</v>
      </c>
      <c r="AA600" s="106">
        <v>41087.173095079634</v>
      </c>
      <c r="AB600" s="106">
        <v>412.30420251928689</v>
      </c>
      <c r="AC600" s="106">
        <v>2.4338496048046543</v>
      </c>
      <c r="AD600" s="106">
        <v>29.305323170353848</v>
      </c>
      <c r="AE600" s="106">
        <v>99.652569253541969</v>
      </c>
      <c r="AF600" s="106">
        <v>5.221608279957355E-2</v>
      </c>
      <c r="AG600" s="106">
        <v>11919</v>
      </c>
      <c r="AH600" s="106">
        <v>20098.652370622869</v>
      </c>
      <c r="AI600" s="106">
        <v>20430.469228385497</v>
      </c>
      <c r="AJ600" s="106">
        <v>22194.203966532383</v>
      </c>
      <c r="AK600" s="104">
        <v>15050.693337465138</v>
      </c>
      <c r="AL600" s="118">
        <v>75836240</v>
      </c>
      <c r="AM600" s="118">
        <v>17217</v>
      </c>
      <c r="AN600" s="118">
        <v>471257</v>
      </c>
      <c r="AO600" s="118">
        <v>3393</v>
      </c>
      <c r="AP600" s="118">
        <f t="shared" si="9"/>
        <v>100</v>
      </c>
    </row>
    <row r="601" spans="1:42" ht="12.75">
      <c r="A601" s="106">
        <v>2018</v>
      </c>
      <c r="B601" s="106">
        <v>-165644</v>
      </c>
      <c r="C601" s="106">
        <v>0</v>
      </c>
      <c r="D601" s="106">
        <v>165644</v>
      </c>
      <c r="E601" s="106" t="s">
        <v>1120</v>
      </c>
      <c r="F601" s="106" t="s">
        <v>1121</v>
      </c>
      <c r="G601" s="106" t="s">
        <v>150</v>
      </c>
      <c r="H601" s="106">
        <v>6</v>
      </c>
      <c r="I601" s="106" t="s">
        <v>3640</v>
      </c>
      <c r="J601" s="106">
        <v>31780</v>
      </c>
      <c r="K601" s="106">
        <v>20041</v>
      </c>
      <c r="L601" s="106">
        <v>26013</v>
      </c>
      <c r="M601" s="106">
        <v>0.48</v>
      </c>
      <c r="N601" s="106">
        <v>0.8</v>
      </c>
      <c r="O601" s="106">
        <v>1</v>
      </c>
      <c r="P601" s="106">
        <v>21126</v>
      </c>
      <c r="Q601" s="106">
        <v>14639.82777036048</v>
      </c>
      <c r="R601" s="106">
        <v>0.60606473132414806</v>
      </c>
      <c r="S601" s="106">
        <v>23211.493991989319</v>
      </c>
      <c r="T601" s="106">
        <v>26096.050734312415</v>
      </c>
      <c r="U601" s="106">
        <v>17646.504672897197</v>
      </c>
      <c r="V601" s="106">
        <v>0.53924127230270302</v>
      </c>
      <c r="W601" s="106">
        <v>60050.861878453041</v>
      </c>
      <c r="X601" s="110">
        <v>0.55608504312557561</v>
      </c>
      <c r="Y601" s="106">
        <v>289.99553571428578</v>
      </c>
      <c r="Z601" s="106">
        <v>10.031250000000002</v>
      </c>
      <c r="AA601" s="106">
        <v>66418.251256281408</v>
      </c>
      <c r="AB601" s="106">
        <v>610.4111208608507</v>
      </c>
      <c r="AC601" s="106">
        <v>1.5056102518288246</v>
      </c>
      <c r="AD601" s="106">
        <v>27.148703956343795</v>
      </c>
      <c r="AE601" s="107">
        <v>108.80904522613065</v>
      </c>
      <c r="AF601" s="106">
        <v>6.5025451085567038E-2</v>
      </c>
      <c r="AG601" s="106">
        <v>31158</v>
      </c>
      <c r="AH601" s="106">
        <v>18652.795727636851</v>
      </c>
      <c r="AI601" s="106">
        <v>23106.890520694258</v>
      </c>
      <c r="AJ601" s="106">
        <v>28291.029372496661</v>
      </c>
      <c r="AK601" s="104">
        <v>19353.596795727637</v>
      </c>
      <c r="AM601" s="118">
        <v>694</v>
      </c>
      <c r="AN601" s="118">
        <v>21653</v>
      </c>
      <c r="AO601" s="118">
        <v>148</v>
      </c>
      <c r="AP601" s="118">
        <f t="shared" si="9"/>
        <v>622</v>
      </c>
    </row>
    <row r="602" spans="1:42" ht="12.75">
      <c r="A602" s="106">
        <v>2018</v>
      </c>
      <c r="B602" s="106">
        <v>-187648</v>
      </c>
      <c r="C602" s="106">
        <v>0</v>
      </c>
      <c r="D602" s="106">
        <v>187648</v>
      </c>
      <c r="E602" s="106" t="s">
        <v>1122</v>
      </c>
      <c r="F602" s="106" t="s">
        <v>1123</v>
      </c>
      <c r="G602" s="106" t="s">
        <v>674</v>
      </c>
      <c r="H602" s="106">
        <v>2</v>
      </c>
      <c r="I602" s="106" t="s">
        <v>25</v>
      </c>
      <c r="J602" s="106">
        <v>5918</v>
      </c>
      <c r="K602" s="106">
        <v>10918</v>
      </c>
      <c r="L602" s="106">
        <v>8006</v>
      </c>
      <c r="M602" s="106">
        <v>0.53</v>
      </c>
      <c r="N602" s="106">
        <v>0.43</v>
      </c>
      <c r="O602" s="106">
        <v>0.42</v>
      </c>
      <c r="P602" s="106">
        <v>944</v>
      </c>
      <c r="Q602" s="106">
        <v>688.4300492610837</v>
      </c>
      <c r="R602" s="106">
        <v>0.11047896474386175</v>
      </c>
      <c r="S602" s="106">
        <v>18002.373891625615</v>
      </c>
      <c r="T602" s="106">
        <v>21960.500492610838</v>
      </c>
      <c r="U602" s="106">
        <v>10118.686372724245</v>
      </c>
      <c r="V602" s="106">
        <v>0.54778774243594941</v>
      </c>
      <c r="W602" s="106">
        <v>104163.26845199216</v>
      </c>
      <c r="X602" s="110">
        <v>0.5962113885799798</v>
      </c>
      <c r="Y602" s="106">
        <v>617.67368421052629</v>
      </c>
      <c r="Z602" s="106">
        <v>21.368421052631579</v>
      </c>
      <c r="AA602" s="106">
        <v>32424.519868398133</v>
      </c>
      <c r="AB602" s="106">
        <v>350.0559542021885</v>
      </c>
      <c r="AC602" s="106">
        <v>3.0840857599702769</v>
      </c>
      <c r="AD602" s="106">
        <v>30.789793438639123</v>
      </c>
      <c r="AE602" s="106">
        <v>92.626677190213101</v>
      </c>
      <c r="AF602" s="106">
        <v>2.0398899921179391E-2</v>
      </c>
      <c r="AG602" s="106">
        <v>3661</v>
      </c>
      <c r="AH602" s="106">
        <v>17082.945320197043</v>
      </c>
      <c r="AI602" s="106">
        <v>17318.22684729064</v>
      </c>
      <c r="AJ602" s="106">
        <v>18295.958620689657</v>
      </c>
      <c r="AK602" s="104">
        <v>13231.602709359606</v>
      </c>
      <c r="AL602" s="119">
        <v>29791200</v>
      </c>
      <c r="AM602" s="118">
        <v>4597</v>
      </c>
      <c r="AN602" s="118">
        <v>117358</v>
      </c>
      <c r="AO602" s="118">
        <v>955</v>
      </c>
      <c r="AP602" s="118">
        <f t="shared" si="9"/>
        <v>2257</v>
      </c>
    </row>
    <row r="603" spans="1:42" ht="12.75">
      <c r="A603" s="106">
        <v>2018</v>
      </c>
      <c r="B603" s="106">
        <v>-187666</v>
      </c>
      <c r="C603" s="106">
        <v>0</v>
      </c>
      <c r="D603" s="106">
        <v>187666</v>
      </c>
      <c r="E603" s="106" t="s">
        <v>1124</v>
      </c>
      <c r="F603" s="106" t="s">
        <v>1125</v>
      </c>
      <c r="G603" s="106" t="s">
        <v>674</v>
      </c>
      <c r="H603" s="106">
        <v>4</v>
      </c>
      <c r="I603" s="106" t="s">
        <v>24</v>
      </c>
      <c r="J603" s="106">
        <v>2256</v>
      </c>
      <c r="K603" s="106">
        <v>5320</v>
      </c>
      <c r="L603" s="106">
        <v>3704</v>
      </c>
      <c r="M603" s="106">
        <v>0.59</v>
      </c>
      <c r="N603" s="106">
        <v>0.05</v>
      </c>
      <c r="O603" s="106">
        <v>0.03</v>
      </c>
      <c r="P603" s="106">
        <v>916</v>
      </c>
      <c r="Q603" s="106">
        <v>872.98430899215452</v>
      </c>
      <c r="R603" s="106">
        <v>0.35965215653055582</v>
      </c>
      <c r="S603" s="106">
        <v>15658.349426674713</v>
      </c>
      <c r="T603" s="106">
        <v>18413.987326493665</v>
      </c>
      <c r="U603" s="106">
        <v>8497.8357966728163</v>
      </c>
      <c r="V603" s="106">
        <v>0.18290744588960961</v>
      </c>
      <c r="W603" s="106">
        <v>75731.047353760441</v>
      </c>
      <c r="X603" s="110">
        <v>0.59402784683535914</v>
      </c>
      <c r="Y603" s="106">
        <v>668.82511210762334</v>
      </c>
      <c r="Z603" s="106">
        <v>22.291479820627803</v>
      </c>
      <c r="AA603" s="106">
        <v>15750.462992267177</v>
      </c>
      <c r="AB603" s="106">
        <v>283.22700770550438</v>
      </c>
      <c r="AC603" s="106">
        <v>6.3490197112996514</v>
      </c>
      <c r="AD603" s="106">
        <v>55.840099937539037</v>
      </c>
      <c r="AE603" s="106">
        <v>55.61073825503356</v>
      </c>
      <c r="AF603" s="106">
        <v>-6.7293329881360359E-2</v>
      </c>
      <c r="AG603" s="106">
        <v>1872</v>
      </c>
      <c r="AH603" s="106">
        <v>14212.000603500303</v>
      </c>
      <c r="AI603" s="106">
        <v>14212.000603500303</v>
      </c>
      <c r="AJ603" s="106">
        <v>15730.318648159324</v>
      </c>
      <c r="AK603" s="104">
        <v>13054.480989740496</v>
      </c>
      <c r="AL603" s="118">
        <v>12287286</v>
      </c>
      <c r="AM603" s="118">
        <v>2684</v>
      </c>
      <c r="AN603" s="118">
        <v>49716</v>
      </c>
      <c r="AO603" s="118">
        <v>245</v>
      </c>
      <c r="AP603" s="118">
        <f t="shared" si="9"/>
        <v>384</v>
      </c>
    </row>
    <row r="604" spans="1:42" ht="12.75">
      <c r="A604" s="106">
        <v>2018</v>
      </c>
      <c r="B604" s="106">
        <v>-383996</v>
      </c>
      <c r="C604" s="106">
        <v>0</v>
      </c>
      <c r="D604" s="106">
        <v>383996</v>
      </c>
      <c r="E604" s="106" t="s">
        <v>1126</v>
      </c>
      <c r="F604" s="106" t="s">
        <v>1127</v>
      </c>
      <c r="G604" s="106" t="s">
        <v>674</v>
      </c>
      <c r="H604" s="106">
        <v>4</v>
      </c>
      <c r="I604" s="106" t="s">
        <v>24</v>
      </c>
      <c r="J604" s="106">
        <v>1180</v>
      </c>
      <c r="K604" s="106">
        <v>7333</v>
      </c>
      <c r="L604" s="106">
        <v>6758</v>
      </c>
      <c r="M604" s="106">
        <v>0.56999999999999995</v>
      </c>
      <c r="N604" s="106">
        <v>0.04</v>
      </c>
      <c r="O604" s="106">
        <v>0</v>
      </c>
      <c r="P604" s="106"/>
      <c r="Q604" s="106">
        <v>193.88513513513513</v>
      </c>
      <c r="R604" s="106">
        <v>9.0320915453390854E-2</v>
      </c>
      <c r="S604" s="106">
        <v>19926.125</v>
      </c>
      <c r="T604" s="106">
        <v>18484.449324324323</v>
      </c>
      <c r="U604" s="106">
        <v>9989.6352830977758</v>
      </c>
      <c r="V604" s="106">
        <v>0.19547659244065238</v>
      </c>
      <c r="W604" s="106">
        <v>56522.229508196724</v>
      </c>
      <c r="X604" s="110">
        <v>0.63016008525793321</v>
      </c>
      <c r="Y604" s="106">
        <v>475.28571428571433</v>
      </c>
      <c r="Z604" s="106">
        <v>15.857142857142859</v>
      </c>
      <c r="AA604" s="106">
        <v>36961.650547461773</v>
      </c>
      <c r="AB604" s="106">
        <v>333.2881023215669</v>
      </c>
      <c r="AC604" s="106">
        <v>2.7055068839956662</v>
      </c>
      <c r="AD604" s="106">
        <v>25.723472668810288</v>
      </c>
      <c r="AE604" s="106">
        <v>110.9</v>
      </c>
      <c r="AF604" s="106">
        <v>0.10336097114512856</v>
      </c>
      <c r="AG604" s="106">
        <v>1080</v>
      </c>
      <c r="AH604" s="106">
        <v>18603.412162162163</v>
      </c>
      <c r="AI604" s="106">
        <v>18651.638513513513</v>
      </c>
      <c r="AJ604" s="106">
        <v>19926.125</v>
      </c>
      <c r="AK604" s="104">
        <v>16204.54054054054</v>
      </c>
      <c r="AL604" s="119">
        <v>3195477</v>
      </c>
      <c r="AM604" s="118">
        <v>610</v>
      </c>
      <c r="AN604" s="118">
        <v>8872</v>
      </c>
      <c r="AO604" s="118">
        <v>45</v>
      </c>
      <c r="AP604" s="118">
        <f t="shared" si="9"/>
        <v>100</v>
      </c>
    </row>
    <row r="605" spans="1:42" ht="12.75">
      <c r="A605" s="106">
        <v>2018</v>
      </c>
      <c r="B605" s="106">
        <v>-207050</v>
      </c>
      <c r="C605" s="106">
        <v>0</v>
      </c>
      <c r="D605" s="106">
        <v>207050</v>
      </c>
      <c r="E605" s="106" t="s">
        <v>1128</v>
      </c>
      <c r="F605" s="106" t="s">
        <v>1129</v>
      </c>
      <c r="G605" s="106" t="s">
        <v>271</v>
      </c>
      <c r="H605" s="106">
        <v>4</v>
      </c>
      <c r="I605" s="106" t="s">
        <v>24</v>
      </c>
      <c r="J605" s="106">
        <v>4572</v>
      </c>
      <c r="K605" s="106">
        <v>5014</v>
      </c>
      <c r="L605" s="106">
        <v>4328</v>
      </c>
      <c r="M605" s="106">
        <v>0.79</v>
      </c>
      <c r="N605" s="106">
        <v>0.32</v>
      </c>
      <c r="O605" s="106">
        <v>0.51</v>
      </c>
      <c r="P605" s="106">
        <v>3081</v>
      </c>
      <c r="Q605" s="106">
        <v>1184.2105788423153</v>
      </c>
      <c r="R605" s="106">
        <v>0.24237380192280628</v>
      </c>
      <c r="S605" s="106">
        <v>19900.445109780438</v>
      </c>
      <c r="T605" s="106">
        <v>21989.340319361276</v>
      </c>
      <c r="U605" s="106">
        <v>15122.828343313373</v>
      </c>
      <c r="V605" s="106">
        <v>0.24477396467541834</v>
      </c>
      <c r="W605" s="106">
        <v>59017.757633587789</v>
      </c>
      <c r="X605" s="110">
        <v>0.46785665836363555</v>
      </c>
      <c r="Y605" s="106">
        <v>626.45833333333337</v>
      </c>
      <c r="Z605" s="106">
        <v>20.875</v>
      </c>
      <c r="AA605" s="106">
        <v>55709.830882352944</v>
      </c>
      <c r="AB605" s="106">
        <v>503.92663784502827</v>
      </c>
      <c r="AC605" s="106">
        <v>1.795015321643648</v>
      </c>
      <c r="AD605" s="106">
        <v>30.055248618784532</v>
      </c>
      <c r="AE605" s="106">
        <v>110.55147058823529</v>
      </c>
      <c r="AF605" s="106">
        <v>2.8681317837788045</v>
      </c>
      <c r="AG605" s="106">
        <v>3298</v>
      </c>
      <c r="AH605" s="106">
        <v>18025.199600798402</v>
      </c>
      <c r="AI605" s="106">
        <v>18025.199600798402</v>
      </c>
      <c r="AJ605" s="106">
        <v>19911.893213572854</v>
      </c>
      <c r="AK605" s="104">
        <v>17650.598802395209</v>
      </c>
      <c r="AL605" s="118">
        <v>4987349</v>
      </c>
      <c r="AM605" s="118">
        <v>1319</v>
      </c>
      <c r="AN605" s="118">
        <v>30070</v>
      </c>
      <c r="AO605" s="118">
        <v>148</v>
      </c>
      <c r="AP605" s="118">
        <f t="shared" si="9"/>
        <v>1274</v>
      </c>
    </row>
    <row r="606" spans="1:42" ht="12.75">
      <c r="A606" s="106">
        <v>2018</v>
      </c>
      <c r="B606" s="106">
        <v>-208646</v>
      </c>
      <c r="C606" s="106">
        <v>0</v>
      </c>
      <c r="D606" s="106">
        <v>208646</v>
      </c>
      <c r="E606" s="106" t="s">
        <v>1130</v>
      </c>
      <c r="F606" s="106" t="s">
        <v>1131</v>
      </c>
      <c r="G606" s="106" t="s">
        <v>405</v>
      </c>
      <c r="H606" s="106">
        <v>2</v>
      </c>
      <c r="I606" s="106" t="s">
        <v>25</v>
      </c>
      <c r="J606" s="106">
        <v>8362</v>
      </c>
      <c r="K606" s="106">
        <v>15902</v>
      </c>
      <c r="L606" s="106">
        <v>12020</v>
      </c>
      <c r="M606" s="106">
        <v>0.43</v>
      </c>
      <c r="N606" s="106">
        <v>0.56999999999999995</v>
      </c>
      <c r="O606" s="106">
        <v>0.86</v>
      </c>
      <c r="P606" s="107">
        <v>2639</v>
      </c>
      <c r="Q606" s="106">
        <v>1366.5938713854121</v>
      </c>
      <c r="R606" s="106">
        <v>0.14383696988588701</v>
      </c>
      <c r="S606" s="106">
        <v>23757.672421234354</v>
      </c>
      <c r="T606" s="106">
        <v>25782.116098403108</v>
      </c>
      <c r="U606" s="106">
        <v>14537.068278653407</v>
      </c>
      <c r="V606" s="106">
        <v>0.559562476589615</v>
      </c>
      <c r="W606" s="106">
        <v>100661.15046728971</v>
      </c>
      <c r="X606" s="110">
        <v>0.60100739969857619</v>
      </c>
      <c r="Y606" s="106">
        <v>800.9765625</v>
      </c>
      <c r="Z606" s="106">
        <v>18.1015625</v>
      </c>
      <c r="AA606" s="106">
        <v>41583.194076098698</v>
      </c>
      <c r="AB606" s="106">
        <v>328.52852671680023</v>
      </c>
      <c r="AC606" s="106">
        <v>2.4048176726635409</v>
      </c>
      <c r="AD606" s="106">
        <v>35.840707964601769</v>
      </c>
      <c r="AE606" s="106">
        <v>126.57407407407408</v>
      </c>
      <c r="AF606" s="106">
        <v>4.5877979273739392E-3</v>
      </c>
      <c r="AG606" s="106">
        <v>6928</v>
      </c>
      <c r="AH606" s="106">
        <v>22424.362537764351</v>
      </c>
      <c r="AI606" s="106">
        <v>22694.641778161415</v>
      </c>
      <c r="AJ606" s="106">
        <v>23867.113077255071</v>
      </c>
      <c r="AK606" s="104">
        <v>18835.461804056969</v>
      </c>
      <c r="AL606" s="118">
        <v>20507891</v>
      </c>
      <c r="AM606" s="118">
        <v>2737</v>
      </c>
      <c r="AN606" s="118">
        <v>102525</v>
      </c>
      <c r="AO606" s="118">
        <v>561</v>
      </c>
      <c r="AP606" s="118">
        <f t="shared" si="9"/>
        <v>1434</v>
      </c>
    </row>
    <row r="607" spans="1:42" ht="12.75">
      <c r="A607" s="106">
        <v>2018</v>
      </c>
      <c r="B607" s="106">
        <v>-232052</v>
      </c>
      <c r="C607" s="106">
        <v>0</v>
      </c>
      <c r="D607" s="106">
        <v>232052</v>
      </c>
      <c r="E607" s="106" t="s">
        <v>1132</v>
      </c>
      <c r="F607" s="106" t="s">
        <v>1133</v>
      </c>
      <c r="G607" s="106" t="s">
        <v>261</v>
      </c>
      <c r="H607" s="106">
        <v>4</v>
      </c>
      <c r="I607" s="106" t="s">
        <v>24</v>
      </c>
      <c r="J607" s="106">
        <v>4688</v>
      </c>
      <c r="K607" s="106">
        <v>5499</v>
      </c>
      <c r="L607" s="106">
        <v>4013</v>
      </c>
      <c r="M607" s="106">
        <v>0.71</v>
      </c>
      <c r="N607" s="106">
        <v>0</v>
      </c>
      <c r="O607" s="106">
        <v>0.21</v>
      </c>
      <c r="P607" s="106">
        <v>968</v>
      </c>
      <c r="Q607" s="106">
        <v>185.33701657458565</v>
      </c>
      <c r="R607" s="106">
        <v>3.6112127801580296E-2</v>
      </c>
      <c r="S607" s="106">
        <v>18122.013812154695</v>
      </c>
      <c r="T607" s="106">
        <v>18551.903314917126</v>
      </c>
      <c r="U607" s="106">
        <v>15792.736229604059</v>
      </c>
      <c r="V607" s="106">
        <v>0.31324072693130806</v>
      </c>
      <c r="W607" s="106">
        <v>63393.111627906976</v>
      </c>
      <c r="X607" s="110">
        <v>0.67649132514437249</v>
      </c>
      <c r="Y607" s="106">
        <v>465.81428571428575</v>
      </c>
      <c r="Z607" s="106">
        <v>15.514285714285714</v>
      </c>
      <c r="AA607" s="106">
        <v>52934.912177006197</v>
      </c>
      <c r="AB607" s="106">
        <v>525.98863879995122</v>
      </c>
      <c r="AC607" s="106">
        <v>1.8891124191462791</v>
      </c>
      <c r="AD607" s="106">
        <v>34.069400630914828</v>
      </c>
      <c r="AE607" s="106">
        <v>100.63888888888889</v>
      </c>
      <c r="AF607" s="106">
        <v>0.68205047718361755</v>
      </c>
      <c r="AG607" s="106">
        <v>4253</v>
      </c>
      <c r="AH607" s="106">
        <v>17377.839779005524</v>
      </c>
      <c r="AI607" s="106">
        <v>17701.447513812156</v>
      </c>
      <c r="AJ607" s="106">
        <v>18144.687845303866</v>
      </c>
      <c r="AK607" s="104">
        <v>17462.243093922651</v>
      </c>
      <c r="AL607" s="118">
        <v>3690640</v>
      </c>
      <c r="AM607" s="118">
        <v>644</v>
      </c>
      <c r="AN607" s="118">
        <v>10869</v>
      </c>
      <c r="AO607" s="118">
        <v>46</v>
      </c>
      <c r="AP607" s="118">
        <f t="shared" si="9"/>
        <v>435</v>
      </c>
    </row>
    <row r="608" spans="1:42" ht="12.75">
      <c r="A608" s="106">
        <v>2018</v>
      </c>
      <c r="B608" s="106">
        <v>-212133</v>
      </c>
      <c r="C608" s="106">
        <v>0</v>
      </c>
      <c r="D608" s="106">
        <v>212133</v>
      </c>
      <c r="E608" s="106" t="s">
        <v>1134</v>
      </c>
      <c r="F608" s="106" t="s">
        <v>1135</v>
      </c>
      <c r="G608" s="106" t="s">
        <v>104</v>
      </c>
      <c r="H608" s="106">
        <v>6</v>
      </c>
      <c r="I608" s="106" t="s">
        <v>3640</v>
      </c>
      <c r="J608" s="106">
        <v>32080</v>
      </c>
      <c r="K608" s="106">
        <v>24890</v>
      </c>
      <c r="L608" s="106">
        <v>20993</v>
      </c>
      <c r="M608" s="106">
        <v>0.42</v>
      </c>
      <c r="N608" s="106">
        <v>0.78</v>
      </c>
      <c r="O608" s="106">
        <v>0.99</v>
      </c>
      <c r="P608" s="106">
        <v>18726</v>
      </c>
      <c r="Q608" s="106">
        <v>8531.0127201565556</v>
      </c>
      <c r="R608" s="106">
        <v>0.42091991236152765</v>
      </c>
      <c r="S608" s="106">
        <v>17216.550228310502</v>
      </c>
      <c r="T608" s="106">
        <v>18122.027397260274</v>
      </c>
      <c r="U608" s="106">
        <v>16239.786366601435</v>
      </c>
      <c r="V608" s="106">
        <v>0.72270230162226512</v>
      </c>
      <c r="W608" s="106">
        <v>64644.823529411762</v>
      </c>
      <c r="X608" s="110">
        <v>0.57359022338522048</v>
      </c>
      <c r="Y608" s="106">
        <v>304.41880341880341</v>
      </c>
      <c r="Z608" s="106">
        <v>13.102564102564102</v>
      </c>
      <c r="AA608" s="106">
        <v>56645.261660978387</v>
      </c>
      <c r="AB608" s="106">
        <v>698.98061319033047</v>
      </c>
      <c r="AC608" s="106">
        <v>1.7653727261160788</v>
      </c>
      <c r="AD608" s="106">
        <v>35.688185140073081</v>
      </c>
      <c r="AE608" s="106">
        <v>81.039817974971555</v>
      </c>
      <c r="AF608" s="106">
        <v>-1.1146626609173458E-2</v>
      </c>
      <c r="AG608" s="106">
        <v>31700</v>
      </c>
      <c r="AH608" s="106">
        <v>16002.97553816047</v>
      </c>
      <c r="AI608" s="106">
        <v>17216.550228310502</v>
      </c>
      <c r="AJ608" s="106">
        <v>17900.353881278537</v>
      </c>
      <c r="AK608" s="104">
        <v>16239.786366601435</v>
      </c>
      <c r="AM608" s="118">
        <v>1887</v>
      </c>
      <c r="AN608" s="118">
        <v>71234</v>
      </c>
      <c r="AO608" s="118">
        <v>467</v>
      </c>
      <c r="AP608" s="118">
        <f t="shared" si="9"/>
        <v>380</v>
      </c>
    </row>
    <row r="609" spans="1:42" ht="12.75">
      <c r="A609" s="106">
        <v>2018</v>
      </c>
      <c r="B609" s="106">
        <v>-235097</v>
      </c>
      <c r="C609" s="106">
        <v>0</v>
      </c>
      <c r="D609" s="106">
        <v>235097</v>
      </c>
      <c r="E609" s="106" t="s">
        <v>1136</v>
      </c>
      <c r="F609" s="106" t="s">
        <v>1137</v>
      </c>
      <c r="G609" s="106" t="s">
        <v>182</v>
      </c>
      <c r="H609" s="106">
        <v>2</v>
      </c>
      <c r="I609" s="106" t="s">
        <v>25</v>
      </c>
      <c r="J609" s="106">
        <v>7109</v>
      </c>
      <c r="K609" s="106">
        <v>10751</v>
      </c>
      <c r="L609" s="106">
        <v>7368</v>
      </c>
      <c r="M609" s="106">
        <v>0.43</v>
      </c>
      <c r="N609" s="106">
        <v>0.56000000000000005</v>
      </c>
      <c r="O609" s="106">
        <v>0.49</v>
      </c>
      <c r="P609" s="106">
        <v>4274</v>
      </c>
      <c r="Q609" s="106">
        <v>1674.0393182585217</v>
      </c>
      <c r="R609" s="106">
        <v>0.16796008348771804</v>
      </c>
      <c r="S609" s="106">
        <v>19146.373860951739</v>
      </c>
      <c r="T609" s="106">
        <v>19751.317752278097</v>
      </c>
      <c r="U609" s="106">
        <v>13165.871323404132</v>
      </c>
      <c r="V609" s="106">
        <v>0.62987464673351856</v>
      </c>
      <c r="W609" s="106">
        <v>100712.03760913365</v>
      </c>
      <c r="X609" s="110">
        <v>0.6406021056161626</v>
      </c>
      <c r="Y609" s="106">
        <v>892.63636363636374</v>
      </c>
      <c r="Z609" s="106">
        <v>20.588303416328895</v>
      </c>
      <c r="AA609" s="106">
        <v>51892.885575319509</v>
      </c>
      <c r="AB609" s="106">
        <v>303.66559619232783</v>
      </c>
      <c r="AC609" s="106">
        <v>1.9270464321136238</v>
      </c>
      <c r="AD609" s="106">
        <v>26.054934581058838</v>
      </c>
      <c r="AE609" s="106">
        <v>170.88826072497505</v>
      </c>
      <c r="AF609" s="106">
        <v>9.4443448041887108E-3</v>
      </c>
      <c r="AG609" s="106">
        <v>6242</v>
      </c>
      <c r="AH609" s="106">
        <v>19136.412757340535</v>
      </c>
      <c r="AI609" s="106">
        <v>19136.412757340535</v>
      </c>
      <c r="AJ609" s="106">
        <v>19569.012149848128</v>
      </c>
      <c r="AK609" s="104">
        <v>16152.061761727979</v>
      </c>
      <c r="AL609" s="118">
        <v>58531000</v>
      </c>
      <c r="AM609" s="118">
        <v>11473</v>
      </c>
      <c r="AN609" s="118">
        <v>513861</v>
      </c>
      <c r="AO609" s="118">
        <v>2399</v>
      </c>
      <c r="AP609" s="118">
        <f t="shared" si="9"/>
        <v>867</v>
      </c>
    </row>
    <row r="610" spans="1:42" ht="12.75">
      <c r="A610" s="106">
        <v>2018</v>
      </c>
      <c r="B610" s="106">
        <v>-438708</v>
      </c>
      <c r="C610" s="106">
        <v>0</v>
      </c>
      <c r="D610" s="106">
        <v>438708</v>
      </c>
      <c r="E610" s="106" t="s">
        <v>1138</v>
      </c>
      <c r="F610" s="106" t="s">
        <v>1139</v>
      </c>
      <c r="G610" s="106" t="s">
        <v>110</v>
      </c>
      <c r="H610" s="106">
        <v>4</v>
      </c>
      <c r="I610" s="106" t="s">
        <v>24</v>
      </c>
      <c r="J610" s="106">
        <v>3552</v>
      </c>
      <c r="K610" s="106">
        <v>6023</v>
      </c>
      <c r="L610" s="106">
        <v>5143</v>
      </c>
      <c r="M610" s="106">
        <v>0.79</v>
      </c>
      <c r="N610" s="106">
        <v>0.21</v>
      </c>
      <c r="O610" s="106">
        <v>0.09</v>
      </c>
      <c r="P610" s="106">
        <v>3432</v>
      </c>
      <c r="Q610" s="108"/>
      <c r="R610" s="106"/>
      <c r="S610" s="106">
        <v>19988.935483870966</v>
      </c>
      <c r="T610" s="106">
        <v>19164.437275985663</v>
      </c>
      <c r="U610" s="106">
        <v>13445.844744847813</v>
      </c>
      <c r="V610" s="106">
        <v>0.424390881725492</v>
      </c>
      <c r="W610" s="106">
        <v>47471.589928057561</v>
      </c>
      <c r="X610" s="110">
        <v>0.41136472535935925</v>
      </c>
      <c r="Y610" s="106">
        <v>302.85542168674704</v>
      </c>
      <c r="Z610" s="106">
        <v>10.084337349397591</v>
      </c>
      <c r="AA610" s="106">
        <v>30499.111250508453</v>
      </c>
      <c r="AB610" s="106">
        <v>447.71341255669404</v>
      </c>
      <c r="AC610" s="106">
        <v>3.2787840661531704</v>
      </c>
      <c r="AD610" s="106">
        <v>41.414141414141412</v>
      </c>
      <c r="AE610" s="106">
        <v>68.121951219512198</v>
      </c>
      <c r="AF610" s="106">
        <v>2.7333700216584683E-2</v>
      </c>
      <c r="AG610" s="106">
        <v>3432</v>
      </c>
      <c r="AH610" s="106">
        <v>19935.405017921148</v>
      </c>
      <c r="AI610" s="106">
        <v>19935.405017921148</v>
      </c>
      <c r="AJ610" s="106">
        <v>20073.598566308243</v>
      </c>
      <c r="AK610" s="104">
        <v>15730.609318996416</v>
      </c>
      <c r="AL610" s="118">
        <v>1751421</v>
      </c>
      <c r="AM610" s="118">
        <v>602</v>
      </c>
      <c r="AN610" s="118">
        <v>8379</v>
      </c>
      <c r="AO610" s="118">
        <v>86</v>
      </c>
      <c r="AP610" s="118">
        <f t="shared" si="9"/>
        <v>120</v>
      </c>
    </row>
    <row r="611" spans="1:42" ht="12.75">
      <c r="A611" s="106">
        <v>2018</v>
      </c>
      <c r="B611" s="106">
        <v>-240596</v>
      </c>
      <c r="C611" s="106">
        <v>0</v>
      </c>
      <c r="D611" s="106">
        <v>240596</v>
      </c>
      <c r="E611" s="106" t="s">
        <v>1140</v>
      </c>
      <c r="F611" s="106" t="s">
        <v>1141</v>
      </c>
      <c r="G611" s="106" t="s">
        <v>627</v>
      </c>
      <c r="H611" s="106">
        <v>4</v>
      </c>
      <c r="I611" s="106" t="s">
        <v>24</v>
      </c>
      <c r="J611" s="106">
        <v>2928</v>
      </c>
      <c r="K611" s="106">
        <v>6839</v>
      </c>
      <c r="L611" s="106">
        <v>4942</v>
      </c>
      <c r="M611" s="106">
        <v>0.39</v>
      </c>
      <c r="N611" s="106">
        <v>0.24</v>
      </c>
      <c r="O611" s="106">
        <v>0.81</v>
      </c>
      <c r="P611" s="106">
        <v>4582</v>
      </c>
      <c r="Q611" s="107">
        <v>1605.6234213547646</v>
      </c>
      <c r="R611" s="106">
        <v>0.4198454330148188</v>
      </c>
      <c r="S611" s="106">
        <v>18940.036739380022</v>
      </c>
      <c r="T611" s="106">
        <v>20538.70264064294</v>
      </c>
      <c r="U611" s="106">
        <v>17380.417408002013</v>
      </c>
      <c r="V611" s="106">
        <v>0.12765498365380532</v>
      </c>
      <c r="W611" s="106">
        <v>66673.638248847928</v>
      </c>
      <c r="X611" s="110">
        <v>0.53917713526757194</v>
      </c>
      <c r="Y611" s="106">
        <v>445.2954545454545</v>
      </c>
      <c r="Z611" s="106">
        <v>14.846590909090908</v>
      </c>
      <c r="AA611" s="106">
        <v>64418.483244126612</v>
      </c>
      <c r="AB611" s="106">
        <v>579.48030785368837</v>
      </c>
      <c r="AC611" s="106">
        <v>1.5523494960449498</v>
      </c>
      <c r="AD611" s="106">
        <v>26.613816534541336</v>
      </c>
      <c r="AE611" s="106">
        <v>111.16595744680851</v>
      </c>
      <c r="AF611" s="106">
        <v>0.7001570163736619</v>
      </c>
      <c r="AG611" s="106">
        <v>2256</v>
      </c>
      <c r="AH611" s="106">
        <v>18353.028702640644</v>
      </c>
      <c r="AI611" s="106">
        <v>18463.167623421356</v>
      </c>
      <c r="AJ611" s="106">
        <v>19544.189437428242</v>
      </c>
      <c r="AK611" s="104">
        <v>18599.617680826635</v>
      </c>
      <c r="AL611" s="118">
        <v>10688072</v>
      </c>
      <c r="AM611" s="118">
        <v>1560</v>
      </c>
      <c r="AN611" s="118">
        <v>26124</v>
      </c>
      <c r="AO611" s="118">
        <v>159</v>
      </c>
      <c r="AP611" s="118">
        <f t="shared" si="9"/>
        <v>672</v>
      </c>
    </row>
    <row r="612" spans="1:42" ht="12.75">
      <c r="A612" s="106">
        <v>2018</v>
      </c>
      <c r="B612" s="106">
        <v>-224572</v>
      </c>
      <c r="C612" s="106">
        <v>0</v>
      </c>
      <c r="D612" s="106">
        <v>224572</v>
      </c>
      <c r="E612" s="106" t="s">
        <v>1142</v>
      </c>
      <c r="F612" s="106" t="s">
        <v>1143</v>
      </c>
      <c r="G612" s="106" t="s">
        <v>60</v>
      </c>
      <c r="H612" s="106">
        <v>4</v>
      </c>
      <c r="I612" s="106" t="s">
        <v>24</v>
      </c>
      <c r="J612" s="106">
        <v>1770</v>
      </c>
      <c r="K612" s="106">
        <v>4829</v>
      </c>
      <c r="L612" s="106">
        <v>4631</v>
      </c>
      <c r="M612" s="106">
        <v>0.51</v>
      </c>
      <c r="N612" s="106">
        <v>7.0000000000000007E-2</v>
      </c>
      <c r="O612" s="106">
        <v>0.02</v>
      </c>
      <c r="P612" s="106">
        <v>994</v>
      </c>
      <c r="Q612" s="106">
        <v>97.228921176066805</v>
      </c>
      <c r="R612" s="106">
        <v>5.3025997949034329E-2</v>
      </c>
      <c r="S612" s="106">
        <v>8981.429127102163</v>
      </c>
      <c r="T612" s="106">
        <v>8290.3527056400872</v>
      </c>
      <c r="U612" s="106">
        <v>6778.0408178124044</v>
      </c>
      <c r="V612" s="106">
        <v>0.25617721065838739</v>
      </c>
      <c r="W612" s="106">
        <v>66506.272583201266</v>
      </c>
      <c r="X612" s="110">
        <v>0.57910569971923231</v>
      </c>
      <c r="Y612" s="106">
        <v>987.09033877038905</v>
      </c>
      <c r="Z612" s="106">
        <v>32.902132998745302</v>
      </c>
      <c r="AA612" s="106">
        <v>26367.091583666323</v>
      </c>
      <c r="AB612" s="106">
        <v>225.92866295945359</v>
      </c>
      <c r="AC612" s="106">
        <v>3.7926063890166484</v>
      </c>
      <c r="AD612" s="106">
        <v>31.899488926746166</v>
      </c>
      <c r="AE612" s="106">
        <v>116.70538495772141</v>
      </c>
      <c r="AF612" s="106">
        <v>0.11125754210483071</v>
      </c>
      <c r="AG612" s="106">
        <v>1770</v>
      </c>
      <c r="AH612" s="106">
        <v>7921.4254661937994</v>
      </c>
      <c r="AI612" s="106">
        <v>7924.8809060748199</v>
      </c>
      <c r="AJ612" s="106">
        <v>8983.7384738588262</v>
      </c>
      <c r="AK612" s="104">
        <v>8081.1388857110169</v>
      </c>
      <c r="AL612" s="118">
        <v>48208273</v>
      </c>
      <c r="AM612" s="118">
        <v>16196</v>
      </c>
      <c r="AN612" s="118">
        <v>262237</v>
      </c>
      <c r="AO612" s="118">
        <v>1338</v>
      </c>
      <c r="AP612" s="118">
        <f t="shared" si="9"/>
        <v>0</v>
      </c>
    </row>
    <row r="613" spans="1:42" ht="12.75">
      <c r="A613" s="106">
        <v>2018</v>
      </c>
      <c r="B613" s="106">
        <v>-144883</v>
      </c>
      <c r="C613" s="106">
        <v>0</v>
      </c>
      <c r="D613" s="106">
        <v>144883</v>
      </c>
      <c r="E613" s="106" t="s">
        <v>1100</v>
      </c>
      <c r="F613" s="106" t="s">
        <v>725</v>
      </c>
      <c r="G613" s="106" t="s">
        <v>243</v>
      </c>
      <c r="H613" s="106">
        <v>7</v>
      </c>
      <c r="I613" s="106" t="s">
        <v>3641</v>
      </c>
      <c r="J613" s="106">
        <v>21450</v>
      </c>
      <c r="K613" s="106">
        <v>17436</v>
      </c>
      <c r="L613" s="106">
        <v>18314</v>
      </c>
      <c r="M613" s="106">
        <v>0.82</v>
      </c>
      <c r="N613" s="106">
        <v>0.74</v>
      </c>
      <c r="O613" s="106">
        <v>0.88</v>
      </c>
      <c r="P613" s="106">
        <v>4301</v>
      </c>
      <c r="Q613" s="106">
        <v>5300.1925000000001</v>
      </c>
      <c r="R613" s="106">
        <v>0.23769645963982222</v>
      </c>
      <c r="S613" s="106">
        <v>26679.86</v>
      </c>
      <c r="T613" s="106">
        <v>27052.6</v>
      </c>
      <c r="U613" s="106">
        <v>17922.692500000001</v>
      </c>
      <c r="V613" s="106">
        <v>0.94840451567196171</v>
      </c>
      <c r="W613" s="106">
        <v>62796.303797468354</v>
      </c>
      <c r="X613" s="110">
        <v>0.30563346961105403</v>
      </c>
      <c r="Y613" s="106">
        <v>931.758620689655</v>
      </c>
      <c r="Z613" s="106">
        <v>20.68965517241379</v>
      </c>
      <c r="AA613" s="106">
        <v>112016.828125</v>
      </c>
      <c r="AB613" s="106">
        <v>397.97252137226599</v>
      </c>
      <c r="AC613" s="106">
        <v>0.89272301022851341</v>
      </c>
      <c r="AD613" s="106">
        <v>15.023474178403756</v>
      </c>
      <c r="AE613" s="106">
        <v>281.46875</v>
      </c>
      <c r="AF613" s="106">
        <v>7.2117550694218964E-3</v>
      </c>
      <c r="AG613" s="106">
        <v>20100</v>
      </c>
      <c r="AH613" s="106">
        <v>28624.9</v>
      </c>
      <c r="AI613" s="106">
        <v>28633.592499999999</v>
      </c>
      <c r="AJ613" s="106">
        <v>28296.125</v>
      </c>
      <c r="AK613" s="104">
        <v>17922.692500000001</v>
      </c>
      <c r="AL613" s="118"/>
      <c r="AM613" s="118">
        <v>430</v>
      </c>
      <c r="AN613" s="118">
        <v>18014</v>
      </c>
      <c r="AO613" s="118">
        <v>64</v>
      </c>
      <c r="AP613" s="118">
        <f t="shared" si="9"/>
        <v>1350</v>
      </c>
    </row>
    <row r="614" spans="1:42" ht="12.75">
      <c r="A614" s="106">
        <v>2018</v>
      </c>
      <c r="B614" s="106">
        <v>-133492</v>
      </c>
      <c r="C614" s="106">
        <v>0</v>
      </c>
      <c r="D614" s="106">
        <v>133492</v>
      </c>
      <c r="E614" s="106" t="s">
        <v>1144</v>
      </c>
      <c r="F614" s="106" t="s">
        <v>1145</v>
      </c>
      <c r="G614" s="106" t="s">
        <v>258</v>
      </c>
      <c r="H614" s="106">
        <v>7</v>
      </c>
      <c r="I614" s="106" t="s">
        <v>3641</v>
      </c>
      <c r="J614" s="106">
        <v>43044</v>
      </c>
      <c r="K614" s="106">
        <v>34461</v>
      </c>
      <c r="L614" s="106">
        <v>24109</v>
      </c>
      <c r="M614" s="106">
        <v>0.2</v>
      </c>
      <c r="N614" s="106">
        <v>0.56000000000000005</v>
      </c>
      <c r="O614" s="106">
        <v>0.99</v>
      </c>
      <c r="P614" s="106">
        <v>22370</v>
      </c>
      <c r="Q614" s="106">
        <v>18610.379740980574</v>
      </c>
      <c r="R614" s="106">
        <v>0.44131669517840427</v>
      </c>
      <c r="S614" s="106">
        <v>36440.456059204444</v>
      </c>
      <c r="T614" s="106">
        <v>35699.452821461608</v>
      </c>
      <c r="U614" s="106">
        <v>29296.916067729901</v>
      </c>
      <c r="V614" s="106">
        <v>0.80417147538156986</v>
      </c>
      <c r="W614" s="106">
        <v>90557.533559898045</v>
      </c>
      <c r="X614" s="110">
        <v>0.46032286167680309</v>
      </c>
      <c r="Y614" s="106">
        <v>398.74180327868856</v>
      </c>
      <c r="Z614" s="106">
        <v>13.290983606557377</v>
      </c>
      <c r="AA614" s="106">
        <v>130329.07929718528</v>
      </c>
      <c r="AB614" s="106">
        <v>976.53375687508935</v>
      </c>
      <c r="AC614" s="106">
        <v>0.76728847114751075</v>
      </c>
      <c r="AD614" s="106">
        <v>24.758023433520123</v>
      </c>
      <c r="AE614" s="106">
        <v>133.46090534979425</v>
      </c>
      <c r="AF614" s="106">
        <v>3.5448189971012359E-2</v>
      </c>
      <c r="AG614" s="106">
        <v>42428</v>
      </c>
      <c r="AH614" s="106">
        <v>33675.898242368181</v>
      </c>
      <c r="AI614" s="106">
        <v>36524.833487511562</v>
      </c>
      <c r="AJ614" s="106">
        <v>38362.564754856612</v>
      </c>
      <c r="AK614" s="104">
        <v>29531.674375578168</v>
      </c>
      <c r="AL614" s="118"/>
      <c r="AM614" s="118">
        <v>2037</v>
      </c>
      <c r="AN614" s="118">
        <v>64862</v>
      </c>
      <c r="AO614" s="118">
        <v>486</v>
      </c>
      <c r="AP614" s="118">
        <f t="shared" si="9"/>
        <v>616</v>
      </c>
    </row>
    <row r="615" spans="1:42" ht="12.75">
      <c r="A615" s="106">
        <v>2018</v>
      </c>
      <c r="B615" s="106">
        <v>-198491</v>
      </c>
      <c r="C615" s="106">
        <v>0</v>
      </c>
      <c r="D615" s="106">
        <v>198491</v>
      </c>
      <c r="E615" s="106" t="s">
        <v>1146</v>
      </c>
      <c r="F615" s="106" t="s">
        <v>1147</v>
      </c>
      <c r="G615" s="106" t="s">
        <v>90</v>
      </c>
      <c r="H615" s="106">
        <v>4</v>
      </c>
      <c r="I615" s="106" t="s">
        <v>24</v>
      </c>
      <c r="J615" s="106">
        <v>2522</v>
      </c>
      <c r="K615" s="106">
        <v>5315</v>
      </c>
      <c r="L615" s="106">
        <v>5035</v>
      </c>
      <c r="M615" s="106">
        <v>0.86</v>
      </c>
      <c r="N615" s="106">
        <v>0.73</v>
      </c>
      <c r="O615" s="106">
        <v>0.38</v>
      </c>
      <c r="P615" s="107">
        <v>1855</v>
      </c>
      <c r="Q615" s="107">
        <v>241.18910045961917</v>
      </c>
      <c r="R615" s="106">
        <v>0.11010154084188649</v>
      </c>
      <c r="S615" s="106">
        <v>14699.252790544977</v>
      </c>
      <c r="T615" s="106">
        <v>16202.558765594222</v>
      </c>
      <c r="U615" s="106">
        <v>11956.401838476691</v>
      </c>
      <c r="V615" s="106">
        <v>0.16304377910552675</v>
      </c>
      <c r="W615" s="106">
        <v>65346.256776034243</v>
      </c>
      <c r="X615" s="110">
        <v>0.61877672507568637</v>
      </c>
      <c r="Y615" s="106">
        <v>440.68167202572351</v>
      </c>
      <c r="Z615" s="106">
        <v>14.691318327974278</v>
      </c>
      <c r="AA615" s="106">
        <v>34684.952380952382</v>
      </c>
      <c r="AB615" s="106">
        <v>398.59907188512392</v>
      </c>
      <c r="AC615" s="106">
        <v>2.8830946314032158</v>
      </c>
      <c r="AD615" s="106">
        <v>43.823038397328887</v>
      </c>
      <c r="AE615" s="106">
        <v>87.017142857142858</v>
      </c>
      <c r="AF615" s="106">
        <v>0.48133206219506286</v>
      </c>
      <c r="AG615" s="106">
        <v>2432</v>
      </c>
      <c r="AH615" s="106">
        <v>13119.164806303348</v>
      </c>
      <c r="AI615" s="106">
        <v>13261.0906106369</v>
      </c>
      <c r="AJ615" s="106">
        <v>14724.556795797767</v>
      </c>
      <c r="AK615" s="104">
        <v>13650.880499015102</v>
      </c>
      <c r="AL615" s="119">
        <v>13850852</v>
      </c>
      <c r="AM615" s="118">
        <v>2198</v>
      </c>
      <c r="AN615" s="118">
        <v>45684</v>
      </c>
      <c r="AO615" s="118">
        <v>284</v>
      </c>
      <c r="AP615" s="118">
        <f t="shared" si="9"/>
        <v>90</v>
      </c>
    </row>
    <row r="616" spans="1:42" ht="12.75">
      <c r="A616" s="106">
        <v>2018</v>
      </c>
      <c r="B616" s="106">
        <v>-238661</v>
      </c>
      <c r="C616" s="106">
        <v>0</v>
      </c>
      <c r="D616" s="106">
        <v>238661</v>
      </c>
      <c r="E616" s="106" t="s">
        <v>1148</v>
      </c>
      <c r="F616" s="106" t="s">
        <v>988</v>
      </c>
      <c r="G616" s="106" t="s">
        <v>139</v>
      </c>
      <c r="H616" s="106">
        <v>5</v>
      </c>
      <c r="I616" s="106" t="s">
        <v>3639</v>
      </c>
      <c r="J616" s="106">
        <v>28500</v>
      </c>
      <c r="K616" s="106">
        <v>26398</v>
      </c>
      <c r="L616" s="106">
        <v>19587</v>
      </c>
      <c r="M616" s="106">
        <v>0.28000000000000003</v>
      </c>
      <c r="N616" s="106">
        <v>0.71</v>
      </c>
      <c r="O616" s="106">
        <v>0.95</v>
      </c>
      <c r="P616" s="106">
        <v>12824</v>
      </c>
      <c r="Q616" s="107">
        <v>6859.0361383582858</v>
      </c>
      <c r="R616" s="106">
        <v>0.26148659097095772</v>
      </c>
      <c r="S616" s="106">
        <v>24429.855962829119</v>
      </c>
      <c r="T616" s="106">
        <v>24697.409912235416</v>
      </c>
      <c r="U616" s="106">
        <v>22589.821397710282</v>
      </c>
      <c r="V616" s="106">
        <v>0.85754961388996243</v>
      </c>
      <c r="W616" s="106">
        <v>70470.921133231241</v>
      </c>
      <c r="X616" s="110">
        <v>0.64128464287094666</v>
      </c>
      <c r="Y616" s="106">
        <v>282.72448979591837</v>
      </c>
      <c r="Z616" s="106">
        <v>9.8826530612244898</v>
      </c>
      <c r="AA616" s="106">
        <v>70803.372244926883</v>
      </c>
      <c r="AB616" s="106">
        <v>789.62868674639651</v>
      </c>
      <c r="AC616" s="106">
        <v>1.4123621069074868</v>
      </c>
      <c r="AD616" s="106">
        <v>34.758155230596174</v>
      </c>
      <c r="AE616" s="106">
        <v>89.666666666666671</v>
      </c>
      <c r="AF616" s="106">
        <v>4.3048493230955533E-2</v>
      </c>
      <c r="AG616" s="106">
        <v>28500</v>
      </c>
      <c r="AH616" s="106">
        <v>23075.544656685597</v>
      </c>
      <c r="AI616" s="106">
        <v>24539.741868869387</v>
      </c>
      <c r="AJ616" s="106">
        <v>27483.909654104285</v>
      </c>
      <c r="AK616" s="104">
        <v>23069.297367062467</v>
      </c>
      <c r="AL616" s="118"/>
      <c r="AM616" s="118">
        <v>1564</v>
      </c>
      <c r="AN616" s="118">
        <v>55414</v>
      </c>
      <c r="AO616" s="118">
        <v>397</v>
      </c>
      <c r="AP616" s="118">
        <f t="shared" si="9"/>
        <v>0</v>
      </c>
    </row>
    <row r="617" spans="1:42" ht="12.75">
      <c r="A617" s="106">
        <v>2018</v>
      </c>
      <c r="B617" s="106">
        <v>-212160</v>
      </c>
      <c r="C617" s="106">
        <v>0</v>
      </c>
      <c r="D617" s="106">
        <v>212160</v>
      </c>
      <c r="E617" s="106" t="s">
        <v>1149</v>
      </c>
      <c r="F617" s="106" t="s">
        <v>1150</v>
      </c>
      <c r="G617" s="106" t="s">
        <v>104</v>
      </c>
      <c r="H617" s="106">
        <v>2</v>
      </c>
      <c r="I617" s="106" t="s">
        <v>25</v>
      </c>
      <c r="J617" s="106">
        <v>10282</v>
      </c>
      <c r="K617" s="106">
        <v>15223</v>
      </c>
      <c r="L617" s="106">
        <v>12848</v>
      </c>
      <c r="M617" s="106">
        <v>0.44</v>
      </c>
      <c r="N617" s="106">
        <v>0.78</v>
      </c>
      <c r="O617" s="106">
        <v>0.27</v>
      </c>
      <c r="P617" s="106">
        <v>4392</v>
      </c>
      <c r="Q617" s="106">
        <v>1331.3095798979191</v>
      </c>
      <c r="R617" s="106">
        <v>0.11541827654587293</v>
      </c>
      <c r="S617" s="106">
        <v>22082.25323910483</v>
      </c>
      <c r="T617" s="106">
        <v>24191.315272870044</v>
      </c>
      <c r="U617" s="106">
        <v>17118.928827767075</v>
      </c>
      <c r="V617" s="106">
        <v>0.59602688213101884</v>
      </c>
      <c r="W617" s="106">
        <v>113598.44884318765</v>
      </c>
      <c r="X617" s="110">
        <v>0.59765743984284414</v>
      </c>
      <c r="Y617" s="106">
        <v>535.65973072215422</v>
      </c>
      <c r="Z617" s="106">
        <v>18.705018359853124</v>
      </c>
      <c r="AA617" s="106">
        <v>58921.502330165873</v>
      </c>
      <c r="AB617" s="106">
        <v>597.78598177000981</v>
      </c>
      <c r="AC617" s="106">
        <v>1.6971732906545949</v>
      </c>
      <c r="AD617" s="106">
        <v>30.081300813008134</v>
      </c>
      <c r="AE617" s="106">
        <v>98.566216216216219</v>
      </c>
      <c r="AF617" s="106">
        <v>6.9057338733324911E-2</v>
      </c>
      <c r="AG617" s="106">
        <v>7492</v>
      </c>
      <c r="AH617" s="106">
        <v>21277.622889674127</v>
      </c>
      <c r="AI617" s="106">
        <v>22138.340204161759</v>
      </c>
      <c r="AJ617" s="106">
        <v>22564.408519827248</v>
      </c>
      <c r="AK617" s="104">
        <v>18161.085787200627</v>
      </c>
      <c r="AL617" s="119">
        <v>26713731</v>
      </c>
      <c r="AM617" s="118">
        <v>4290</v>
      </c>
      <c r="AN617" s="118">
        <v>145878</v>
      </c>
      <c r="AO617" s="118">
        <v>967</v>
      </c>
      <c r="AP617" s="118">
        <f t="shared" si="9"/>
        <v>2790</v>
      </c>
    </row>
    <row r="618" spans="1:42" ht="12.75">
      <c r="A618" s="106">
        <v>2018</v>
      </c>
      <c r="B618" s="106">
        <v>-202648</v>
      </c>
      <c r="C618" s="106">
        <v>0</v>
      </c>
      <c r="D618" s="106">
        <v>202648</v>
      </c>
      <c r="E618" s="106" t="s">
        <v>1151</v>
      </c>
      <c r="F618" s="106" t="s">
        <v>1152</v>
      </c>
      <c r="G618" s="106" t="s">
        <v>82</v>
      </c>
      <c r="H618" s="106">
        <v>4</v>
      </c>
      <c r="I618" s="106" t="s">
        <v>24</v>
      </c>
      <c r="J618" s="106">
        <v>4219</v>
      </c>
      <c r="K618" s="106">
        <v>10542</v>
      </c>
      <c r="L618" s="106">
        <v>10285</v>
      </c>
      <c r="M618" s="106">
        <v>0.51</v>
      </c>
      <c r="N618" s="106">
        <v>0.28000000000000003</v>
      </c>
      <c r="O618" s="106">
        <v>0.23</v>
      </c>
      <c r="P618" s="106">
        <v>2500</v>
      </c>
      <c r="Q618" s="107">
        <v>162.00119545726241</v>
      </c>
      <c r="R618" s="106">
        <v>3.478484523113104E-2</v>
      </c>
      <c r="S618" s="106">
        <v>9770.556485355648</v>
      </c>
      <c r="T618" s="106">
        <v>7810.7065152420801</v>
      </c>
      <c r="U618" s="106">
        <v>9556.3990005921314</v>
      </c>
      <c r="V618" s="106">
        <v>0.47038991482212777</v>
      </c>
      <c r="W618" s="106">
        <v>35464.056939501781</v>
      </c>
      <c r="X618" s="110">
        <v>0.50841366610057215</v>
      </c>
      <c r="Y618" s="106">
        <v>515.7636986301369</v>
      </c>
      <c r="Z618" s="106">
        <v>17.18835616438356</v>
      </c>
      <c r="AA618" s="106">
        <v>32039.790637255781</v>
      </c>
      <c r="AB618" s="106">
        <v>318.4768336883854</v>
      </c>
      <c r="AC618" s="106">
        <v>3.1211190214120901</v>
      </c>
      <c r="AD618" s="106">
        <v>31.285266457680251</v>
      </c>
      <c r="AE618" s="106">
        <v>100.60320641282566</v>
      </c>
      <c r="AF618" s="106">
        <v>0.51771493857639894</v>
      </c>
      <c r="AG618" s="106">
        <v>3610</v>
      </c>
      <c r="AH618" s="106">
        <v>9560.3389121338914</v>
      </c>
      <c r="AI618" s="106">
        <v>9661.6939629408243</v>
      </c>
      <c r="AJ618" s="106">
        <v>9806.7411835026905</v>
      </c>
      <c r="AK618" s="104">
        <v>10211.429766885834</v>
      </c>
      <c r="AL618" s="118">
        <v>7917253</v>
      </c>
      <c r="AM618" s="118">
        <v>3261</v>
      </c>
      <c r="AN618" s="118">
        <v>50201</v>
      </c>
      <c r="AO618" s="118">
        <v>368</v>
      </c>
      <c r="AP618" s="118">
        <f t="shared" si="9"/>
        <v>609</v>
      </c>
    </row>
    <row r="619" spans="1:42" ht="12.75">
      <c r="A619" s="106">
        <v>2018</v>
      </c>
      <c r="B619" s="106">
        <v>-235103</v>
      </c>
      <c r="C619" s="106">
        <v>0</v>
      </c>
      <c r="D619" s="106">
        <v>235103</v>
      </c>
      <c r="E619" s="106" t="s">
        <v>1153</v>
      </c>
      <c r="F619" s="106" t="s">
        <v>1154</v>
      </c>
      <c r="G619" s="106" t="s">
        <v>182</v>
      </c>
      <c r="H619" s="106">
        <v>4</v>
      </c>
      <c r="I619" s="106" t="s">
        <v>24</v>
      </c>
      <c r="J619" s="106">
        <v>3822</v>
      </c>
      <c r="K619" s="106">
        <v>7782</v>
      </c>
      <c r="L619" s="106">
        <v>5253</v>
      </c>
      <c r="M619" s="106">
        <v>0.39</v>
      </c>
      <c r="N619" s="106">
        <v>0.15</v>
      </c>
      <c r="O619" s="106">
        <v>0.28999999999999998</v>
      </c>
      <c r="P619" s="106">
        <v>1910</v>
      </c>
      <c r="Q619" s="107">
        <v>1042.4492200464654</v>
      </c>
      <c r="R619" s="106">
        <v>0.18763110627817281</v>
      </c>
      <c r="S619" s="106">
        <v>17834.810985728509</v>
      </c>
      <c r="T619" s="106">
        <v>17112.070693660804</v>
      </c>
      <c r="U619" s="106">
        <v>13371.702456023897</v>
      </c>
      <c r="V619" s="106">
        <v>0.33753331978370887</v>
      </c>
      <c r="W619" s="106">
        <v>95629.328327291558</v>
      </c>
      <c r="X619" s="110">
        <v>0.59692591172204235</v>
      </c>
      <c r="Y619" s="106">
        <v>1240.1387195121949</v>
      </c>
      <c r="Z619" s="106">
        <v>27.55792682926829</v>
      </c>
      <c r="AA619" s="106">
        <v>32569.878334680678</v>
      </c>
      <c r="AB619" s="106">
        <v>297.14127304306783</v>
      </c>
      <c r="AC619" s="106">
        <v>3.0703215705144089</v>
      </c>
      <c r="AD619" s="106">
        <v>45.612094395280231</v>
      </c>
      <c r="AE619" s="106">
        <v>109.61075181891674</v>
      </c>
      <c r="AF619" s="106">
        <v>8.2478806511883829E-2</v>
      </c>
      <c r="AG619" s="106">
        <v>3468</v>
      </c>
      <c r="AH619" s="106">
        <v>16569.764852306671</v>
      </c>
      <c r="AI619" s="106">
        <v>16621.293561234648</v>
      </c>
      <c r="AJ619" s="106">
        <v>17888.913541320944</v>
      </c>
      <c r="AK619" s="104">
        <v>15412.20345170926</v>
      </c>
      <c r="AL619" s="119">
        <v>28731425</v>
      </c>
      <c r="AM619" s="118">
        <v>8100</v>
      </c>
      <c r="AN619" s="118">
        <v>271177</v>
      </c>
      <c r="AO619" s="118">
        <v>1019</v>
      </c>
      <c r="AP619" s="118">
        <f t="shared" si="9"/>
        <v>354</v>
      </c>
    </row>
    <row r="620" spans="1:42" ht="12.75">
      <c r="A620" s="106">
        <v>2018</v>
      </c>
      <c r="B620" s="106">
        <v>-133526</v>
      </c>
      <c r="C620" s="106">
        <v>0</v>
      </c>
      <c r="D620" s="106">
        <v>133526</v>
      </c>
      <c r="E620" s="106" t="s">
        <v>1155</v>
      </c>
      <c r="F620" s="106" t="s">
        <v>792</v>
      </c>
      <c r="G620" s="106" t="s">
        <v>258</v>
      </c>
      <c r="H620" s="106">
        <v>7</v>
      </c>
      <c r="I620" s="106" t="s">
        <v>3641</v>
      </c>
      <c r="J620" s="106">
        <v>13525</v>
      </c>
      <c r="K620" s="106">
        <v>12165</v>
      </c>
      <c r="L620" s="106">
        <v>12068</v>
      </c>
      <c r="M620" s="106">
        <v>0.88</v>
      </c>
      <c r="N620" s="106">
        <v>0.75</v>
      </c>
      <c r="O620" s="106">
        <v>0.72</v>
      </c>
      <c r="P620" s="107">
        <v>5949</v>
      </c>
      <c r="Q620" s="106"/>
      <c r="R620" s="106"/>
      <c r="S620" s="106">
        <v>13290.225220550077</v>
      </c>
      <c r="T620" s="106">
        <v>12809.869226777375</v>
      </c>
      <c r="U620" s="106">
        <v>9036.9316378763233</v>
      </c>
      <c r="V620" s="106">
        <v>0.69082378824730584</v>
      </c>
      <c r="W620" s="106">
        <v>55850.962093862821</v>
      </c>
      <c r="X620" s="110">
        <v>0.41782339917109512</v>
      </c>
      <c r="Y620" s="106">
        <v>764.11453744493383</v>
      </c>
      <c r="Z620" s="106">
        <v>25.466960352422905</v>
      </c>
      <c r="AA620" s="106">
        <v>143918.73773708823</v>
      </c>
      <c r="AB620" s="106">
        <v>301.18937469624814</v>
      </c>
      <c r="AC620" s="106">
        <v>0.69483655549203538</v>
      </c>
      <c r="AD620" s="106">
        <v>6.4705882352941186</v>
      </c>
      <c r="AE620" s="106">
        <v>477.83471074380168</v>
      </c>
      <c r="AF620" s="106">
        <v>5.0111995796168894E-2</v>
      </c>
      <c r="AG620" s="106">
        <v>13325</v>
      </c>
      <c r="AH620" s="106">
        <v>13474.321224701609</v>
      </c>
      <c r="AI620" s="106">
        <v>14256.539180072652</v>
      </c>
      <c r="AJ620" s="106">
        <v>13437.384016606124</v>
      </c>
      <c r="AK620" s="104">
        <v>10396.982355993772</v>
      </c>
      <c r="AL620" s="118"/>
      <c r="AM620" s="118">
        <v>3443</v>
      </c>
      <c r="AN620" s="118">
        <v>57818</v>
      </c>
      <c r="AO620" s="118">
        <v>121</v>
      </c>
      <c r="AP620" s="118">
        <f t="shared" si="9"/>
        <v>200</v>
      </c>
    </row>
    <row r="621" spans="1:42" ht="12.75">
      <c r="A621" s="106">
        <v>2018</v>
      </c>
      <c r="B621" s="106">
        <v>-112686</v>
      </c>
      <c r="C621" s="106">
        <v>0</v>
      </c>
      <c r="D621" s="106">
        <v>112686</v>
      </c>
      <c r="E621" s="106" t="s">
        <v>1156</v>
      </c>
      <c r="F621" s="106" t="s">
        <v>1157</v>
      </c>
      <c r="G621" s="106" t="s">
        <v>121</v>
      </c>
      <c r="H621" s="106">
        <v>4</v>
      </c>
      <c r="I621" s="106" t="s">
        <v>24</v>
      </c>
      <c r="J621" s="106">
        <v>1142</v>
      </c>
      <c r="K621" s="106">
        <v>9714</v>
      </c>
      <c r="L621" s="106">
        <v>7212</v>
      </c>
      <c r="M621" s="106">
        <v>0.56000000000000005</v>
      </c>
      <c r="N621" s="106">
        <v>0</v>
      </c>
      <c r="O621" s="106">
        <v>0</v>
      </c>
      <c r="P621" s="107"/>
      <c r="Q621" s="107"/>
      <c r="R621" s="106"/>
      <c r="S621" s="106">
        <v>15881.506769825919</v>
      </c>
      <c r="T621" s="106">
        <v>16014.452852998065</v>
      </c>
      <c r="U621" s="106">
        <v>9674.5927052837524</v>
      </c>
      <c r="V621" s="106">
        <v>0.2513397058053588</v>
      </c>
      <c r="W621" s="106">
        <v>111909.46153846155</v>
      </c>
      <c r="X621" s="110">
        <v>0.53446482555794583</v>
      </c>
      <c r="Y621" s="106">
        <v>745.98396793587165</v>
      </c>
      <c r="Z621" s="106">
        <v>24.865731462925851</v>
      </c>
      <c r="AA621" s="106">
        <v>54073.128958180539</v>
      </c>
      <c r="AB621" s="106">
        <v>322.48122555288921</v>
      </c>
      <c r="AC621" s="106">
        <v>1.8493473917024243</v>
      </c>
      <c r="AD621" s="106">
        <v>20.898051397910194</v>
      </c>
      <c r="AE621" s="106">
        <v>167.67837837837837</v>
      </c>
      <c r="AF621" s="106">
        <v>1.470352966183211E-2</v>
      </c>
      <c r="AG621" s="106">
        <v>1104</v>
      </c>
      <c r="AH621" s="106">
        <v>16214.410299806575</v>
      </c>
      <c r="AI621" s="106">
        <v>16214.410299806575</v>
      </c>
      <c r="AJ621" s="106">
        <v>16029.088733075436</v>
      </c>
      <c r="AK621" s="104">
        <v>9728.2043036750492</v>
      </c>
      <c r="AL621" s="119">
        <v>37835925</v>
      </c>
      <c r="AM621" s="118">
        <v>7422</v>
      </c>
      <c r="AN621" s="118">
        <v>124082</v>
      </c>
      <c r="AO621" s="118">
        <v>636</v>
      </c>
      <c r="AP621" s="118">
        <f t="shared" si="9"/>
        <v>38</v>
      </c>
    </row>
    <row r="622" spans="1:42" ht="12.75">
      <c r="A622" s="106">
        <v>2018</v>
      </c>
      <c r="B622" s="106">
        <v>-113980</v>
      </c>
      <c r="C622" s="106">
        <v>0</v>
      </c>
      <c r="D622" s="106">
        <v>113980</v>
      </c>
      <c r="E622" s="106" t="s">
        <v>1158</v>
      </c>
      <c r="F622" s="106" t="s">
        <v>1159</v>
      </c>
      <c r="G622" s="106" t="s">
        <v>121</v>
      </c>
      <c r="H622" s="106">
        <v>4</v>
      </c>
      <c r="I622" s="106" t="s">
        <v>24</v>
      </c>
      <c r="J622" s="106">
        <v>1142</v>
      </c>
      <c r="K622" s="106">
        <v>10474</v>
      </c>
      <c r="L622" s="106">
        <v>8051</v>
      </c>
      <c r="M622" s="106">
        <v>0.46</v>
      </c>
      <c r="N622" s="106">
        <v>0</v>
      </c>
      <c r="O622" s="106">
        <v>0.01</v>
      </c>
      <c r="P622" s="106">
        <v>747</v>
      </c>
      <c r="Q622" s="106"/>
      <c r="R622" s="106"/>
      <c r="S622" s="106">
        <v>15824.893632275305</v>
      </c>
      <c r="T622" s="106">
        <v>18257.391122987683</v>
      </c>
      <c r="U622" s="106">
        <v>8430.0800262806188</v>
      </c>
      <c r="V622" s="106">
        <v>0.2266356505321864</v>
      </c>
      <c r="W622" s="106">
        <v>129635.60464355788</v>
      </c>
      <c r="X622" s="110">
        <v>0.47172785275527673</v>
      </c>
      <c r="Y622" s="106">
        <v>866.30928481806768</v>
      </c>
      <c r="Z622" s="106">
        <v>28.876411543287325</v>
      </c>
      <c r="AA622" s="106">
        <v>32190.820767352798</v>
      </c>
      <c r="AB622" s="106">
        <v>280.99717323570883</v>
      </c>
      <c r="AC622" s="106">
        <v>3.1064756230576682</v>
      </c>
      <c r="AD622" s="106">
        <v>30.032139920771357</v>
      </c>
      <c r="AE622" s="106">
        <v>114.55923344947735</v>
      </c>
      <c r="AF622" s="106">
        <v>1.115895409532035</v>
      </c>
      <c r="AG622" s="106">
        <v>1104</v>
      </c>
      <c r="AH622" s="106">
        <v>14115.177149188556</v>
      </c>
      <c r="AI622" s="106">
        <v>14115.177149188556</v>
      </c>
      <c r="AJ622" s="106">
        <v>15995.93573616633</v>
      </c>
      <c r="AK622" s="104">
        <v>12421.991852962263</v>
      </c>
      <c r="AL622" s="119">
        <v>118554406</v>
      </c>
      <c r="AM622" s="118">
        <v>24349</v>
      </c>
      <c r="AN622" s="118">
        <v>460299</v>
      </c>
      <c r="AO622" s="118">
        <v>3299</v>
      </c>
      <c r="AP622" s="118">
        <f t="shared" si="9"/>
        <v>38</v>
      </c>
    </row>
    <row r="623" spans="1:42" ht="12.75">
      <c r="A623" s="106">
        <v>2018</v>
      </c>
      <c r="B623" s="106">
        <v>-224615</v>
      </c>
      <c r="C623" s="106">
        <v>0</v>
      </c>
      <c r="D623" s="106">
        <v>224615</v>
      </c>
      <c r="E623" s="106" t="s">
        <v>1160</v>
      </c>
      <c r="F623" s="106" t="s">
        <v>992</v>
      </c>
      <c r="G623" s="106" t="s">
        <v>60</v>
      </c>
      <c r="H623" s="106">
        <v>4</v>
      </c>
      <c r="I623" s="106" t="s">
        <v>24</v>
      </c>
      <c r="J623" s="106">
        <v>1770</v>
      </c>
      <c r="K623" s="106">
        <v>6223</v>
      </c>
      <c r="L623" s="106">
        <v>5607</v>
      </c>
      <c r="M623" s="106">
        <v>0.47</v>
      </c>
      <c r="N623" s="106">
        <v>0</v>
      </c>
      <c r="O623" s="106">
        <v>0.05</v>
      </c>
      <c r="P623" s="107">
        <v>1018</v>
      </c>
      <c r="Q623" s="107">
        <v>193.93926478423015</v>
      </c>
      <c r="R623" s="106">
        <v>9.6161600009439421E-2</v>
      </c>
      <c r="S623" s="106">
        <v>13386.647309536495</v>
      </c>
      <c r="T623" s="106">
        <v>12118.80003551767</v>
      </c>
      <c r="U623" s="106">
        <v>9999.531174676029</v>
      </c>
      <c r="V623" s="106">
        <v>0.1822951918163008</v>
      </c>
      <c r="W623" s="106">
        <v>67819.831812998862</v>
      </c>
      <c r="X623" s="110">
        <v>0.5810585498331845</v>
      </c>
      <c r="Y623" s="106">
        <v>638.30100755667502</v>
      </c>
      <c r="Z623" s="106">
        <v>21.275818639798487</v>
      </c>
      <c r="AA623" s="106">
        <v>35368.944751633615</v>
      </c>
      <c r="AB623" s="106">
        <v>333.30389461515665</v>
      </c>
      <c r="AC623" s="106">
        <v>2.8273390880676819</v>
      </c>
      <c r="AD623" s="106">
        <v>35.09700176366843</v>
      </c>
      <c r="AE623" s="106">
        <v>106.11620603015075</v>
      </c>
      <c r="AF623" s="106">
        <v>0.27520600317584176</v>
      </c>
      <c r="AG623" s="106">
        <v>1770</v>
      </c>
      <c r="AH623" s="106">
        <v>11855.126442905346</v>
      </c>
      <c r="AI623" s="106">
        <v>11857.950452850293</v>
      </c>
      <c r="AJ623" s="106">
        <v>13386.647309536495</v>
      </c>
      <c r="AK623" s="104">
        <v>11993.992718877642</v>
      </c>
      <c r="AL623" s="119">
        <v>52403258</v>
      </c>
      <c r="AM623" s="118">
        <v>10797</v>
      </c>
      <c r="AN623" s="118">
        <v>168937</v>
      </c>
      <c r="AO623" s="118">
        <v>999</v>
      </c>
      <c r="AP623" s="118">
        <f t="shared" si="9"/>
        <v>0</v>
      </c>
    </row>
    <row r="624" spans="1:42" ht="12.75">
      <c r="A624" s="106">
        <v>2018</v>
      </c>
      <c r="B624" s="106">
        <v>-224642</v>
      </c>
      <c r="C624" s="106">
        <v>0</v>
      </c>
      <c r="D624" s="106">
        <v>224642</v>
      </c>
      <c r="E624" s="106" t="s">
        <v>1161</v>
      </c>
      <c r="F624" s="106" t="s">
        <v>1162</v>
      </c>
      <c r="G624" s="106" t="s">
        <v>60</v>
      </c>
      <c r="H624" s="106">
        <v>4</v>
      </c>
      <c r="I624" s="106" t="s">
        <v>24</v>
      </c>
      <c r="J624" s="106">
        <v>2746</v>
      </c>
      <c r="K624" s="106">
        <v>2814</v>
      </c>
      <c r="L624" s="106">
        <v>1775</v>
      </c>
      <c r="M624" s="106">
        <v>0.78</v>
      </c>
      <c r="N624" s="106">
        <v>0.05</v>
      </c>
      <c r="O624" s="106">
        <v>0.03</v>
      </c>
      <c r="P624" s="106">
        <v>2086</v>
      </c>
      <c r="Q624" s="106">
        <v>111.6416958694778</v>
      </c>
      <c r="R624" s="106">
        <v>2.7419022226295699E-2</v>
      </c>
      <c r="S624" s="106">
        <v>11142.047681967024</v>
      </c>
      <c r="T624" s="106">
        <v>10473.600045958523</v>
      </c>
      <c r="U624" s="106">
        <v>7987.7754749707001</v>
      </c>
      <c r="V624" s="106">
        <v>0.49576331087161818</v>
      </c>
      <c r="W624" s="106">
        <v>67641.057959814527</v>
      </c>
      <c r="X624" s="110">
        <v>0.64012308525629269</v>
      </c>
      <c r="Y624" s="106">
        <v>759.01598837209303</v>
      </c>
      <c r="Z624" s="106">
        <v>25.300872093023255</v>
      </c>
      <c r="AA624" s="106">
        <v>31795.839856577859</v>
      </c>
      <c r="AB624" s="106">
        <v>266.26275163646125</v>
      </c>
      <c r="AC624" s="106">
        <v>3.1450655321913819</v>
      </c>
      <c r="AD624" s="106">
        <v>28.326208058038603</v>
      </c>
      <c r="AE624" s="106">
        <v>119.41527555453922</v>
      </c>
      <c r="AF624" s="106">
        <v>9.038649081537245E-2</v>
      </c>
      <c r="AG624" s="106">
        <v>2256</v>
      </c>
      <c r="AH624" s="106">
        <v>10828.506233124604</v>
      </c>
      <c r="AI624" s="106">
        <v>10828.506233124604</v>
      </c>
      <c r="AJ624" s="106">
        <v>11314.267708393176</v>
      </c>
      <c r="AK624" s="104">
        <v>10085.272648934337</v>
      </c>
      <c r="AL624" s="119">
        <v>102584909</v>
      </c>
      <c r="AM624" s="118">
        <v>28750</v>
      </c>
      <c r="AN624" s="118">
        <v>522203</v>
      </c>
      <c r="AO624" s="118">
        <v>3528</v>
      </c>
      <c r="AP624" s="118">
        <f t="shared" si="9"/>
        <v>490</v>
      </c>
    </row>
    <row r="625" spans="1:42" ht="12.75">
      <c r="A625" s="106">
        <v>2018</v>
      </c>
      <c r="B625" s="106">
        <v>-144944</v>
      </c>
      <c r="C625" s="106">
        <v>0</v>
      </c>
      <c r="D625" s="106">
        <v>144944</v>
      </c>
      <c r="E625" s="106" t="s">
        <v>1163</v>
      </c>
      <c r="F625" s="106" t="s">
        <v>1164</v>
      </c>
      <c r="G625" s="106" t="s">
        <v>243</v>
      </c>
      <c r="H625" s="106">
        <v>4</v>
      </c>
      <c r="I625" s="106" t="s">
        <v>24</v>
      </c>
      <c r="J625" s="106">
        <v>3108</v>
      </c>
      <c r="K625" s="106">
        <v>4823</v>
      </c>
      <c r="L625" s="106">
        <v>3558</v>
      </c>
      <c r="M625" s="106">
        <v>0.32</v>
      </c>
      <c r="N625" s="106">
        <v>7.0000000000000007E-2</v>
      </c>
      <c r="O625" s="106">
        <v>0.12</v>
      </c>
      <c r="P625" s="106">
        <v>1304</v>
      </c>
      <c r="Q625" s="106">
        <v>38.040972534894195</v>
      </c>
      <c r="R625" s="106">
        <v>1.2696559310419447E-2</v>
      </c>
      <c r="S625" s="106">
        <v>21789.94521987093</v>
      </c>
      <c r="T625" s="106">
        <v>21046.876932312771</v>
      </c>
      <c r="U625" s="106">
        <v>15028.540189989226</v>
      </c>
      <c r="V625" s="106">
        <v>0.19683368312613225</v>
      </c>
      <c r="W625" s="106">
        <v>125307.37770897833</v>
      </c>
      <c r="X625" s="110">
        <v>0.57723370886943537</v>
      </c>
      <c r="Y625" s="106">
        <v>791.14907651715043</v>
      </c>
      <c r="Z625" s="106">
        <v>26.37071240105541</v>
      </c>
      <c r="AA625" s="106">
        <v>42376.285774819386</v>
      </c>
      <c r="AB625" s="106">
        <v>500.93379733511864</v>
      </c>
      <c r="AC625" s="106">
        <v>2.3598104027187179</v>
      </c>
      <c r="AD625" s="106">
        <v>44.102276969018291</v>
      </c>
      <c r="AE625" s="106">
        <v>84.594583157003811</v>
      </c>
      <c r="AF625" s="106">
        <v>4.4695372037893477E-2</v>
      </c>
      <c r="AG625" s="106">
        <v>3096</v>
      </c>
      <c r="AH625" s="106">
        <v>21245.411076091852</v>
      </c>
      <c r="AI625" s="106">
        <v>21281.91550352694</v>
      </c>
      <c r="AJ625" s="106">
        <v>21966.875281404773</v>
      </c>
      <c r="AK625" s="104">
        <v>15767.320726399519</v>
      </c>
      <c r="AL625" s="119">
        <v>60325403</v>
      </c>
      <c r="AM625" s="118">
        <v>9599</v>
      </c>
      <c r="AN625" s="118">
        <v>199897</v>
      </c>
      <c r="AO625" s="118">
        <v>1147</v>
      </c>
      <c r="AP625" s="118">
        <f t="shared" si="9"/>
        <v>12</v>
      </c>
    </row>
    <row r="626" spans="1:42" ht="12.75">
      <c r="A626" s="106">
        <v>2018</v>
      </c>
      <c r="B626" s="106">
        <v>-198507</v>
      </c>
      <c r="C626" s="106">
        <v>0</v>
      </c>
      <c r="D626" s="106">
        <v>198507</v>
      </c>
      <c r="E626" s="106" t="s">
        <v>1165</v>
      </c>
      <c r="F626" s="106" t="s">
        <v>854</v>
      </c>
      <c r="G626" s="106" t="s">
        <v>90</v>
      </c>
      <c r="H626" s="106">
        <v>2</v>
      </c>
      <c r="I626" s="106" t="s">
        <v>25</v>
      </c>
      <c r="J626" s="106">
        <v>4986</v>
      </c>
      <c r="K626" s="106">
        <v>3412</v>
      </c>
      <c r="L626" s="106">
        <v>1551</v>
      </c>
      <c r="M626" s="106">
        <v>0.74</v>
      </c>
      <c r="N626" s="106">
        <v>0.64</v>
      </c>
      <c r="O626" s="106">
        <v>0.85</v>
      </c>
      <c r="P626" s="106">
        <v>3340</v>
      </c>
      <c r="Q626" s="106">
        <v>1949.9813229571985</v>
      </c>
      <c r="R626" s="106">
        <v>0.29616683225928614</v>
      </c>
      <c r="S626" s="106">
        <v>44738.109727626463</v>
      </c>
      <c r="T626" s="106">
        <v>48438.996108949417</v>
      </c>
      <c r="U626" s="106">
        <v>31684.464807473963</v>
      </c>
      <c r="V626" s="106">
        <v>0.14625724368174439</v>
      </c>
      <c r="W626" s="106">
        <v>76356.7807835821</v>
      </c>
      <c r="X626" s="110">
        <v>0.43835188582502022</v>
      </c>
      <c r="Y626" s="106">
        <v>399.8125</v>
      </c>
      <c r="Z626" s="106">
        <v>13.385416666666666</v>
      </c>
      <c r="AA626" s="106">
        <v>155398.99724276352</v>
      </c>
      <c r="AB626" s="106">
        <v>1060.7716449795228</v>
      </c>
      <c r="AC626" s="106">
        <v>0.64350479587574494</v>
      </c>
      <c r="AD626" s="106">
        <v>20.452771272443403</v>
      </c>
      <c r="AE626" s="106">
        <v>146.49618320610688</v>
      </c>
      <c r="AF626" s="106">
        <v>-1.1317308709031595E-2</v>
      </c>
      <c r="AG626" s="106">
        <v>2856</v>
      </c>
      <c r="AH626" s="106">
        <v>44999.834241245138</v>
      </c>
      <c r="AI626" s="106">
        <v>45621.575097276262</v>
      </c>
      <c r="AJ626" s="106">
        <v>45459.2280155642</v>
      </c>
      <c r="AK626" s="104">
        <v>36497.266926070042</v>
      </c>
      <c r="AL626" s="118">
        <v>33007663</v>
      </c>
      <c r="AM626" s="118">
        <v>1368</v>
      </c>
      <c r="AN626" s="118">
        <v>38382</v>
      </c>
      <c r="AO626" s="118">
        <v>245</v>
      </c>
      <c r="AP626" s="118">
        <f t="shared" si="9"/>
        <v>2130</v>
      </c>
    </row>
    <row r="627" spans="1:42" ht="12.75">
      <c r="A627" s="106">
        <v>2018</v>
      </c>
      <c r="B627" s="106">
        <v>3013</v>
      </c>
      <c r="C627" s="106">
        <v>1</v>
      </c>
      <c r="D627" s="106">
        <v>212197</v>
      </c>
      <c r="E627" s="106" t="s">
        <v>3844</v>
      </c>
      <c r="F627" s="106" t="s">
        <v>1166</v>
      </c>
      <c r="G627" s="106" t="s">
        <v>104</v>
      </c>
      <c r="H627" s="106">
        <v>7</v>
      </c>
      <c r="I627" s="106" t="s">
        <v>3641</v>
      </c>
      <c r="J627" s="106">
        <v>45350</v>
      </c>
      <c r="K627" s="106">
        <v>28188</v>
      </c>
      <c r="L627" s="106">
        <v>20405</v>
      </c>
      <c r="M627" s="106">
        <v>0.2</v>
      </c>
      <c r="N627" s="106">
        <v>0.76</v>
      </c>
      <c r="O627" s="106">
        <v>1</v>
      </c>
      <c r="P627" s="107">
        <v>27873</v>
      </c>
      <c r="Q627" s="107">
        <v>19863.676115241637</v>
      </c>
      <c r="R627" s="106">
        <v>0.52234264910474593</v>
      </c>
      <c r="S627" s="106">
        <v>30361.212360594796</v>
      </c>
      <c r="T627" s="106">
        <v>29936.432156133829</v>
      </c>
      <c r="U627" s="106">
        <v>25550.796003717471</v>
      </c>
      <c r="V627" s="106">
        <v>0.71091253040607405</v>
      </c>
      <c r="W627" s="106">
        <v>82194.88223418573</v>
      </c>
      <c r="X627" s="110">
        <v>0.63197518496519312</v>
      </c>
      <c r="Y627" s="106">
        <v>388.0060975609756</v>
      </c>
      <c r="Z627" s="106">
        <v>13.121951219512194</v>
      </c>
      <c r="AA627" s="106">
        <v>92257.236577181204</v>
      </c>
      <c r="AB627" s="106">
        <v>864.10059245988714</v>
      </c>
      <c r="AC627" s="106">
        <v>1.0839258112434498</v>
      </c>
      <c r="AD627" s="106">
        <v>31.786666666666669</v>
      </c>
      <c r="AE627" s="106">
        <v>106.76677852348993</v>
      </c>
      <c r="AF627" s="106">
        <v>6.7084160090410822E-2</v>
      </c>
      <c r="AG627" s="106">
        <v>45350</v>
      </c>
      <c r="AH627" s="106">
        <v>26590.240706319702</v>
      </c>
      <c r="AI627" s="106">
        <v>29575.720724907063</v>
      </c>
      <c r="AJ627" s="106">
        <v>34145.65381040892</v>
      </c>
      <c r="AK627" s="104">
        <v>25550.796003717471</v>
      </c>
      <c r="AM627" s="118">
        <v>2007</v>
      </c>
      <c r="AN627" s="118">
        <v>63633</v>
      </c>
      <c r="AO627" s="118">
        <v>495</v>
      </c>
      <c r="AP627" s="118">
        <f t="shared" si="9"/>
        <v>0</v>
      </c>
    </row>
    <row r="628" spans="1:42" ht="12.75">
      <c r="A628" s="106">
        <v>2018</v>
      </c>
      <c r="B628" s="106">
        <v>-156648</v>
      </c>
      <c r="C628" s="106">
        <v>0</v>
      </c>
      <c r="D628" s="106">
        <v>156648</v>
      </c>
      <c r="E628" s="106" t="s">
        <v>4084</v>
      </c>
      <c r="F628" s="106" t="s">
        <v>1166</v>
      </c>
      <c r="G628" s="106" t="s">
        <v>118</v>
      </c>
      <c r="H628" s="106">
        <v>4</v>
      </c>
      <c r="I628" s="106" t="s">
        <v>24</v>
      </c>
      <c r="J628" s="106">
        <v>4080</v>
      </c>
      <c r="K628" s="106">
        <v>5468</v>
      </c>
      <c r="L628" s="106">
        <v>3494</v>
      </c>
      <c r="M628" s="106">
        <v>0.61</v>
      </c>
      <c r="N628" s="106">
        <v>0.2</v>
      </c>
      <c r="O628" s="106">
        <v>0.28000000000000003</v>
      </c>
      <c r="P628" s="106">
        <v>1143</v>
      </c>
      <c r="Q628" s="106">
        <v>2983.0587248322149</v>
      </c>
      <c r="R628" s="106">
        <v>0.58673739434451755</v>
      </c>
      <c r="S628" s="106">
        <v>9812.4407158836693</v>
      </c>
      <c r="T628" s="106">
        <v>8499.8011744966443</v>
      </c>
      <c r="U628" s="106">
        <v>6680.4357480818635</v>
      </c>
      <c r="V628" s="106">
        <v>0.31451354480394272</v>
      </c>
      <c r="W628" s="106">
        <v>58448.905844155845</v>
      </c>
      <c r="X628" s="110">
        <v>0.59227148654516826</v>
      </c>
      <c r="Y628" s="106">
        <v>656.76122448979584</v>
      </c>
      <c r="Z628" s="106">
        <v>21.893877551020406</v>
      </c>
      <c r="AA628" s="106">
        <v>7610.4613683149873</v>
      </c>
      <c r="AB628" s="106">
        <v>222.69987447810448</v>
      </c>
      <c r="AC628" s="106">
        <v>13.139807846122837</v>
      </c>
      <c r="AD628" s="106">
        <v>79.811848461734044</v>
      </c>
      <c r="AE628" s="106">
        <v>34.173622172666455</v>
      </c>
      <c r="AF628" s="106"/>
      <c r="AG628" s="106">
        <v>3888</v>
      </c>
      <c r="AH628" s="106">
        <v>9164.4205816554804</v>
      </c>
      <c r="AI628" s="106">
        <v>9194.5545302013415</v>
      </c>
      <c r="AJ628" s="106">
        <v>9822.7474832214757</v>
      </c>
      <c r="AK628" s="104">
        <v>8009.373601789709</v>
      </c>
      <c r="AL628" s="118">
        <v>11102500</v>
      </c>
      <c r="AM628" s="118">
        <v>7115</v>
      </c>
      <c r="AN628" s="118">
        <v>107271</v>
      </c>
      <c r="AO628" s="118">
        <v>757</v>
      </c>
      <c r="AP628" s="118">
        <f t="shared" si="9"/>
        <v>192</v>
      </c>
    </row>
    <row r="629" spans="1:42" ht="12.75">
      <c r="A629" s="106">
        <v>2018</v>
      </c>
      <c r="B629" s="106">
        <v>-153296</v>
      </c>
      <c r="C629" s="106">
        <v>0</v>
      </c>
      <c r="D629" s="106">
        <v>153296</v>
      </c>
      <c r="E629" s="106" t="s">
        <v>1167</v>
      </c>
      <c r="F629" s="106" t="s">
        <v>1168</v>
      </c>
      <c r="G629" s="106" t="s">
        <v>447</v>
      </c>
      <c r="H629" s="106">
        <v>4</v>
      </c>
      <c r="I629" s="106" t="s">
        <v>24</v>
      </c>
      <c r="J629" s="106">
        <v>4656</v>
      </c>
      <c r="K629" s="106">
        <v>11640</v>
      </c>
      <c r="L629" s="106">
        <v>8694</v>
      </c>
      <c r="M629" s="106">
        <v>0.51</v>
      </c>
      <c r="N629" s="106">
        <v>0.63</v>
      </c>
      <c r="O629" s="106">
        <v>0.74</v>
      </c>
      <c r="P629" s="106">
        <v>2255</v>
      </c>
      <c r="Q629" s="106">
        <v>1376.4646616541354</v>
      </c>
      <c r="R629" s="106">
        <v>0.29880751075623341</v>
      </c>
      <c r="S629" s="106">
        <v>24345.63157894737</v>
      </c>
      <c r="T629" s="106">
        <v>22832.387969924814</v>
      </c>
      <c r="U629" s="106">
        <v>12483.177443609022</v>
      </c>
      <c r="V629" s="106">
        <v>0.25875316350558036</v>
      </c>
      <c r="W629" s="106">
        <v>106582.8115942029</v>
      </c>
      <c r="X629" s="110">
        <v>0.4843544370225174</v>
      </c>
      <c r="Y629" s="106">
        <v>729.98780487804879</v>
      </c>
      <c r="Z629" s="106">
        <v>24.329268292682929</v>
      </c>
      <c r="AA629" s="106">
        <v>48545.690058479529</v>
      </c>
      <c r="AB629" s="106">
        <v>416.04335187691072</v>
      </c>
      <c r="AC629" s="106">
        <v>2.0599151001775264</v>
      </c>
      <c r="AD629" s="106">
        <v>24.746743849493487</v>
      </c>
      <c r="AE629" s="106">
        <v>116.68421052631579</v>
      </c>
      <c r="AF629" s="106">
        <v>5.2322753266810774E-2</v>
      </c>
      <c r="AG629" s="106">
        <v>4032</v>
      </c>
      <c r="AH629" s="106">
        <v>20385.437593984963</v>
      </c>
      <c r="AI629" s="106">
        <v>21420.457142857143</v>
      </c>
      <c r="AJ629" s="106">
        <v>24399.248120300752</v>
      </c>
      <c r="AK629" s="104">
        <v>15861.449624060151</v>
      </c>
      <c r="AL629" s="118">
        <v>6405687</v>
      </c>
      <c r="AM629" s="118">
        <v>851</v>
      </c>
      <c r="AN629" s="118">
        <v>19953</v>
      </c>
      <c r="AO629" s="118">
        <v>148</v>
      </c>
      <c r="AP629" s="118">
        <f t="shared" si="9"/>
        <v>624</v>
      </c>
    </row>
    <row r="630" spans="1:42" ht="12.75">
      <c r="A630" s="106">
        <v>2018</v>
      </c>
      <c r="B630" s="106">
        <v>-144962</v>
      </c>
      <c r="C630" s="106">
        <v>0</v>
      </c>
      <c r="D630" s="106">
        <v>144962</v>
      </c>
      <c r="E630" s="106" t="s">
        <v>1169</v>
      </c>
      <c r="F630" s="106" t="s">
        <v>1170</v>
      </c>
      <c r="G630" s="106" t="s">
        <v>243</v>
      </c>
      <c r="H630" s="106">
        <v>6</v>
      </c>
      <c r="I630" s="106" t="s">
        <v>3640</v>
      </c>
      <c r="J630" s="106">
        <v>36370</v>
      </c>
      <c r="K630" s="106">
        <v>23042</v>
      </c>
      <c r="L630" s="106">
        <v>16170</v>
      </c>
      <c r="M630" s="106">
        <v>0.42</v>
      </c>
      <c r="N630" s="106">
        <v>0.72</v>
      </c>
      <c r="O630" s="106">
        <v>1</v>
      </c>
      <c r="P630" s="106">
        <v>19345</v>
      </c>
      <c r="Q630" s="107">
        <v>14030.927532097005</v>
      </c>
      <c r="R630" s="106">
        <v>0.45854718056576937</v>
      </c>
      <c r="S630" s="106">
        <v>20847.151497860199</v>
      </c>
      <c r="T630" s="106">
        <v>19338.052496433666</v>
      </c>
      <c r="U630" s="106">
        <v>16933.859800154198</v>
      </c>
      <c r="V630" s="106">
        <v>0.97837875527781082</v>
      </c>
      <c r="W630" s="106">
        <v>81766.868951612909</v>
      </c>
      <c r="X630" s="110">
        <v>0.59835412205103833</v>
      </c>
      <c r="Y630" s="106">
        <v>448.67105263157896</v>
      </c>
      <c r="Z630" s="106">
        <v>15.37280701754386</v>
      </c>
      <c r="AA630" s="106">
        <v>58999.183498549166</v>
      </c>
      <c r="AB630" s="106">
        <v>580.20448888570013</v>
      </c>
      <c r="AC630" s="106">
        <v>1.6949387105070544</v>
      </c>
      <c r="AD630" s="106">
        <v>32.326478149100254</v>
      </c>
      <c r="AE630" s="106">
        <v>101.68687872763419</v>
      </c>
      <c r="AF630" s="106">
        <v>0.16541724608627362</v>
      </c>
      <c r="AG630" s="106">
        <v>36070</v>
      </c>
      <c r="AH630" s="106">
        <v>20018.456776034236</v>
      </c>
      <c r="AI630" s="106">
        <v>20847.151497860199</v>
      </c>
      <c r="AJ630" s="106">
        <v>23668.765763195435</v>
      </c>
      <c r="AK630" s="104">
        <v>17005.06248216833</v>
      </c>
      <c r="AM630" s="118">
        <v>2875</v>
      </c>
      <c r="AN630" s="118">
        <v>102297</v>
      </c>
      <c r="AO630" s="118">
        <v>754</v>
      </c>
      <c r="AP630" s="118">
        <f t="shared" si="9"/>
        <v>300</v>
      </c>
    </row>
    <row r="631" spans="1:42" ht="12.75">
      <c r="A631" s="106">
        <v>2018</v>
      </c>
      <c r="B631" s="106">
        <v>-190983</v>
      </c>
      <c r="C631" s="106">
        <v>0</v>
      </c>
      <c r="D631" s="106">
        <v>190983</v>
      </c>
      <c r="E631" s="106" t="s">
        <v>1171</v>
      </c>
      <c r="F631" s="106" t="s">
        <v>1172</v>
      </c>
      <c r="G631" s="106" t="s">
        <v>69</v>
      </c>
      <c r="H631" s="106">
        <v>7</v>
      </c>
      <c r="I631" s="106" t="s">
        <v>3641</v>
      </c>
      <c r="J631" s="106">
        <v>41900</v>
      </c>
      <c r="K631" s="106">
        <v>24378</v>
      </c>
      <c r="L631" s="106">
        <v>18260</v>
      </c>
      <c r="M631" s="106">
        <v>0.4</v>
      </c>
      <c r="N631" s="106">
        <v>0.87</v>
      </c>
      <c r="O631" s="106">
        <v>1</v>
      </c>
      <c r="P631" s="106">
        <v>26527</v>
      </c>
      <c r="Q631" s="106">
        <v>19768.488000000001</v>
      </c>
      <c r="R631" s="106">
        <v>0.55058101462602083</v>
      </c>
      <c r="S631" s="106">
        <v>30559.008000000002</v>
      </c>
      <c r="T631" s="106">
        <v>40716.671000000002</v>
      </c>
      <c r="U631" s="106">
        <v>28303.614000000001</v>
      </c>
      <c r="V631" s="106">
        <v>0.57011404974643876</v>
      </c>
      <c r="W631" s="106">
        <v>64504.348051948044</v>
      </c>
      <c r="X631" s="110">
        <v>0.40661762352821035</v>
      </c>
      <c r="Y631" s="106">
        <v>371.75</v>
      </c>
      <c r="Z631" s="106">
        <v>12.5</v>
      </c>
      <c r="AA631" s="106">
        <v>81099.180515759319</v>
      </c>
      <c r="AB631" s="106">
        <v>951.70188298587766</v>
      </c>
      <c r="AC631" s="106">
        <v>1.233058082264689</v>
      </c>
      <c r="AD631" s="106">
        <v>38.520971302428258</v>
      </c>
      <c r="AE631" s="106">
        <v>85.214899713467048</v>
      </c>
      <c r="AF631" s="106">
        <v>-5.1298228696961767E-2</v>
      </c>
      <c r="AG631" s="106">
        <v>41900</v>
      </c>
      <c r="AH631" s="106">
        <v>26521.682000000001</v>
      </c>
      <c r="AI631" s="106">
        <v>29058.371999999999</v>
      </c>
      <c r="AJ631" s="106">
        <v>34559.506999999998</v>
      </c>
      <c r="AK631" s="104">
        <v>30717.504000000001</v>
      </c>
      <c r="AL631" s="118">
        <v>102340</v>
      </c>
      <c r="AM631" s="118">
        <v>938</v>
      </c>
      <c r="AN631" s="118">
        <v>29740</v>
      </c>
      <c r="AO631" s="118">
        <v>300</v>
      </c>
      <c r="AP631" s="118">
        <f t="shared" si="9"/>
        <v>0</v>
      </c>
    </row>
    <row r="632" spans="1:42" ht="12.75">
      <c r="A632" s="106">
        <v>2018</v>
      </c>
      <c r="B632" s="106">
        <v>-198516</v>
      </c>
      <c r="C632" s="106">
        <v>0</v>
      </c>
      <c r="D632" s="106">
        <v>198516</v>
      </c>
      <c r="E632" s="106" t="s">
        <v>1173</v>
      </c>
      <c r="F632" s="106" t="s">
        <v>1174</v>
      </c>
      <c r="G632" s="106" t="s">
        <v>90</v>
      </c>
      <c r="H632" s="106">
        <v>6</v>
      </c>
      <c r="I632" s="106" t="s">
        <v>3640</v>
      </c>
      <c r="J632" s="106">
        <v>34273</v>
      </c>
      <c r="K632" s="106">
        <v>34974</v>
      </c>
      <c r="L632" s="106">
        <v>23200</v>
      </c>
      <c r="M632" s="106">
        <v>0.1</v>
      </c>
      <c r="N632" s="106">
        <v>0.34</v>
      </c>
      <c r="O632" s="106">
        <v>0.66</v>
      </c>
      <c r="P632" s="106">
        <v>13460</v>
      </c>
      <c r="Q632" s="106">
        <v>7461.8147625763986</v>
      </c>
      <c r="R632" s="106">
        <v>0.20270154980742991</v>
      </c>
      <c r="S632" s="106">
        <v>40788.497414198398</v>
      </c>
      <c r="T632" s="106">
        <v>37219.277385989655</v>
      </c>
      <c r="U632" s="106">
        <v>31105.805829807239</v>
      </c>
      <c r="V632" s="106">
        <v>0.94355421187152166</v>
      </c>
      <c r="W632" s="106">
        <v>92239.251866120889</v>
      </c>
      <c r="X632" s="110">
        <v>0.53765014413345857</v>
      </c>
      <c r="Y632" s="106">
        <v>422.37337883959049</v>
      </c>
      <c r="Z632" s="106">
        <v>13.06689419795222</v>
      </c>
      <c r="AA632" s="106">
        <v>120221.77286493035</v>
      </c>
      <c r="AB632" s="106">
        <v>962.31508443267933</v>
      </c>
      <c r="AC632" s="106">
        <v>0.83179608499327662</v>
      </c>
      <c r="AD632" s="106">
        <v>24.875696850986891</v>
      </c>
      <c r="AE632" s="106">
        <v>124.9297395517868</v>
      </c>
      <c r="AF632" s="106">
        <v>8.3638553341790225E-2</v>
      </c>
      <c r="AG632" s="106">
        <v>33829</v>
      </c>
      <c r="AH632" s="106">
        <v>37803.060492085882</v>
      </c>
      <c r="AI632" s="106">
        <v>41065.234759442093</v>
      </c>
      <c r="AJ632" s="106">
        <v>44200.077103902207</v>
      </c>
      <c r="AK632" s="104">
        <v>31105.805829807239</v>
      </c>
      <c r="AL632" s="118"/>
      <c r="AM632" s="118">
        <v>6045</v>
      </c>
      <c r="AN632" s="118">
        <v>206259</v>
      </c>
      <c r="AO632" s="118">
        <v>1368</v>
      </c>
      <c r="AP632" s="118">
        <f t="shared" si="9"/>
        <v>444</v>
      </c>
    </row>
    <row r="633" spans="1:42" ht="12.75">
      <c r="A633" s="106">
        <v>2018</v>
      </c>
      <c r="B633" s="106">
        <v>1850</v>
      </c>
      <c r="C633" s="106">
        <v>1</v>
      </c>
      <c r="D633" s="106">
        <v>133553</v>
      </c>
      <c r="E633" s="106" t="s">
        <v>3845</v>
      </c>
      <c r="F633" s="106" t="s">
        <v>369</v>
      </c>
      <c r="G633" s="106" t="s">
        <v>258</v>
      </c>
      <c r="H633" s="106">
        <v>6</v>
      </c>
      <c r="I633" s="106" t="s">
        <v>3640</v>
      </c>
      <c r="J633" s="106">
        <v>34822</v>
      </c>
      <c r="K633" s="106">
        <v>32329</v>
      </c>
      <c r="L633" s="106">
        <v>25535</v>
      </c>
      <c r="M633" s="106">
        <v>0.26</v>
      </c>
      <c r="N633" s="106">
        <v>0.56000000000000005</v>
      </c>
      <c r="O633" s="106">
        <v>0.93</v>
      </c>
      <c r="P633" s="107">
        <v>15718</v>
      </c>
      <c r="Q633" s="107">
        <v>5978.9479856916669</v>
      </c>
      <c r="R633" s="106">
        <v>0.23324320120054171</v>
      </c>
      <c r="S633" s="106">
        <v>23514.161731073713</v>
      </c>
      <c r="T633" s="106">
        <v>20669.26640473817</v>
      </c>
      <c r="U633" s="106">
        <v>17859.997349050649</v>
      </c>
      <c r="V633" s="106">
        <v>1.1005050184762011</v>
      </c>
      <c r="W633" s="106">
        <v>90667.291220556755</v>
      </c>
      <c r="X633" s="110">
        <v>0.64067886050846445</v>
      </c>
      <c r="Y633" s="106">
        <v>614.22034596375624</v>
      </c>
      <c r="Z633" s="106">
        <v>21.070428336079079</v>
      </c>
      <c r="AA633" s="106">
        <v>63148.773542061106</v>
      </c>
      <c r="AB633" s="106">
        <v>612.67555967274927</v>
      </c>
      <c r="AC633" s="106">
        <v>1.5835620296472366</v>
      </c>
      <c r="AD633" s="106">
        <v>28.189841603834235</v>
      </c>
      <c r="AE633" s="106">
        <v>103.07049554219365</v>
      </c>
      <c r="AF633" s="106">
        <v>0.13354903907912938</v>
      </c>
      <c r="AG633" s="106">
        <v>33408</v>
      </c>
      <c r="AH633" s="106">
        <v>23126.488007975135</v>
      </c>
      <c r="AI633" s="106">
        <v>23397.114877147716</v>
      </c>
      <c r="AJ633" s="106">
        <v>24241.775640649739</v>
      </c>
      <c r="AK633" s="104">
        <v>19476.866240544186</v>
      </c>
      <c r="AM633" s="118">
        <v>18792</v>
      </c>
      <c r="AN633" s="118">
        <v>497109</v>
      </c>
      <c r="AO633" s="118">
        <v>3382</v>
      </c>
      <c r="AP633" s="118">
        <f t="shared" si="9"/>
        <v>1414</v>
      </c>
    </row>
    <row r="634" spans="1:42" ht="12.75">
      <c r="A634" s="106">
        <v>2018</v>
      </c>
      <c r="B634" s="106">
        <v>-165662</v>
      </c>
      <c r="C634" s="106">
        <v>0</v>
      </c>
      <c r="D634" s="106">
        <v>165662</v>
      </c>
      <c r="E634" s="106" t="s">
        <v>1176</v>
      </c>
      <c r="F634" s="106" t="s">
        <v>425</v>
      </c>
      <c r="G634" s="106" t="s">
        <v>150</v>
      </c>
      <c r="H634" s="106">
        <v>6</v>
      </c>
      <c r="I634" s="106" t="s">
        <v>3640</v>
      </c>
      <c r="J634" s="106">
        <v>43728</v>
      </c>
      <c r="K634" s="106">
        <v>46054</v>
      </c>
      <c r="L634" s="106">
        <v>37668</v>
      </c>
      <c r="M634" s="106">
        <v>0.15</v>
      </c>
      <c r="N634" s="106">
        <v>0.52</v>
      </c>
      <c r="O634" s="106">
        <v>0.73</v>
      </c>
      <c r="P634" s="107">
        <v>18111</v>
      </c>
      <c r="Q634" s="107">
        <v>9288.552777777777</v>
      </c>
      <c r="R634" s="106">
        <v>0.2311668226721619</v>
      </c>
      <c r="S634" s="106">
        <v>42091.115598290598</v>
      </c>
      <c r="T634" s="106">
        <v>46662.759615384617</v>
      </c>
      <c r="U634" s="106">
        <v>29877.254240337319</v>
      </c>
      <c r="V634" s="106">
        <v>1.0339843909821662</v>
      </c>
      <c r="W634" s="106">
        <v>117465.84618410699</v>
      </c>
      <c r="X634" s="110">
        <v>0.45577408804578717</v>
      </c>
      <c r="Y634" s="106">
        <v>478.92657342657344</v>
      </c>
      <c r="Z634" s="106">
        <v>16.363636363636363</v>
      </c>
      <c r="AA634" s="106">
        <v>115558.30565684187</v>
      </c>
      <c r="AB634" s="106">
        <v>1020.8256360361434</v>
      </c>
      <c r="AC634" s="106">
        <v>0.86536402062658047</v>
      </c>
      <c r="AD634" s="106">
        <v>27.669791904870799</v>
      </c>
      <c r="AE634" s="106">
        <v>113.20082644628098</v>
      </c>
      <c r="AF634" s="106">
        <v>-2.066143148850463E-2</v>
      </c>
      <c r="AG634" s="106">
        <v>42928</v>
      </c>
      <c r="AH634" s="106">
        <v>40132.364102564105</v>
      </c>
      <c r="AI634" s="106">
        <v>42280.397222222222</v>
      </c>
      <c r="AJ634" s="106">
        <v>44716.702136752137</v>
      </c>
      <c r="AK634" s="104">
        <v>31180.205982905984</v>
      </c>
      <c r="AM634" s="118">
        <v>3812</v>
      </c>
      <c r="AN634" s="118">
        <v>136973</v>
      </c>
      <c r="AO634" s="118">
        <v>944</v>
      </c>
      <c r="AP634" s="118">
        <f t="shared" si="9"/>
        <v>800</v>
      </c>
    </row>
    <row r="635" spans="1:42" ht="12.75">
      <c r="A635" s="106">
        <v>2018</v>
      </c>
      <c r="B635" s="106">
        <v>-139630</v>
      </c>
      <c r="C635" s="106">
        <v>0</v>
      </c>
      <c r="D635" s="106">
        <v>139630</v>
      </c>
      <c r="E635" s="106" t="s">
        <v>3925</v>
      </c>
      <c r="F635" s="106" t="s">
        <v>1177</v>
      </c>
      <c r="G635" s="106" t="s">
        <v>63</v>
      </c>
      <c r="H635" s="106">
        <v>7</v>
      </c>
      <c r="I635" s="106" t="s">
        <v>3641</v>
      </c>
      <c r="J635" s="106">
        <v>19710</v>
      </c>
      <c r="K635" s="106">
        <v>17672</v>
      </c>
      <c r="L635" s="106">
        <v>16570</v>
      </c>
      <c r="M635" s="106">
        <v>0.46</v>
      </c>
      <c r="N635" s="106">
        <v>0.66</v>
      </c>
      <c r="O635" s="106">
        <v>0.88</v>
      </c>
      <c r="P635" s="107">
        <v>8623</v>
      </c>
      <c r="Q635" s="108">
        <v>8776.4004739336488</v>
      </c>
      <c r="R635" s="106">
        <v>0.46323491889101015</v>
      </c>
      <c r="S635" s="106">
        <v>24200.725118483413</v>
      </c>
      <c r="T635" s="106">
        <v>20599.995260663509</v>
      </c>
      <c r="U635" s="106">
        <v>16672.2395475417</v>
      </c>
      <c r="V635" s="106">
        <v>0.60996575964882804</v>
      </c>
      <c r="W635" s="106">
        <v>51450.308008213549</v>
      </c>
      <c r="X635" s="110">
        <v>0.48038132802220773</v>
      </c>
      <c r="Y635" s="106">
        <v>424.49162011173183</v>
      </c>
      <c r="Z635" s="106">
        <v>14.145251396648046</v>
      </c>
      <c r="AA635" s="106">
        <v>96379.247795378047</v>
      </c>
      <c r="AB635" s="106">
        <v>555.56578403842366</v>
      </c>
      <c r="AC635" s="106">
        <v>1.0375677574524045</v>
      </c>
      <c r="AD635" s="106">
        <v>16.723940435280639</v>
      </c>
      <c r="AE635" s="106">
        <v>173.47945205479451</v>
      </c>
      <c r="AF635" s="106">
        <v>-5.1003714115625751</v>
      </c>
      <c r="AG635" s="106">
        <v>19370</v>
      </c>
      <c r="AH635" s="106">
        <v>20581.065165876778</v>
      </c>
      <c r="AI635" s="106">
        <v>23790.83412322275</v>
      </c>
      <c r="AJ635" s="106">
        <v>24240.475118483413</v>
      </c>
      <c r="AK635" s="104">
        <v>17115.708530805688</v>
      </c>
      <c r="AM635" s="118">
        <v>953</v>
      </c>
      <c r="AN635" s="118">
        <v>25328</v>
      </c>
      <c r="AO635" s="118">
        <v>146</v>
      </c>
      <c r="AP635" s="118">
        <f t="shared" si="9"/>
        <v>340</v>
      </c>
    </row>
    <row r="636" spans="1:42" ht="12.75">
      <c r="A636" s="106">
        <v>2018</v>
      </c>
      <c r="B636" s="106">
        <v>-165671</v>
      </c>
      <c r="C636" s="106">
        <v>0</v>
      </c>
      <c r="D636" s="106">
        <v>165671</v>
      </c>
      <c r="E636" s="106" t="s">
        <v>3926</v>
      </c>
      <c r="F636" s="106" t="s">
        <v>425</v>
      </c>
      <c r="G636" s="106" t="s">
        <v>150</v>
      </c>
      <c r="H636" s="106">
        <v>7</v>
      </c>
      <c r="I636" s="106" t="s">
        <v>3641</v>
      </c>
      <c r="J636" s="106">
        <v>38844</v>
      </c>
      <c r="K636" s="106">
        <v>32243</v>
      </c>
      <c r="L636" s="106">
        <v>26874</v>
      </c>
      <c r="M636" s="106">
        <v>0.32</v>
      </c>
      <c r="N636" s="106">
        <v>0.77</v>
      </c>
      <c r="O636" s="106">
        <v>1</v>
      </c>
      <c r="P636" s="106">
        <v>20404</v>
      </c>
      <c r="Q636" s="108">
        <v>16401.822857142855</v>
      </c>
      <c r="R636" s="106">
        <v>0.49165480881099943</v>
      </c>
      <c r="S636" s="106">
        <v>28995.150476190476</v>
      </c>
      <c r="T636" s="106">
        <v>30693.848095238096</v>
      </c>
      <c r="U636" s="106">
        <v>23259.251428571428</v>
      </c>
      <c r="V636" s="106">
        <v>0.72911295020181222</v>
      </c>
      <c r="W636" s="106">
        <v>89847.670408163263</v>
      </c>
      <c r="X636" s="110">
        <v>0.45534545692505063</v>
      </c>
      <c r="Y636" s="106">
        <v>505.51212938005392</v>
      </c>
      <c r="Z636" s="106">
        <v>16.981132075471699</v>
      </c>
      <c r="AA636" s="106">
        <v>104816.36909871244</v>
      </c>
      <c r="AB636" s="106">
        <v>781.32333040070387</v>
      </c>
      <c r="AC636" s="106">
        <v>0.9540494567773421</v>
      </c>
      <c r="AD636" s="106">
        <v>24.283480979676916</v>
      </c>
      <c r="AE636" s="106">
        <v>134.15236051502146</v>
      </c>
      <c r="AF636" s="106">
        <v>5.0882665923635009E-2</v>
      </c>
      <c r="AG636" s="106">
        <v>38584</v>
      </c>
      <c r="AH636" s="106">
        <v>27326.475714285716</v>
      </c>
      <c r="AI636" s="106">
        <v>29248.126190476192</v>
      </c>
      <c r="AJ636" s="106">
        <v>33597.652857142857</v>
      </c>
      <c r="AK636" s="104">
        <v>23259.251428571428</v>
      </c>
      <c r="AM636" s="118">
        <v>1947</v>
      </c>
      <c r="AN636" s="118">
        <v>62515</v>
      </c>
      <c r="AO636" s="118">
        <v>399</v>
      </c>
      <c r="AP636" s="118">
        <f t="shared" si="9"/>
        <v>260</v>
      </c>
    </row>
    <row r="637" spans="1:42" ht="12.75">
      <c r="A637" s="106">
        <v>2018</v>
      </c>
      <c r="B637" s="106">
        <v>-232025</v>
      </c>
      <c r="C637" s="106">
        <v>0</v>
      </c>
      <c r="D637" s="106">
        <v>232025</v>
      </c>
      <c r="E637" s="106" t="s">
        <v>1178</v>
      </c>
      <c r="F637" s="106" t="s">
        <v>1179</v>
      </c>
      <c r="G637" s="106" t="s">
        <v>261</v>
      </c>
      <c r="H637" s="106">
        <v>7</v>
      </c>
      <c r="I637" s="106" t="s">
        <v>3641</v>
      </c>
      <c r="J637" s="106">
        <v>33700</v>
      </c>
      <c r="K637" s="106">
        <v>18361</v>
      </c>
      <c r="L637" s="106">
        <v>14110</v>
      </c>
      <c r="M637" s="106">
        <v>0.51</v>
      </c>
      <c r="N637" s="106">
        <v>0.78</v>
      </c>
      <c r="O637" s="106">
        <v>1</v>
      </c>
      <c r="P637" s="106">
        <v>24209</v>
      </c>
      <c r="Q637" s="106">
        <v>16500.190871369294</v>
      </c>
      <c r="R637" s="106">
        <v>0.52369400535927746</v>
      </c>
      <c r="S637" s="106">
        <v>29255.942738589212</v>
      </c>
      <c r="T637" s="106">
        <v>35890.969294605806</v>
      </c>
      <c r="U637" s="106">
        <v>30640.737487569648</v>
      </c>
      <c r="V637" s="106">
        <v>0.48977678810078712</v>
      </c>
      <c r="W637" s="106">
        <v>57892.099715099714</v>
      </c>
      <c r="X637" s="110">
        <v>0.4698445393099035</v>
      </c>
      <c r="Y637" s="106">
        <v>270.04736842105262</v>
      </c>
      <c r="Z637" s="106">
        <v>9.5131578947368425</v>
      </c>
      <c r="AA637" s="106">
        <v>147099.95487060331</v>
      </c>
      <c r="AB637" s="106">
        <v>1079.4038669391753</v>
      </c>
      <c r="AC637" s="106">
        <v>0.67980986185866032</v>
      </c>
      <c r="AD637" s="106">
        <v>21.163575042158516</v>
      </c>
      <c r="AE637" s="106">
        <v>136.27888446215138</v>
      </c>
      <c r="AF637" s="106">
        <v>-8.1933398480624978E-3</v>
      </c>
      <c r="AG637" s="106">
        <v>33500</v>
      </c>
      <c r="AH637" s="106">
        <v>24705.725311203318</v>
      </c>
      <c r="AI637" s="106">
        <v>29255.942738589212</v>
      </c>
      <c r="AJ637" s="106">
        <v>34691.641493775933</v>
      </c>
      <c r="AK637" s="104">
        <v>31058.509543568463</v>
      </c>
      <c r="AM637" s="118">
        <v>1000</v>
      </c>
      <c r="AN637" s="118">
        <v>34206</v>
      </c>
      <c r="AO637" s="118">
        <v>207</v>
      </c>
      <c r="AP637" s="118">
        <f t="shared" si="9"/>
        <v>200</v>
      </c>
    </row>
    <row r="638" spans="1:42" ht="12.75">
      <c r="A638" s="106">
        <v>2018</v>
      </c>
      <c r="B638" s="106">
        <v>-139658</v>
      </c>
      <c r="C638" s="106">
        <v>0</v>
      </c>
      <c r="D638" s="106">
        <v>139658</v>
      </c>
      <c r="E638" s="106" t="s">
        <v>1180</v>
      </c>
      <c r="F638" s="106" t="s">
        <v>230</v>
      </c>
      <c r="G638" s="106" t="s">
        <v>63</v>
      </c>
      <c r="H638" s="106">
        <v>5</v>
      </c>
      <c r="I638" s="106" t="s">
        <v>3639</v>
      </c>
      <c r="J638" s="106">
        <v>49392</v>
      </c>
      <c r="K638" s="106">
        <v>26804</v>
      </c>
      <c r="L638" s="106">
        <v>11865</v>
      </c>
      <c r="M638" s="106">
        <v>0.19</v>
      </c>
      <c r="N638" s="106">
        <v>0.32</v>
      </c>
      <c r="O638" s="106">
        <v>0.51</v>
      </c>
      <c r="P638" s="106">
        <v>38206</v>
      </c>
      <c r="Q638" s="106">
        <v>17400.439531166754</v>
      </c>
      <c r="R638" s="106">
        <v>0.39209904333145751</v>
      </c>
      <c r="S638" s="106">
        <v>366790.62333510921</v>
      </c>
      <c r="T638" s="106">
        <v>353363.01278636121</v>
      </c>
      <c r="U638" s="106">
        <v>70328.831170952646</v>
      </c>
      <c r="V638" s="106">
        <v>0.3835869848101286</v>
      </c>
      <c r="W638" s="106">
        <v>286739.37516594387</v>
      </c>
      <c r="X638" s="110">
        <v>0.61059324373706558</v>
      </c>
      <c r="Y638" s="106">
        <v>84.554312354312358</v>
      </c>
      <c r="Z638" s="106">
        <v>3.5002331002331002</v>
      </c>
      <c r="AA638" s="106">
        <v>235097.44631857186</v>
      </c>
      <c r="AB638" s="106">
        <v>2911.3512476305896</v>
      </c>
      <c r="AC638" s="106">
        <v>0.42535553476192889</v>
      </c>
      <c r="AD638" s="106">
        <v>33.889098453413808</v>
      </c>
      <c r="AE638" s="106">
        <v>80.752003561887804</v>
      </c>
      <c r="AF638" s="106">
        <v>9.3319851659848116E-2</v>
      </c>
      <c r="AG638" s="106">
        <v>48690</v>
      </c>
      <c r="AH638" s="106">
        <v>330873.53489611082</v>
      </c>
      <c r="AI638" s="106">
        <v>366730.28769312735</v>
      </c>
      <c r="AJ638" s="106">
        <v>408720.69792221632</v>
      </c>
      <c r="AK638" s="105">
        <v>124633.99706979223</v>
      </c>
      <c r="AM638" s="118">
        <v>6937</v>
      </c>
      <c r="AN638" s="118">
        <v>362738</v>
      </c>
      <c r="AO638" s="119">
        <v>2000</v>
      </c>
      <c r="AP638" s="118">
        <f t="shared" si="9"/>
        <v>702</v>
      </c>
    </row>
    <row r="639" spans="1:42" ht="12.75">
      <c r="A639" s="106">
        <v>2018</v>
      </c>
      <c r="B639" s="106">
        <v>-155025</v>
      </c>
      <c r="C639" s="106">
        <v>0</v>
      </c>
      <c r="D639" s="106">
        <v>155025</v>
      </c>
      <c r="E639" s="106" t="s">
        <v>1181</v>
      </c>
      <c r="F639" s="106" t="s">
        <v>1182</v>
      </c>
      <c r="G639" s="106" t="s">
        <v>129</v>
      </c>
      <c r="H639" s="106">
        <v>2</v>
      </c>
      <c r="I639" s="106" t="s">
        <v>25</v>
      </c>
      <c r="J639" s="106">
        <v>6345</v>
      </c>
      <c r="K639" s="106">
        <v>13670</v>
      </c>
      <c r="L639" s="106">
        <v>10687</v>
      </c>
      <c r="M639" s="106">
        <v>0.41</v>
      </c>
      <c r="N639" s="106">
        <v>0.76</v>
      </c>
      <c r="O639" s="106">
        <v>0.81</v>
      </c>
      <c r="P639" s="108">
        <v>4310</v>
      </c>
      <c r="Q639" s="106">
        <v>1005.1248726828275</v>
      </c>
      <c r="R639" s="106">
        <v>0.12604608321018007</v>
      </c>
      <c r="S639" s="106">
        <v>17654.402118557751</v>
      </c>
      <c r="T639" s="106">
        <v>19681.346302709309</v>
      </c>
      <c r="U639" s="106">
        <v>13181.997442651527</v>
      </c>
      <c r="V639" s="106">
        <v>0.5286862010907587</v>
      </c>
      <c r="W639" s="106">
        <v>71589.903665413527</v>
      </c>
      <c r="X639" s="110">
        <v>0.52559873558476178</v>
      </c>
      <c r="Y639" s="106">
        <v>539.17227979274617</v>
      </c>
      <c r="Z639" s="106">
        <v>19.076424870466322</v>
      </c>
      <c r="AA639" s="106">
        <v>42797.900427233035</v>
      </c>
      <c r="AB639" s="106">
        <v>466.39152879684855</v>
      </c>
      <c r="AC639" s="106">
        <v>2.3365632192640997</v>
      </c>
      <c r="AD639" s="106">
        <v>33.757535164099131</v>
      </c>
      <c r="AE639" s="106">
        <v>91.763888888888886</v>
      </c>
      <c r="AF639" s="106">
        <v>-9.7027658611600814E-2</v>
      </c>
      <c r="AG639" s="106">
        <v>5027</v>
      </c>
      <c r="AH639" s="106">
        <v>16353.769606844571</v>
      </c>
      <c r="AI639" s="106">
        <v>16353.769606844571</v>
      </c>
      <c r="AJ639" s="106">
        <v>17735.258504787125</v>
      </c>
      <c r="AK639" s="105">
        <v>15915.699124057854</v>
      </c>
      <c r="AL639" s="119">
        <v>30967221</v>
      </c>
      <c r="AM639" s="118">
        <v>3605</v>
      </c>
      <c r="AN639" s="118">
        <v>138747</v>
      </c>
      <c r="AO639" s="118">
        <v>738</v>
      </c>
      <c r="AP639" s="118">
        <f t="shared" si="9"/>
        <v>1318</v>
      </c>
    </row>
    <row r="640" spans="1:42" ht="12.75">
      <c r="A640" s="106">
        <v>2018</v>
      </c>
      <c r="B640" s="106">
        <v>-165699</v>
      </c>
      <c r="C640" s="106">
        <v>0</v>
      </c>
      <c r="D640" s="106">
        <v>165699</v>
      </c>
      <c r="E640" s="106" t="s">
        <v>1183</v>
      </c>
      <c r="F640" s="106" t="s">
        <v>1184</v>
      </c>
      <c r="G640" s="106" t="s">
        <v>150</v>
      </c>
      <c r="H640" s="106">
        <v>6</v>
      </c>
      <c r="I640" s="106" t="s">
        <v>3640</v>
      </c>
      <c r="J640" s="106">
        <v>32154</v>
      </c>
      <c r="K640" s="106">
        <v>35472</v>
      </c>
      <c r="L640" s="106">
        <v>29047</v>
      </c>
      <c r="M640" s="106">
        <v>0.16</v>
      </c>
      <c r="N640" s="106">
        <v>0.74</v>
      </c>
      <c r="O640" s="106">
        <v>0.91</v>
      </c>
      <c r="P640" s="106">
        <v>13412</v>
      </c>
      <c r="Q640" s="106">
        <v>7739.9809523809527</v>
      </c>
      <c r="R640" s="106">
        <v>0.31495621532869705</v>
      </c>
      <c r="S640" s="106">
        <v>28796.579790940767</v>
      </c>
      <c r="T640" s="106">
        <v>24476.497560975611</v>
      </c>
      <c r="U640" s="106">
        <v>17889.166318234609</v>
      </c>
      <c r="V640" s="106">
        <v>0.94106135077880049</v>
      </c>
      <c r="W640" s="106">
        <v>90875.244691607673</v>
      </c>
      <c r="X640" s="110">
        <v>0.56862794224029956</v>
      </c>
      <c r="Y640" s="106">
        <v>597.11278195488717</v>
      </c>
      <c r="Z640" s="106">
        <v>19.421052631578945</v>
      </c>
      <c r="AA640" s="106">
        <v>58210.779289493577</v>
      </c>
      <c r="AB640" s="106">
        <v>581.84391810214561</v>
      </c>
      <c r="AC640" s="106">
        <v>1.7178948851153577</v>
      </c>
      <c r="AD640" s="106">
        <v>33.417529679211924</v>
      </c>
      <c r="AE640" s="106">
        <v>100.04535147392291</v>
      </c>
      <c r="AF640" s="106">
        <v>0.11236262895743576</v>
      </c>
      <c r="AG640" s="106">
        <v>31454</v>
      </c>
      <c r="AH640" s="106">
        <v>28080.079442508712</v>
      </c>
      <c r="AI640" s="106">
        <v>29012.919163763065</v>
      </c>
      <c r="AJ640" s="106">
        <v>30036.108943089432</v>
      </c>
      <c r="AK640" s="104">
        <v>17889.166318234609</v>
      </c>
      <c r="AM640" s="118">
        <v>3344</v>
      </c>
      <c r="AN640" s="118">
        <v>132360</v>
      </c>
      <c r="AO640" s="118">
        <v>808</v>
      </c>
      <c r="AP640" s="118">
        <f t="shared" si="9"/>
        <v>700</v>
      </c>
    </row>
    <row r="641" spans="1:42" ht="12.75">
      <c r="A641" s="106">
        <v>2018</v>
      </c>
      <c r="B641" s="106">
        <v>-101143</v>
      </c>
      <c r="C641" s="106">
        <v>0</v>
      </c>
      <c r="D641" s="106">
        <v>101143</v>
      </c>
      <c r="E641" s="106" t="s">
        <v>1185</v>
      </c>
      <c r="F641" s="106" t="s">
        <v>1186</v>
      </c>
      <c r="G641" s="106" t="s">
        <v>85</v>
      </c>
      <c r="H641" s="106">
        <v>4</v>
      </c>
      <c r="I641" s="106" t="s">
        <v>24</v>
      </c>
      <c r="J641" s="106">
        <v>4440</v>
      </c>
      <c r="K641" s="106">
        <v>3984</v>
      </c>
      <c r="L641" s="106">
        <v>2732</v>
      </c>
      <c r="M641" s="106">
        <v>0.59</v>
      </c>
      <c r="N641" s="106">
        <v>0.19</v>
      </c>
      <c r="O641" s="106">
        <v>0.33</v>
      </c>
      <c r="P641" s="106">
        <v>3186</v>
      </c>
      <c r="Q641" s="108">
        <v>474.5793103448276</v>
      </c>
      <c r="R641" s="106">
        <v>0.10100750470726098</v>
      </c>
      <c r="S641" s="106">
        <v>16155.678927203066</v>
      </c>
      <c r="T641" s="106">
        <v>15835.867432950192</v>
      </c>
      <c r="U641" s="106">
        <v>12323.24521072797</v>
      </c>
      <c r="V641" s="106">
        <v>0.34275684335773871</v>
      </c>
      <c r="W641" s="106">
        <v>63661.735483870965</v>
      </c>
      <c r="X641" s="110">
        <v>0.47748287787648458</v>
      </c>
      <c r="Y641" s="106">
        <v>528.90540540540542</v>
      </c>
      <c r="Z641" s="106">
        <v>17.635135135135137</v>
      </c>
      <c r="AA641" s="106">
        <v>57027.783687943265</v>
      </c>
      <c r="AB641" s="106">
        <v>410.89028845908172</v>
      </c>
      <c r="AC641" s="106">
        <v>1.7535312357078656</v>
      </c>
      <c r="AD641" s="106">
        <v>23.5</v>
      </c>
      <c r="AE641" s="106">
        <v>138.79078014184398</v>
      </c>
      <c r="AF641" s="106">
        <v>2.6283999882275439E-2</v>
      </c>
      <c r="AG641" s="106">
        <v>3570</v>
      </c>
      <c r="AH641" s="106">
        <v>15480.217624521072</v>
      </c>
      <c r="AI641" s="106">
        <v>15501.750191570882</v>
      </c>
      <c r="AJ641" s="106">
        <v>16180.780076628353</v>
      </c>
      <c r="AK641" s="104">
        <v>13490.389272030652</v>
      </c>
      <c r="AL641" s="119">
        <v>8591648</v>
      </c>
      <c r="AM641" s="118">
        <v>1778</v>
      </c>
      <c r="AN641" s="118">
        <v>39139</v>
      </c>
      <c r="AO641" s="118">
        <v>191</v>
      </c>
      <c r="AP641" s="118">
        <f t="shared" si="9"/>
        <v>870</v>
      </c>
    </row>
    <row r="642" spans="1:42" ht="12.75">
      <c r="A642" s="106">
        <v>2018</v>
      </c>
      <c r="B642" s="106">
        <v>-191083</v>
      </c>
      <c r="C642" s="106">
        <v>0</v>
      </c>
      <c r="D642" s="106">
        <v>191083</v>
      </c>
      <c r="E642" s="106" t="s">
        <v>1187</v>
      </c>
      <c r="F642" s="106" t="s">
        <v>585</v>
      </c>
      <c r="G642" s="106" t="s">
        <v>69</v>
      </c>
      <c r="H642" s="106">
        <v>4</v>
      </c>
      <c r="I642" s="106" t="s">
        <v>24</v>
      </c>
      <c r="J642" s="106">
        <v>5575</v>
      </c>
      <c r="K642" s="106">
        <v>4558</v>
      </c>
      <c r="L642" s="106">
        <v>3089</v>
      </c>
      <c r="M642" s="106">
        <v>0.62</v>
      </c>
      <c r="N642" s="106">
        <v>0.35</v>
      </c>
      <c r="O642" s="106">
        <v>0.08</v>
      </c>
      <c r="P642" s="107">
        <v>836</v>
      </c>
      <c r="Q642" s="106"/>
      <c r="R642" s="106"/>
      <c r="S642" s="106">
        <v>12511.510009718173</v>
      </c>
      <c r="T642" s="106">
        <v>13610.233916423713</v>
      </c>
      <c r="U642" s="106">
        <v>11213.28221574344</v>
      </c>
      <c r="V642" s="106">
        <v>0.48438266593360568</v>
      </c>
      <c r="W642" s="106">
        <v>79324.589940039965</v>
      </c>
      <c r="X642" s="110">
        <v>0.5667823333106532</v>
      </c>
      <c r="Y642" s="106">
        <v>703.70972644376911</v>
      </c>
      <c r="Z642" s="106">
        <v>23.457446808510639</v>
      </c>
      <c r="AA642" s="106">
        <v>48706.067539046009</v>
      </c>
      <c r="AB642" s="106">
        <v>373.78333884040507</v>
      </c>
      <c r="AC642" s="106">
        <v>2.0531322903421296</v>
      </c>
      <c r="AD642" s="106">
        <v>27.652620520602312</v>
      </c>
      <c r="AE642" s="106">
        <v>130.30561418319965</v>
      </c>
      <c r="AF642" s="106">
        <v>0.46288113690315091</v>
      </c>
      <c r="AG642" s="106">
        <v>4900</v>
      </c>
      <c r="AH642" s="106">
        <v>12365.208066083576</v>
      </c>
      <c r="AI642" s="106">
        <v>12365.208066083576</v>
      </c>
      <c r="AJ642" s="106">
        <v>12527.060252672498</v>
      </c>
      <c r="AK642" s="104">
        <v>12588.486005830904</v>
      </c>
      <c r="AL642" s="119">
        <v>50194155</v>
      </c>
      <c r="AM642" s="118">
        <v>11135</v>
      </c>
      <c r="AN642" s="118">
        <v>308694</v>
      </c>
      <c r="AO642" s="118">
        <v>1945</v>
      </c>
      <c r="AP642" s="118">
        <f t="shared" si="9"/>
        <v>675</v>
      </c>
    </row>
    <row r="643" spans="1:42" ht="12.75">
      <c r="A643" s="106">
        <v>2018</v>
      </c>
      <c r="B643" s="106">
        <v>-217998</v>
      </c>
      <c r="C643" s="106">
        <v>0</v>
      </c>
      <c r="D643" s="106">
        <v>217998</v>
      </c>
      <c r="E643" s="106" t="s">
        <v>1188</v>
      </c>
      <c r="F643" s="106" t="s">
        <v>1189</v>
      </c>
      <c r="G643" s="106" t="s">
        <v>79</v>
      </c>
      <c r="H643" s="106">
        <v>7</v>
      </c>
      <c r="I643" s="106" t="s">
        <v>3641</v>
      </c>
      <c r="J643" s="107">
        <v>34560</v>
      </c>
      <c r="K643" s="107">
        <v>35268</v>
      </c>
      <c r="L643" s="107">
        <v>21136</v>
      </c>
      <c r="M643" s="107">
        <v>0.34</v>
      </c>
      <c r="N643" s="107">
        <v>0.72</v>
      </c>
      <c r="O643" s="107">
        <v>1</v>
      </c>
      <c r="P643" s="108">
        <v>13728</v>
      </c>
      <c r="Q643" s="106">
        <v>22054.209064327486</v>
      </c>
      <c r="R643" s="106">
        <v>0.71615265911525583</v>
      </c>
      <c r="S643" s="106">
        <v>20514.567251461987</v>
      </c>
      <c r="T643" s="106">
        <v>26139.418128654972</v>
      </c>
      <c r="U643" s="106">
        <v>16507.444444444445</v>
      </c>
      <c r="V643" s="106">
        <v>0.52953035897679335</v>
      </c>
      <c r="W643" s="106">
        <v>67796.486146095718</v>
      </c>
      <c r="X643" s="110">
        <v>0.50179279327752302</v>
      </c>
      <c r="Y643" s="106">
        <v>393.07843137254901</v>
      </c>
      <c r="Z643" s="106">
        <v>13.411764705882353</v>
      </c>
      <c r="AA643" s="106">
        <v>99044.666666666672</v>
      </c>
      <c r="AB643" s="106">
        <v>563.23100713323686</v>
      </c>
      <c r="AC643" s="106">
        <v>1.0096454798171868</v>
      </c>
      <c r="AD643" s="106">
        <v>18.240000000000002</v>
      </c>
      <c r="AE643" s="107">
        <v>175.85087719298247</v>
      </c>
      <c r="AF643" s="107">
        <v>4.8157021150961746E-3</v>
      </c>
      <c r="AG643" s="106">
        <v>32540</v>
      </c>
      <c r="AH643" s="106">
        <v>18410.023391812865</v>
      </c>
      <c r="AI643" s="106">
        <v>20514.567251461987</v>
      </c>
      <c r="AJ643" s="106">
        <v>26510.28216374269</v>
      </c>
      <c r="AK643" s="104">
        <v>16507.444444444445</v>
      </c>
      <c r="AM643" s="118">
        <v>575</v>
      </c>
      <c r="AN643" s="118">
        <v>20047</v>
      </c>
      <c r="AO643" s="118">
        <v>96</v>
      </c>
      <c r="AP643" s="118">
        <f t="shared" si="9"/>
        <v>2020</v>
      </c>
    </row>
    <row r="644" spans="1:42" ht="12.75">
      <c r="A644" s="106">
        <v>2018</v>
      </c>
      <c r="B644" s="106">
        <v>-184481</v>
      </c>
      <c r="C644" s="106">
        <v>0</v>
      </c>
      <c r="D644" s="106">
        <v>184481</v>
      </c>
      <c r="E644" s="106" t="s">
        <v>1190</v>
      </c>
      <c r="F644" s="106" t="s">
        <v>676</v>
      </c>
      <c r="G644" s="106" t="s">
        <v>234</v>
      </c>
      <c r="H644" s="106">
        <v>4</v>
      </c>
      <c r="I644" s="106" t="s">
        <v>24</v>
      </c>
      <c r="J644" s="106">
        <v>4995</v>
      </c>
      <c r="K644" s="106">
        <v>9463</v>
      </c>
      <c r="L644" s="106">
        <v>10503</v>
      </c>
      <c r="M644" s="106">
        <v>0.72</v>
      </c>
      <c r="N644" s="106">
        <v>0.01</v>
      </c>
      <c r="O644" s="106">
        <v>0.04</v>
      </c>
      <c r="P644" s="107">
        <v>3721</v>
      </c>
      <c r="Q644" s="106">
        <v>5.7418914822673539</v>
      </c>
      <c r="R644" s="106">
        <v>6.022705943198594E-4</v>
      </c>
      <c r="S644" s="106">
        <v>16142.983025159139</v>
      </c>
      <c r="T644" s="106">
        <v>17090.26204910579</v>
      </c>
      <c r="U644" s="106">
        <v>11372.705273971224</v>
      </c>
      <c r="V644" s="106">
        <v>0.83779525230430385</v>
      </c>
      <c r="W644" s="106">
        <v>106036.0549973559</v>
      </c>
      <c r="X644" s="110">
        <v>0.59273804406500308</v>
      </c>
      <c r="Y644" s="106">
        <v>714.61010830324915</v>
      </c>
      <c r="Z644" s="106">
        <v>23.819494584837546</v>
      </c>
      <c r="AA644" s="106">
        <v>58394.637663550297</v>
      </c>
      <c r="AB644" s="106">
        <v>379.07677003269629</v>
      </c>
      <c r="AC644" s="106">
        <v>1.7124860090093443</v>
      </c>
      <c r="AD644" s="106">
        <v>21.76490514905149</v>
      </c>
      <c r="AE644" s="106">
        <v>154.04435797665369</v>
      </c>
      <c r="AF644" s="106">
        <v>-4.464535817230008E-2</v>
      </c>
      <c r="AG644" s="106">
        <v>3795</v>
      </c>
      <c r="AH644" s="106">
        <v>17015.230979084572</v>
      </c>
      <c r="AI644" s="106">
        <v>17025.311761139739</v>
      </c>
      <c r="AJ644" s="106">
        <v>16162.395725977569</v>
      </c>
      <c r="AK644" s="104">
        <v>12797.726432252197</v>
      </c>
      <c r="AL644" s="119">
        <v>21389872</v>
      </c>
      <c r="AM644" s="118">
        <v>8997</v>
      </c>
      <c r="AN644" s="118">
        <v>197947</v>
      </c>
      <c r="AO644" s="118">
        <v>1229</v>
      </c>
      <c r="AP644" s="118">
        <f t="shared" si="9"/>
        <v>1200</v>
      </c>
    </row>
    <row r="645" spans="1:42" ht="12.75">
      <c r="A645" s="106">
        <v>2018</v>
      </c>
      <c r="B645" s="106">
        <v>2768</v>
      </c>
      <c r="C645" s="106">
        <v>1</v>
      </c>
      <c r="D645" s="106">
        <v>384333</v>
      </c>
      <c r="E645" s="106" t="s">
        <v>3846</v>
      </c>
      <c r="F645" s="106" t="s">
        <v>1191</v>
      </c>
      <c r="G645" s="106" t="s">
        <v>147</v>
      </c>
      <c r="H645" s="106">
        <v>4</v>
      </c>
      <c r="I645" s="106" t="s">
        <v>24</v>
      </c>
      <c r="J645" s="106">
        <v>2094</v>
      </c>
      <c r="K645" s="106">
        <v>6886</v>
      </c>
      <c r="L645" s="106">
        <v>5795</v>
      </c>
      <c r="M645" s="106">
        <v>0.52</v>
      </c>
      <c r="N645" s="106">
        <v>0.13</v>
      </c>
      <c r="O645" s="106">
        <v>0.27</v>
      </c>
      <c r="P645" s="106">
        <v>2039</v>
      </c>
      <c r="Q645" s="108">
        <v>376.79962062424556</v>
      </c>
      <c r="R645" s="106">
        <v>0.12762538084307148</v>
      </c>
      <c r="S645" s="106">
        <v>10138.336954647353</v>
      </c>
      <c r="T645" s="106">
        <v>8872.0581134678396</v>
      </c>
      <c r="U645" s="106">
        <v>7120.1448305756812</v>
      </c>
      <c r="V645" s="106">
        <v>0.36173255827643952</v>
      </c>
      <c r="W645" s="106">
        <v>68600.376193975026</v>
      </c>
      <c r="X645" s="110">
        <v>0.60490319892110767</v>
      </c>
      <c r="Y645" s="106">
        <v>759.69432314410483</v>
      </c>
      <c r="Z645" s="106">
        <v>25.323144104803493</v>
      </c>
      <c r="AA645" s="106">
        <v>17615.068204995041</v>
      </c>
      <c r="AB645" s="106">
        <v>237.33816101918939</v>
      </c>
      <c r="AC645" s="106">
        <v>5.6769578656325246</v>
      </c>
      <c r="AD645" s="106">
        <v>43.649906890130353</v>
      </c>
      <c r="AE645" s="106">
        <v>74.219283276450511</v>
      </c>
      <c r="AF645" s="106"/>
      <c r="AG645" s="106">
        <v>2064</v>
      </c>
      <c r="AH645" s="106">
        <v>8544.3609242972925</v>
      </c>
      <c r="AI645" s="106">
        <v>8633.0903604069663</v>
      </c>
      <c r="AJ645" s="106">
        <v>10138.336954647353</v>
      </c>
      <c r="AK645" s="104">
        <v>8702.3247111570963</v>
      </c>
      <c r="AL645" s="119">
        <v>32917955</v>
      </c>
      <c r="AM645" s="118">
        <v>10094</v>
      </c>
      <c r="AN645" s="118">
        <v>173970</v>
      </c>
      <c r="AO645" s="118">
        <v>1223</v>
      </c>
      <c r="AP645" s="118">
        <f t="shared" si="9"/>
        <v>30</v>
      </c>
    </row>
    <row r="646" spans="1:42" ht="12.75">
      <c r="A646" s="106">
        <v>2018</v>
      </c>
      <c r="B646" s="106">
        <v>-144971</v>
      </c>
      <c r="C646" s="106">
        <v>0</v>
      </c>
      <c r="D646" s="106">
        <v>144971</v>
      </c>
      <c r="E646" s="106" t="s">
        <v>1192</v>
      </c>
      <c r="F646" s="106" t="s">
        <v>869</v>
      </c>
      <c r="G646" s="106" t="s">
        <v>243</v>
      </c>
      <c r="H646" s="106">
        <v>7</v>
      </c>
      <c r="I646" s="106" t="s">
        <v>3641</v>
      </c>
      <c r="J646" s="106">
        <v>25390</v>
      </c>
      <c r="K646" s="106">
        <v>21488</v>
      </c>
      <c r="L646" s="106">
        <v>17389</v>
      </c>
      <c r="M646" s="106">
        <v>0.5</v>
      </c>
      <c r="N646" s="106">
        <v>0.8</v>
      </c>
      <c r="O646" s="106">
        <v>1</v>
      </c>
      <c r="P646" s="107">
        <v>9607</v>
      </c>
      <c r="Q646" s="106">
        <v>8425.0362068965514</v>
      </c>
      <c r="R646" s="106">
        <v>0.38448760293447798</v>
      </c>
      <c r="S646" s="106">
        <v>24827.88620689655</v>
      </c>
      <c r="T646" s="106">
        <v>25613.798275862067</v>
      </c>
      <c r="U646" s="106">
        <v>20934.415517241378</v>
      </c>
      <c r="V646" s="106">
        <v>0.64426627626295296</v>
      </c>
      <c r="W646" s="106">
        <v>59251.24411764706</v>
      </c>
      <c r="X646" s="110">
        <v>0.45201532336793415</v>
      </c>
      <c r="Y646" s="106">
        <v>398.40458015267177</v>
      </c>
      <c r="Z646" s="106">
        <v>13.282442748091604</v>
      </c>
      <c r="AA646" s="106">
        <v>74950.376543209873</v>
      </c>
      <c r="AB646" s="106">
        <v>697.9341840547221</v>
      </c>
      <c r="AC646" s="106">
        <v>1.3342161122079044</v>
      </c>
      <c r="AD646" s="106">
        <v>26.955074875207984</v>
      </c>
      <c r="AE646" s="106">
        <v>107.38888888888889</v>
      </c>
      <c r="AF646" s="106">
        <v>9.8480593632276556E-2</v>
      </c>
      <c r="AG646" s="106">
        <v>25150</v>
      </c>
      <c r="AH646" s="106">
        <v>20601.917241379309</v>
      </c>
      <c r="AI646" s="106">
        <v>24948.713793103449</v>
      </c>
      <c r="AJ646" s="106">
        <v>32357.855172413794</v>
      </c>
      <c r="AK646" s="104">
        <v>20934.415517241378</v>
      </c>
      <c r="AL646" s="118"/>
      <c r="AM646" s="118">
        <v>614</v>
      </c>
      <c r="AN646" s="118">
        <v>17397</v>
      </c>
      <c r="AO646" s="118">
        <v>162</v>
      </c>
      <c r="AP646" s="118">
        <f t="shared" ref="AP646:AP709" si="10">J646-AG646</f>
        <v>240</v>
      </c>
    </row>
    <row r="647" spans="1:42" ht="12.75">
      <c r="A647" s="106">
        <v>2018</v>
      </c>
      <c r="B647" s="106">
        <v>-177339</v>
      </c>
      <c r="C647" s="106">
        <v>0</v>
      </c>
      <c r="D647" s="106">
        <v>177339</v>
      </c>
      <c r="E647" s="106" t="s">
        <v>1193</v>
      </c>
      <c r="F647" s="106" t="s">
        <v>149</v>
      </c>
      <c r="G647" s="106" t="s">
        <v>264</v>
      </c>
      <c r="H647" s="106">
        <v>6</v>
      </c>
      <c r="I647" s="106" t="s">
        <v>3640</v>
      </c>
      <c r="J647" s="106">
        <v>22745</v>
      </c>
      <c r="K647" s="106">
        <v>21452</v>
      </c>
      <c r="L647" s="106">
        <v>20139</v>
      </c>
      <c r="M647" s="106">
        <v>0.44</v>
      </c>
      <c r="N647" s="106">
        <v>0.97</v>
      </c>
      <c r="O647" s="106">
        <v>0.9</v>
      </c>
      <c r="P647" s="106">
        <v>12864</v>
      </c>
      <c r="Q647" s="106">
        <v>8837.1797752808998</v>
      </c>
      <c r="R647" s="106">
        <v>0.44981504728702659</v>
      </c>
      <c r="S647" s="106">
        <v>19269.01391118245</v>
      </c>
      <c r="T647" s="106">
        <v>20132.934724451577</v>
      </c>
      <c r="U647" s="106">
        <v>12713.37292669877</v>
      </c>
      <c r="V647" s="106">
        <v>0.85021278723288385</v>
      </c>
      <c r="W647" s="106">
        <v>61159.134453781509</v>
      </c>
      <c r="X647" s="110">
        <v>0.58024734207131279</v>
      </c>
      <c r="Y647" s="106">
        <v>453.52354570637118</v>
      </c>
      <c r="Z647" s="106">
        <v>15.531855955678671</v>
      </c>
      <c r="AA647" s="106">
        <v>49814.03354297694</v>
      </c>
      <c r="AB647" s="106">
        <v>435.39586616337448</v>
      </c>
      <c r="AC647" s="106">
        <v>2.0074664283855919</v>
      </c>
      <c r="AD647" s="106">
        <v>26.368159203980102</v>
      </c>
      <c r="AE647" s="106">
        <v>114.41090146750524</v>
      </c>
      <c r="AF647" s="106">
        <v>-2.2643803654487833E-2</v>
      </c>
      <c r="AG647" s="106">
        <v>21500</v>
      </c>
      <c r="AH647" s="106">
        <v>16288.377742108079</v>
      </c>
      <c r="AI647" s="106">
        <v>19269.01391118245</v>
      </c>
      <c r="AJ647" s="106">
        <v>19730.851792402354</v>
      </c>
      <c r="AK647" s="104">
        <v>12713.37292669877</v>
      </c>
      <c r="AM647" s="118">
        <v>1631</v>
      </c>
      <c r="AN647" s="118">
        <v>54574</v>
      </c>
      <c r="AO647" s="118">
        <v>355</v>
      </c>
      <c r="AP647" s="118">
        <f t="shared" si="10"/>
        <v>1245</v>
      </c>
    </row>
    <row r="648" spans="1:42" ht="12.75">
      <c r="A648" s="106">
        <v>2018</v>
      </c>
      <c r="B648" s="106">
        <v>-235149</v>
      </c>
      <c r="C648" s="106">
        <v>0</v>
      </c>
      <c r="D648" s="106">
        <v>235149</v>
      </c>
      <c r="E648" s="106" t="s">
        <v>1199</v>
      </c>
      <c r="F648" s="106" t="s">
        <v>1200</v>
      </c>
      <c r="G648" s="106" t="s">
        <v>182</v>
      </c>
      <c r="H648" s="106">
        <v>4</v>
      </c>
      <c r="I648" s="106" t="s">
        <v>24</v>
      </c>
      <c r="J648" s="106">
        <v>3715</v>
      </c>
      <c r="K648" s="106">
        <v>9950</v>
      </c>
      <c r="L648" s="106">
        <v>7299</v>
      </c>
      <c r="M648" s="106">
        <v>0.26</v>
      </c>
      <c r="N648" s="106">
        <v>0.06</v>
      </c>
      <c r="O648" s="106">
        <v>0.22</v>
      </c>
      <c r="P648" s="108">
        <v>1655</v>
      </c>
      <c r="Q648" s="106">
        <v>304.04691866450946</v>
      </c>
      <c r="R648" s="106">
        <v>7.2419015795162175E-2</v>
      </c>
      <c r="S648" s="106">
        <v>12088.838799823503</v>
      </c>
      <c r="T648" s="106">
        <v>13582.08118841006</v>
      </c>
      <c r="U648" s="106">
        <v>11896.614502132667</v>
      </c>
      <c r="V648" s="106">
        <v>0.32735308347712377</v>
      </c>
      <c r="W648" s="106">
        <v>100835.55993150685</v>
      </c>
      <c r="X648" s="110">
        <v>0.63769821008425287</v>
      </c>
      <c r="Y648" s="106">
        <v>1248.8285714285714</v>
      </c>
      <c r="Z648" s="106">
        <v>27.751020408163264</v>
      </c>
      <c r="AA648" s="106">
        <v>39668.995586071607</v>
      </c>
      <c r="AB648" s="106">
        <v>264.36229870932107</v>
      </c>
      <c r="AC648" s="106">
        <v>2.5208603979655977</v>
      </c>
      <c r="AD648" s="106">
        <v>38.449933999622857</v>
      </c>
      <c r="AE648" s="106">
        <v>150.05541932319764</v>
      </c>
      <c r="AF648" s="106">
        <v>-6.8489390402288533E-2</v>
      </c>
      <c r="AG648" s="106">
        <v>3460</v>
      </c>
      <c r="AH648" s="106">
        <v>11884.971760553022</v>
      </c>
      <c r="AI648" s="106">
        <v>11884.971760553022</v>
      </c>
      <c r="AJ648" s="106">
        <v>12088.838799823503</v>
      </c>
      <c r="AK648" s="104">
        <v>12640.955287542285</v>
      </c>
      <c r="AL648" s="119">
        <v>27172522</v>
      </c>
      <c r="AM648" s="118">
        <v>7740</v>
      </c>
      <c r="AN648" s="118">
        <v>305963</v>
      </c>
      <c r="AO648" s="118">
        <v>1255</v>
      </c>
      <c r="AP648" s="118">
        <f t="shared" si="10"/>
        <v>255</v>
      </c>
    </row>
    <row r="649" spans="1:42" ht="12.75">
      <c r="A649" s="106">
        <v>2018</v>
      </c>
      <c r="B649" s="106">
        <v>-385619</v>
      </c>
      <c r="C649" s="106">
        <v>0</v>
      </c>
      <c r="D649" s="106">
        <v>385619</v>
      </c>
      <c r="E649" s="106" t="s">
        <v>1201</v>
      </c>
      <c r="F649" s="106" t="s">
        <v>1202</v>
      </c>
      <c r="G649" s="106" t="s">
        <v>258</v>
      </c>
      <c r="H649" s="106">
        <v>7</v>
      </c>
      <c r="I649" s="106" t="s">
        <v>3641</v>
      </c>
      <c r="J649" s="106">
        <v>17000</v>
      </c>
      <c r="K649" s="106">
        <v>26887</v>
      </c>
      <c r="L649" s="106">
        <v>27172</v>
      </c>
      <c r="M649" s="106">
        <v>0.62</v>
      </c>
      <c r="N649" s="106">
        <v>0.57999999999999996</v>
      </c>
      <c r="O649" s="106">
        <v>0.25</v>
      </c>
      <c r="P649" s="106">
        <v>1950</v>
      </c>
      <c r="Q649" s="106"/>
      <c r="R649" s="106"/>
      <c r="S649" s="106">
        <v>19691.683591331268</v>
      </c>
      <c r="T649" s="106">
        <v>16887.987616099072</v>
      </c>
      <c r="U649" s="106">
        <v>16306.587060114556</v>
      </c>
      <c r="V649" s="106">
        <v>1.2138875777328479</v>
      </c>
      <c r="W649" s="106">
        <v>43801.889728096678</v>
      </c>
      <c r="X649" s="110">
        <v>0.35438811913133705</v>
      </c>
      <c r="Y649" s="106">
        <v>415.29824561403507</v>
      </c>
      <c r="Z649" s="106">
        <v>14.166666666666666</v>
      </c>
      <c r="AA649" s="106">
        <v>67874.06727341497</v>
      </c>
      <c r="AB649" s="106">
        <v>556.25080479226528</v>
      </c>
      <c r="AC649" s="106">
        <v>1.4733167469863437</v>
      </c>
      <c r="AD649" s="106">
        <v>16.609589041095891</v>
      </c>
      <c r="AE649" s="106">
        <v>122.02061855670104</v>
      </c>
      <c r="AF649" s="106">
        <v>0.14221055630135068</v>
      </c>
      <c r="AG649" s="106">
        <v>16200</v>
      </c>
      <c r="AH649" s="106">
        <v>20536.739318885448</v>
      </c>
      <c r="AI649" s="106">
        <v>20536.739318885448</v>
      </c>
      <c r="AJ649" s="106">
        <v>19946.395665634675</v>
      </c>
      <c r="AK649" s="104">
        <v>16323.550464396285</v>
      </c>
      <c r="AM649" s="118">
        <v>2099</v>
      </c>
      <c r="AN649" s="118">
        <v>47344</v>
      </c>
      <c r="AO649" s="118">
        <v>283</v>
      </c>
      <c r="AP649" s="118">
        <f t="shared" si="10"/>
        <v>800</v>
      </c>
    </row>
    <row r="650" spans="1:42" ht="12.75">
      <c r="A650" s="106">
        <v>2018</v>
      </c>
      <c r="B650" s="106">
        <v>-114266</v>
      </c>
      <c r="C650" s="106">
        <v>0</v>
      </c>
      <c r="D650" s="106">
        <v>114266</v>
      </c>
      <c r="E650" s="106" t="s">
        <v>4085</v>
      </c>
      <c r="F650" s="106" t="s">
        <v>1203</v>
      </c>
      <c r="G650" s="106" t="s">
        <v>121</v>
      </c>
      <c r="H650" s="106">
        <v>4</v>
      </c>
      <c r="I650" s="106" t="s">
        <v>24</v>
      </c>
      <c r="J650" s="106">
        <v>1399</v>
      </c>
      <c r="K650" s="106">
        <v>13101</v>
      </c>
      <c r="L650" s="106">
        <v>10410</v>
      </c>
      <c r="M650" s="106">
        <v>0.45</v>
      </c>
      <c r="N650" s="106">
        <v>0</v>
      </c>
      <c r="O650" s="106">
        <v>0.26</v>
      </c>
      <c r="P650" s="106">
        <v>710</v>
      </c>
      <c r="Q650" s="106">
        <v>712.20013743343065</v>
      </c>
      <c r="R650" s="106">
        <v>0.46034259777756831</v>
      </c>
      <c r="S650" s="106">
        <v>12445.815667411098</v>
      </c>
      <c r="T650" s="106">
        <v>16451.831815839203</v>
      </c>
      <c r="U650" s="106">
        <v>13947.115615873561</v>
      </c>
      <c r="V650" s="106">
        <v>5.9862469169622012E-2</v>
      </c>
      <c r="W650" s="106">
        <v>168529.59574468085</v>
      </c>
      <c r="X650" s="110">
        <v>0.57897554012659991</v>
      </c>
      <c r="Y650" s="106">
        <v>935.55535714285702</v>
      </c>
      <c r="Z650" s="106">
        <v>31.183928571428567</v>
      </c>
      <c r="AA650" s="106">
        <v>85459.115789473683</v>
      </c>
      <c r="AB650" s="106">
        <v>464.88521905438137</v>
      </c>
      <c r="AC650" s="106">
        <v>1.1701501832332013</v>
      </c>
      <c r="AD650" s="106">
        <v>18.759873617693522</v>
      </c>
      <c r="AE650" s="106">
        <v>183.82842105263157</v>
      </c>
      <c r="AF650" s="106"/>
      <c r="AG650" s="106">
        <v>1356</v>
      </c>
      <c r="AH650" s="106">
        <v>10361.971482563133</v>
      </c>
      <c r="AI650" s="106">
        <v>10361.971482563133</v>
      </c>
      <c r="AJ650" s="106">
        <v>12634.654011338258</v>
      </c>
      <c r="AK650" s="104">
        <v>16451.831815839203</v>
      </c>
      <c r="AL650" s="119">
        <v>41710870</v>
      </c>
      <c r="AM650" s="118">
        <v>9575</v>
      </c>
      <c r="AN650" s="118">
        <v>174637</v>
      </c>
      <c r="AO650" s="118">
        <v>714</v>
      </c>
      <c r="AP650" s="118">
        <f t="shared" si="10"/>
        <v>43</v>
      </c>
    </row>
    <row r="651" spans="1:42" ht="12.75">
      <c r="A651" s="106">
        <v>2018</v>
      </c>
      <c r="B651" s="106">
        <v>-196680</v>
      </c>
      <c r="C651" s="106">
        <v>0</v>
      </c>
      <c r="D651" s="106">
        <v>196680</v>
      </c>
      <c r="E651" s="106" t="s">
        <v>1204</v>
      </c>
      <c r="F651" s="106" t="s">
        <v>95</v>
      </c>
      <c r="G651" s="106" t="s">
        <v>69</v>
      </c>
      <c r="H651" s="106">
        <v>6</v>
      </c>
      <c r="I651" s="106" t="s">
        <v>3640</v>
      </c>
      <c r="J651" s="106"/>
      <c r="K651" s="106"/>
      <c r="L651" s="106"/>
      <c r="M651" s="106"/>
      <c r="N651" s="106"/>
      <c r="O651" s="106"/>
      <c r="P651" s="106"/>
      <c r="Q651" s="107">
        <v>42.77198506260526</v>
      </c>
      <c r="R651" s="106">
        <v>7.043893665045424E-3</v>
      </c>
      <c r="S651" s="106">
        <v>6312.8033243025557</v>
      </c>
      <c r="T651" s="106">
        <v>6364.7377169217252</v>
      </c>
      <c r="U651" s="106">
        <v>6364.7377169217252</v>
      </c>
      <c r="V651" s="106">
        <v>0.94731879649699602</v>
      </c>
      <c r="W651" s="106">
        <v>74340.231496062988</v>
      </c>
      <c r="X651" s="110">
        <v>0.72410333887412348</v>
      </c>
      <c r="Y651" s="106">
        <v>443.85810810810813</v>
      </c>
      <c r="Z651" s="106">
        <v>39.547297297297298</v>
      </c>
      <c r="AA651" s="106">
        <v>16921.008954642788</v>
      </c>
      <c r="AB651" s="106">
        <v>567.09153243431911</v>
      </c>
      <c r="AC651" s="106">
        <v>5.9098130772256345</v>
      </c>
      <c r="AD651" s="106">
        <v>38.525573721313933</v>
      </c>
      <c r="AE651" s="106">
        <v>29.838232431380185</v>
      </c>
      <c r="AF651" s="106">
        <v>2.8091911288752911E-2</v>
      </c>
      <c r="AG651" s="106"/>
      <c r="AH651" s="106">
        <v>6216.4812184227867</v>
      </c>
      <c r="AI651" s="106">
        <v>6312.8033243025557</v>
      </c>
      <c r="AJ651" s="106">
        <v>6440.0986307388157</v>
      </c>
      <c r="AK651" s="104">
        <v>6364.7377169217252</v>
      </c>
      <c r="AL651" s="118"/>
      <c r="AM651" s="118">
        <v>31039</v>
      </c>
      <c r="AN651" s="118">
        <v>153279</v>
      </c>
      <c r="AO651" s="118">
        <v>4565</v>
      </c>
      <c r="AP651" s="118">
        <f t="shared" si="10"/>
        <v>0</v>
      </c>
    </row>
    <row r="652" spans="1:42" ht="12.75">
      <c r="A652" s="106">
        <v>2018</v>
      </c>
      <c r="B652" s="106">
        <v>-129242</v>
      </c>
      <c r="C652" s="106">
        <v>0</v>
      </c>
      <c r="D652" s="106">
        <v>129242</v>
      </c>
      <c r="E652" s="106" t="s">
        <v>1205</v>
      </c>
      <c r="F652" s="106" t="s">
        <v>1206</v>
      </c>
      <c r="G652" s="106" t="s">
        <v>99</v>
      </c>
      <c r="H652" s="106">
        <v>6</v>
      </c>
      <c r="I652" s="106" t="s">
        <v>3640</v>
      </c>
      <c r="J652" s="106">
        <v>47165</v>
      </c>
      <c r="K652" s="106">
        <v>39791</v>
      </c>
      <c r="L652" s="106">
        <v>29266</v>
      </c>
      <c r="M652" s="106">
        <v>0.11</v>
      </c>
      <c r="N652" s="106">
        <v>0.55000000000000004</v>
      </c>
      <c r="O652" s="106">
        <v>0.88</v>
      </c>
      <c r="P652" s="106">
        <v>23520</v>
      </c>
      <c r="Q652" s="106">
        <v>17120.7890070922</v>
      </c>
      <c r="R652" s="106">
        <v>0.36868390888484215</v>
      </c>
      <c r="S652" s="106">
        <v>44846.6640070922</v>
      </c>
      <c r="T652" s="106">
        <v>50813.95811170213</v>
      </c>
      <c r="U652" s="106">
        <v>35187.488836733704</v>
      </c>
      <c r="V652" s="106">
        <v>0.83315954905412992</v>
      </c>
      <c r="W652" s="106">
        <v>114751.27302631579</v>
      </c>
      <c r="X652" s="110">
        <v>0.45645738123790197</v>
      </c>
      <c r="Y652" s="106">
        <v>406.31021555763823</v>
      </c>
      <c r="Z652" s="106">
        <v>12.686035613870665</v>
      </c>
      <c r="AA652" s="106">
        <v>111180.63699673842</v>
      </c>
      <c r="AB652" s="106">
        <v>1098.6426613291892</v>
      </c>
      <c r="AC652" s="106">
        <v>0.89943719249363163</v>
      </c>
      <c r="AD652" s="106">
        <v>30.532392559332905</v>
      </c>
      <c r="AE652" s="106">
        <v>101.19817927170868</v>
      </c>
      <c r="AF652" s="106">
        <v>-4.7585695302183213E-3</v>
      </c>
      <c r="AG652" s="106">
        <v>46490</v>
      </c>
      <c r="AH652" s="106">
        <v>41053.5</v>
      </c>
      <c r="AI652" s="106">
        <v>44940.63563829787</v>
      </c>
      <c r="AJ652" s="106">
        <v>50258.330452127659</v>
      </c>
      <c r="AK652" s="104">
        <v>36280.501329787236</v>
      </c>
      <c r="AL652" s="118"/>
      <c r="AM652" s="118">
        <v>4113</v>
      </c>
      <c r="AN652" s="118">
        <v>144511</v>
      </c>
      <c r="AO652" s="118">
        <v>991</v>
      </c>
      <c r="AP652" s="118">
        <f t="shared" si="10"/>
        <v>675</v>
      </c>
    </row>
    <row r="653" spans="1:42" ht="12.75">
      <c r="A653" s="106">
        <v>2018</v>
      </c>
      <c r="B653" s="106">
        <v>2573</v>
      </c>
      <c r="C653" s="106">
        <v>1</v>
      </c>
      <c r="D653" s="106">
        <v>184603</v>
      </c>
      <c r="E653" s="106" t="s">
        <v>3847</v>
      </c>
      <c r="F653" s="106" t="s">
        <v>1207</v>
      </c>
      <c r="G653" s="106" t="s">
        <v>234</v>
      </c>
      <c r="H653" s="106">
        <v>6</v>
      </c>
      <c r="I653" s="106" t="s">
        <v>3640</v>
      </c>
      <c r="J653" s="106">
        <v>39446</v>
      </c>
      <c r="K653" s="106">
        <v>13974</v>
      </c>
      <c r="L653" s="106">
        <v>9023</v>
      </c>
      <c r="M653" s="106">
        <v>0.45</v>
      </c>
      <c r="N653" s="106">
        <v>0.7</v>
      </c>
      <c r="O653" s="106">
        <v>0.99</v>
      </c>
      <c r="P653" s="107">
        <v>27530</v>
      </c>
      <c r="Q653" s="107">
        <v>13065.33218715461</v>
      </c>
      <c r="R653" s="106">
        <v>0.37461619718309858</v>
      </c>
      <c r="S653" s="106">
        <v>28446.395677268822</v>
      </c>
      <c r="T653" s="106">
        <v>24709.566498833356</v>
      </c>
      <c r="U653" s="106">
        <v>21624.107784478907</v>
      </c>
      <c r="V653" s="106">
        <v>1.008654282657288</v>
      </c>
      <c r="W653" s="106">
        <v>94723.597776654875</v>
      </c>
      <c r="X653" s="110">
        <v>0.62110233089806666</v>
      </c>
      <c r="Y653" s="106">
        <v>363.38279932546374</v>
      </c>
      <c r="Z653" s="106">
        <v>13.731871838111298</v>
      </c>
      <c r="AA653" s="106">
        <v>62375.171692884076</v>
      </c>
      <c r="AB653" s="106">
        <v>817.15336350858877</v>
      </c>
      <c r="AC653" s="106">
        <v>1.6032019998657296</v>
      </c>
      <c r="AD653" s="106">
        <v>34.114803625377647</v>
      </c>
      <c r="AE653" s="106">
        <v>76.332270634077219</v>
      </c>
      <c r="AF653" s="106">
        <v>0.15775830196289325</v>
      </c>
      <c r="AG653" s="106">
        <v>38418</v>
      </c>
      <c r="AH653" s="106">
        <v>27266.240943141347</v>
      </c>
      <c r="AI653" s="106">
        <v>28574.481149453517</v>
      </c>
      <c r="AJ653" s="106">
        <v>29320.766302345572</v>
      </c>
      <c r="AK653" s="104">
        <v>21769.740881738915</v>
      </c>
      <c r="AL653" s="118"/>
      <c r="AM653" s="118">
        <v>8214</v>
      </c>
      <c r="AN653" s="118">
        <v>215486</v>
      </c>
      <c r="AO653" s="118">
        <v>1490</v>
      </c>
      <c r="AP653" s="118">
        <f t="shared" si="10"/>
        <v>1028</v>
      </c>
    </row>
    <row r="654" spans="1:42" ht="12.75">
      <c r="A654" s="106">
        <v>2018</v>
      </c>
      <c r="B654" s="106">
        <v>2119</v>
      </c>
      <c r="C654" s="106">
        <v>1</v>
      </c>
      <c r="D654" s="106">
        <v>237367</v>
      </c>
      <c r="E654" s="106" t="s">
        <v>3848</v>
      </c>
      <c r="F654" s="106" t="s">
        <v>1208</v>
      </c>
      <c r="G654" s="106" t="s">
        <v>110</v>
      </c>
      <c r="H654" s="106">
        <v>2</v>
      </c>
      <c r="I654" s="106" t="s">
        <v>25</v>
      </c>
      <c r="J654" s="106">
        <v>6950</v>
      </c>
      <c r="K654" s="106">
        <v>9244</v>
      </c>
      <c r="L654" s="106">
        <v>7449</v>
      </c>
      <c r="M654" s="106">
        <v>0.49</v>
      </c>
      <c r="N654" s="106">
        <v>0.54</v>
      </c>
      <c r="O654" s="106">
        <v>0.4</v>
      </c>
      <c r="P654" s="107">
        <v>3309</v>
      </c>
      <c r="Q654" s="107">
        <v>1557.6892320710811</v>
      </c>
      <c r="R654" s="106">
        <v>0.21480134499443262</v>
      </c>
      <c r="S654" s="106">
        <v>17154.9490162894</v>
      </c>
      <c r="T654" s="106">
        <v>17423.959382272053</v>
      </c>
      <c r="U654" s="106">
        <v>12371.309531572258</v>
      </c>
      <c r="V654" s="106">
        <v>0.46026472888842529</v>
      </c>
      <c r="W654" s="106">
        <v>75111.414204545465</v>
      </c>
      <c r="X654" s="110">
        <v>0.53501369594639614</v>
      </c>
      <c r="Y654" s="106">
        <v>467.92358803986713</v>
      </c>
      <c r="Z654" s="106">
        <v>15.704318936877076</v>
      </c>
      <c r="AA654" s="106">
        <v>47621.482211516341</v>
      </c>
      <c r="AB654" s="106">
        <v>415.20238670696199</v>
      </c>
      <c r="AC654" s="106">
        <v>2.0998926399610665</v>
      </c>
      <c r="AD654" s="106">
        <v>25.631392193696513</v>
      </c>
      <c r="AE654" s="106">
        <v>114.69462540716613</v>
      </c>
      <c r="AF654" s="106">
        <v>1.2778474955866844E-2</v>
      </c>
      <c r="AG654" s="106">
        <v>5216</v>
      </c>
      <c r="AH654" s="106">
        <v>17086.335096255552</v>
      </c>
      <c r="AI654" s="106">
        <v>17125.939284958749</v>
      </c>
      <c r="AJ654" s="106">
        <v>17261.846837317538</v>
      </c>
      <c r="AK654" s="104">
        <v>14310.113179606516</v>
      </c>
      <c r="AL654" s="119">
        <v>21568453</v>
      </c>
      <c r="AM654" s="118">
        <v>5516</v>
      </c>
      <c r="AN654" s="118">
        <v>140845</v>
      </c>
      <c r="AO654" s="118">
        <v>1081</v>
      </c>
      <c r="AP654" s="118">
        <f t="shared" si="10"/>
        <v>1734</v>
      </c>
    </row>
    <row r="655" spans="1:42" ht="12.75">
      <c r="A655" s="106">
        <v>2018</v>
      </c>
      <c r="B655" s="106">
        <v>-196042</v>
      </c>
      <c r="C655" s="106">
        <v>0</v>
      </c>
      <c r="D655" s="106">
        <v>196042</v>
      </c>
      <c r="E655" s="106" t="s">
        <v>1209</v>
      </c>
      <c r="F655" s="106" t="s">
        <v>1210</v>
      </c>
      <c r="G655" s="106" t="s">
        <v>69</v>
      </c>
      <c r="H655" s="106">
        <v>3</v>
      </c>
      <c r="I655" s="104" t="s">
        <v>26</v>
      </c>
      <c r="J655" s="106">
        <v>8076</v>
      </c>
      <c r="K655" s="106">
        <v>7970</v>
      </c>
      <c r="L655" s="106">
        <v>3821</v>
      </c>
      <c r="M655" s="106">
        <v>0.38</v>
      </c>
      <c r="N655" s="106">
        <v>0.3</v>
      </c>
      <c r="O655" s="106">
        <v>0.57999999999999996</v>
      </c>
      <c r="P655" s="107">
        <v>987</v>
      </c>
      <c r="Q655" s="107">
        <v>397.07299721620785</v>
      </c>
      <c r="R655" s="106">
        <v>5.6493279743692108E-2</v>
      </c>
      <c r="S655" s="106">
        <v>17199.78379214352</v>
      </c>
      <c r="T655" s="106">
        <v>17613.244561294978</v>
      </c>
      <c r="U655" s="106">
        <v>13834.708445056507</v>
      </c>
      <c r="V655" s="106">
        <v>0.47934538677258021</v>
      </c>
      <c r="W655" s="106">
        <v>110469.32929362882</v>
      </c>
      <c r="X655" s="110">
        <v>0.6225171589168208</v>
      </c>
      <c r="Y655" s="106">
        <v>682.26896012509769</v>
      </c>
      <c r="Z655" s="106">
        <v>22.749804534792805</v>
      </c>
      <c r="AA655" s="106">
        <v>64573.068916555851</v>
      </c>
      <c r="AB655" s="106">
        <v>461.30914832058914</v>
      </c>
      <c r="AC655" s="106">
        <v>1.5486332255514195</v>
      </c>
      <c r="AD655" s="106">
        <v>25.075419331483044</v>
      </c>
      <c r="AE655" s="106">
        <v>139.97786333012513</v>
      </c>
      <c r="AF655" s="106">
        <v>6.1078689812176318E-2</v>
      </c>
      <c r="AG655" s="106">
        <v>6670</v>
      </c>
      <c r="AH655" s="106">
        <v>17716.713475616041</v>
      </c>
      <c r="AI655" s="106">
        <v>17736.995463449839</v>
      </c>
      <c r="AJ655" s="106">
        <v>17310.956490359829</v>
      </c>
      <c r="AK655" s="104">
        <v>15794.312403340551</v>
      </c>
      <c r="AL655" s="118">
        <v>77006515</v>
      </c>
      <c r="AM655" s="118">
        <v>9552</v>
      </c>
      <c r="AN655" s="118">
        <v>290874</v>
      </c>
      <c r="AO655" s="118">
        <v>2058</v>
      </c>
      <c r="AP655" s="118">
        <f t="shared" si="10"/>
        <v>1406</v>
      </c>
    </row>
    <row r="656" spans="1:42" ht="12.75">
      <c r="A656" s="106">
        <v>2018</v>
      </c>
      <c r="B656" s="106">
        <v>-191126</v>
      </c>
      <c r="C656" s="106">
        <v>0</v>
      </c>
      <c r="D656" s="106">
        <v>191126</v>
      </c>
      <c r="E656" s="106" t="s">
        <v>1211</v>
      </c>
      <c r="F656" s="106" t="s">
        <v>290</v>
      </c>
      <c r="G656" s="106" t="s">
        <v>69</v>
      </c>
      <c r="H656" s="106">
        <v>2</v>
      </c>
      <c r="I656" s="106" t="s">
        <v>25</v>
      </c>
      <c r="J656" s="106">
        <v>7463</v>
      </c>
      <c r="K656" s="106">
        <v>9583</v>
      </c>
      <c r="L656" s="106">
        <v>7293</v>
      </c>
      <c r="M656" s="106">
        <v>0.33</v>
      </c>
      <c r="N656" s="106">
        <v>0.4</v>
      </c>
      <c r="O656" s="106">
        <v>0.17</v>
      </c>
      <c r="P656" s="106">
        <v>957</v>
      </c>
      <c r="Q656" s="107">
        <v>512.26191599811227</v>
      </c>
      <c r="R656" s="106">
        <v>4.5490748035404344E-2</v>
      </c>
      <c r="S656" s="106">
        <v>25783.509202453988</v>
      </c>
      <c r="T656" s="106">
        <v>29003.612317130723</v>
      </c>
      <c r="U656" s="106">
        <v>28437.785235433395</v>
      </c>
      <c r="V656" s="106">
        <v>0.37796654738482388</v>
      </c>
      <c r="W656" s="106">
        <v>139412.63142350854</v>
      </c>
      <c r="X656" s="110">
        <v>0.64006603821761177</v>
      </c>
      <c r="Y656" s="106">
        <v>513.5432432432433</v>
      </c>
      <c r="Z656" s="106">
        <v>17.181081081081082</v>
      </c>
      <c r="AA656" s="106">
        <v>63581.816843981396</v>
      </c>
      <c r="AB656" s="106">
        <v>951.41334313092455</v>
      </c>
      <c r="AC656" s="106">
        <v>1.5727766988065539</v>
      </c>
      <c r="AD656" s="106">
        <v>47.709539390888494</v>
      </c>
      <c r="AE656" s="106">
        <v>66.828805064626749</v>
      </c>
      <c r="AF656" s="106">
        <v>-5.0102176616055004E-2</v>
      </c>
      <c r="AG656" s="106">
        <v>6670</v>
      </c>
      <c r="AH656" s="106">
        <v>26635.907385559225</v>
      </c>
      <c r="AI656" s="106">
        <v>26635.907385559225</v>
      </c>
      <c r="AJ656" s="106">
        <v>25858.410689004246</v>
      </c>
      <c r="AK656" s="104">
        <v>28497.120811703633</v>
      </c>
      <c r="AL656" s="118">
        <v>119223391</v>
      </c>
      <c r="AM656" s="118">
        <v>8661</v>
      </c>
      <c r="AN656" s="118">
        <v>253348</v>
      </c>
      <c r="AO656" s="118">
        <v>3687</v>
      </c>
      <c r="AP656" s="118">
        <f t="shared" si="10"/>
        <v>793</v>
      </c>
    </row>
    <row r="657" spans="1:42" ht="12.75">
      <c r="A657" s="106">
        <v>2018</v>
      </c>
      <c r="B657" s="106">
        <v>-101189</v>
      </c>
      <c r="C657" s="106">
        <v>0</v>
      </c>
      <c r="D657" s="106">
        <v>101189</v>
      </c>
      <c r="E657" s="106" t="s">
        <v>1212</v>
      </c>
      <c r="F657" s="106" t="s">
        <v>87</v>
      </c>
      <c r="G657" s="106" t="s">
        <v>85</v>
      </c>
      <c r="H657" s="106">
        <v>6</v>
      </c>
      <c r="I657" s="106" t="s">
        <v>3640</v>
      </c>
      <c r="J657" s="106">
        <v>20970</v>
      </c>
      <c r="K657" s="106">
        <v>21334</v>
      </c>
      <c r="L657" s="106">
        <v>26663</v>
      </c>
      <c r="M657" s="106">
        <v>0.55000000000000004</v>
      </c>
      <c r="N657" s="106">
        <v>0.75</v>
      </c>
      <c r="O657" s="106">
        <v>0.94</v>
      </c>
      <c r="P657" s="106">
        <v>9390</v>
      </c>
      <c r="Q657" s="107">
        <v>4169.9243156199682</v>
      </c>
      <c r="R657" s="106">
        <v>0.27858179747318712</v>
      </c>
      <c r="S657" s="106">
        <v>13645.334943639291</v>
      </c>
      <c r="T657" s="106">
        <v>13929.797745571659</v>
      </c>
      <c r="U657" s="106">
        <v>12110.422866344605</v>
      </c>
      <c r="V657" s="106">
        <v>0.89166808920905838</v>
      </c>
      <c r="W657" s="106">
        <v>65573.073403241186</v>
      </c>
      <c r="X657" s="110">
        <v>0.53011898495751253</v>
      </c>
      <c r="Y657" s="106">
        <v>455.5935114503817</v>
      </c>
      <c r="Z657" s="106">
        <v>17.77671755725191</v>
      </c>
      <c r="AA657" s="106">
        <v>45359.303980699638</v>
      </c>
      <c r="AB657" s="106">
        <v>472.53431267828643</v>
      </c>
      <c r="AC657" s="106">
        <v>2.2046193663498439</v>
      </c>
      <c r="AD657" s="106">
        <v>30.477941176470591</v>
      </c>
      <c r="AE657" s="106">
        <v>95.991556091676713</v>
      </c>
      <c r="AF657" s="106">
        <v>1.845469401583784E-3</v>
      </c>
      <c r="AG657" s="106">
        <v>19160</v>
      </c>
      <c r="AH657" s="106">
        <v>12921.13268921095</v>
      </c>
      <c r="AI657" s="106">
        <v>13762.345249597423</v>
      </c>
      <c r="AJ657" s="106">
        <v>13958.115297906603</v>
      </c>
      <c r="AK657" s="104">
        <v>12110.422866344605</v>
      </c>
      <c r="AL657" s="118"/>
      <c r="AM657" s="118">
        <v>2672</v>
      </c>
      <c r="AN657" s="118">
        <v>79577</v>
      </c>
      <c r="AO657" s="118">
        <v>552</v>
      </c>
      <c r="AP657" s="118">
        <f t="shared" si="10"/>
        <v>1810</v>
      </c>
    </row>
    <row r="658" spans="1:42" ht="12.75">
      <c r="A658" s="106">
        <v>2018</v>
      </c>
      <c r="B658" s="106">
        <v>-198543</v>
      </c>
      <c r="C658" s="106">
        <v>0</v>
      </c>
      <c r="D658" s="106">
        <v>198543</v>
      </c>
      <c r="E658" s="106" t="s">
        <v>1213</v>
      </c>
      <c r="F658" s="106" t="s">
        <v>1214</v>
      </c>
      <c r="G658" s="106" t="s">
        <v>90</v>
      </c>
      <c r="H658" s="106">
        <v>2</v>
      </c>
      <c r="I658" s="106" t="s">
        <v>25</v>
      </c>
      <c r="J658" s="106">
        <v>5183</v>
      </c>
      <c r="K658" s="106">
        <v>5685</v>
      </c>
      <c r="L658" s="106">
        <v>4674</v>
      </c>
      <c r="M658" s="106">
        <v>0.76</v>
      </c>
      <c r="N658" s="106">
        <v>0.72</v>
      </c>
      <c r="O658" s="106">
        <v>0.84</v>
      </c>
      <c r="P658" s="106">
        <v>3483</v>
      </c>
      <c r="Q658" s="107">
        <v>459.61009174311926</v>
      </c>
      <c r="R658" s="106">
        <v>8.5106375026824305E-2</v>
      </c>
      <c r="S658" s="106">
        <v>21523.901467889908</v>
      </c>
      <c r="T658" s="106">
        <v>22404.595779816515</v>
      </c>
      <c r="U658" s="106">
        <v>14359.204045268776</v>
      </c>
      <c r="V658" s="106">
        <v>0.34408655070638394</v>
      </c>
      <c r="W658" s="106">
        <v>85304.834807073945</v>
      </c>
      <c r="X658" s="110">
        <v>0.57938754161406614</v>
      </c>
      <c r="Y658" s="106">
        <v>553.71676300578042</v>
      </c>
      <c r="Z658" s="106">
        <v>18.901734104046245</v>
      </c>
      <c r="AA658" s="106">
        <v>66715.824421751764</v>
      </c>
      <c r="AB658" s="106">
        <v>490.16731105643311</v>
      </c>
      <c r="AC658" s="106">
        <v>1.4988947654733078</v>
      </c>
      <c r="AD658" s="106">
        <v>23.009023146331895</v>
      </c>
      <c r="AE658" s="106">
        <v>136.1082693947144</v>
      </c>
      <c r="AF658" s="106">
        <v>3.512478784815206E-2</v>
      </c>
      <c r="AG658" s="106">
        <v>2982</v>
      </c>
      <c r="AH658" s="106">
        <v>20876.08275229358</v>
      </c>
      <c r="AI658" s="106">
        <v>21163.026422018349</v>
      </c>
      <c r="AJ658" s="106">
        <v>21934.2576146789</v>
      </c>
      <c r="AK658" s="104">
        <v>17411.404220183485</v>
      </c>
      <c r="AL658" s="119">
        <v>53116504</v>
      </c>
      <c r="AM658" s="118">
        <v>5393</v>
      </c>
      <c r="AN658" s="118">
        <v>159655</v>
      </c>
      <c r="AO658" s="118">
        <v>1004</v>
      </c>
      <c r="AP658" s="118">
        <f t="shared" si="10"/>
        <v>2201</v>
      </c>
    </row>
    <row r="659" spans="1:42" ht="12.75">
      <c r="A659" s="106">
        <v>2018</v>
      </c>
      <c r="B659" s="106">
        <v>-198534</v>
      </c>
      <c r="C659" s="106">
        <v>0</v>
      </c>
      <c r="D659" s="106">
        <v>198534</v>
      </c>
      <c r="E659" s="106" t="s">
        <v>1215</v>
      </c>
      <c r="F659" s="106" t="s">
        <v>1214</v>
      </c>
      <c r="G659" s="106" t="s">
        <v>90</v>
      </c>
      <c r="H659" s="106">
        <v>4</v>
      </c>
      <c r="I659" s="106" t="s">
        <v>24</v>
      </c>
      <c r="J659" s="106">
        <v>2528</v>
      </c>
      <c r="K659" s="106">
        <v>6482</v>
      </c>
      <c r="L659" s="106">
        <v>6007</v>
      </c>
      <c r="M659" s="106">
        <v>0.67</v>
      </c>
      <c r="N659" s="106">
        <v>0.54</v>
      </c>
      <c r="O659" s="106">
        <v>0.1</v>
      </c>
      <c r="P659" s="106">
        <v>1707</v>
      </c>
      <c r="Q659" s="106">
        <v>184.04756452955871</v>
      </c>
      <c r="R659" s="106">
        <v>7.2751786355579537E-2</v>
      </c>
      <c r="S659" s="106">
        <v>11215.197751873438</v>
      </c>
      <c r="T659" s="106">
        <v>11511.803809325562</v>
      </c>
      <c r="U659" s="106">
        <v>8799.9819941715232</v>
      </c>
      <c r="V659" s="106">
        <v>0.26656347120156165</v>
      </c>
      <c r="W659" s="106">
        <v>65176.815338042383</v>
      </c>
      <c r="X659" s="110">
        <v>0.5839698385099803</v>
      </c>
      <c r="Y659" s="106">
        <v>606.37237026647961</v>
      </c>
      <c r="Z659" s="106">
        <v>20.213183730715286</v>
      </c>
      <c r="AA659" s="106">
        <v>22320.545670538544</v>
      </c>
      <c r="AB659" s="106">
        <v>293.34392791842595</v>
      </c>
      <c r="AC659" s="106">
        <v>4.4801772087495397</v>
      </c>
      <c r="AD659" s="106">
        <v>54.558548178021027</v>
      </c>
      <c r="AE659" s="106">
        <v>76.090021119324177</v>
      </c>
      <c r="AF659" s="106">
        <v>6.8713316995629714E-3</v>
      </c>
      <c r="AG659" s="106">
        <v>2432</v>
      </c>
      <c r="AH659" s="106">
        <v>9775.3657368859276</v>
      </c>
      <c r="AI659" s="106">
        <v>9805.1538301415494</v>
      </c>
      <c r="AJ659" s="106">
        <v>11236.452435470441</v>
      </c>
      <c r="AK659" s="104">
        <v>10544.564113238968</v>
      </c>
      <c r="AL659" s="118">
        <v>59400666</v>
      </c>
      <c r="AM659" s="118">
        <v>11660</v>
      </c>
      <c r="AN659" s="118">
        <v>288229</v>
      </c>
      <c r="AO659" s="118">
        <v>1723</v>
      </c>
      <c r="AP659" s="118">
        <f t="shared" si="10"/>
        <v>96</v>
      </c>
    </row>
    <row r="660" spans="1:42" ht="12.75">
      <c r="A660" s="106">
        <v>2018</v>
      </c>
      <c r="B660" s="106">
        <v>-114433</v>
      </c>
      <c r="C660" s="106">
        <v>0</v>
      </c>
      <c r="D660" s="106">
        <v>114433</v>
      </c>
      <c r="E660" s="106" t="s">
        <v>1216</v>
      </c>
      <c r="F660" s="106" t="s">
        <v>1121</v>
      </c>
      <c r="G660" s="106" t="s">
        <v>121</v>
      </c>
      <c r="H660" s="106">
        <v>4</v>
      </c>
      <c r="I660" s="106" t="s">
        <v>24</v>
      </c>
      <c r="J660" s="106">
        <v>1461</v>
      </c>
      <c r="K660" s="106">
        <v>9974</v>
      </c>
      <c r="L660" s="106">
        <v>7060</v>
      </c>
      <c r="M660" s="106">
        <v>0.46</v>
      </c>
      <c r="N660" s="106">
        <v>0.32</v>
      </c>
      <c r="O660" s="106">
        <v>0.03</v>
      </c>
      <c r="P660" s="106">
        <v>867</v>
      </c>
      <c r="Q660" s="106">
        <v>1942.9566544566544</v>
      </c>
      <c r="R660" s="106">
        <v>1.4490249268330886</v>
      </c>
      <c r="S660" s="106">
        <v>15663.364468864469</v>
      </c>
      <c r="T660" s="106">
        <v>14672.540903540903</v>
      </c>
      <c r="U660" s="106">
        <v>10111.734231533957</v>
      </c>
      <c r="V660" s="106">
        <v>-5.9543184759269813E-2</v>
      </c>
      <c r="W660" s="106">
        <v>99788.266666666663</v>
      </c>
      <c r="X660" s="110">
        <v>0.56052375293245438</v>
      </c>
      <c r="Y660" s="106">
        <v>675.98333333333335</v>
      </c>
      <c r="Z660" s="106">
        <v>27.3</v>
      </c>
      <c r="AA660" s="106">
        <v>51278.701768583975</v>
      </c>
      <c r="AB660" s="106">
        <v>408.3685660704806</v>
      </c>
      <c r="AC660" s="106">
        <v>1.9501273735690645</v>
      </c>
      <c r="AD660" s="106">
        <v>27.07460184409053</v>
      </c>
      <c r="AE660" s="106">
        <v>125.56965944272446</v>
      </c>
      <c r="AF660" s="106">
        <v>0.46911999404335614</v>
      </c>
      <c r="AG660" s="106">
        <v>1380</v>
      </c>
      <c r="AH660" s="106">
        <v>13460.869352869353</v>
      </c>
      <c r="AI660" s="106">
        <v>13460.869352869353</v>
      </c>
      <c r="AJ660" s="106">
        <v>15704.051282051281</v>
      </c>
      <c r="AK660" s="104">
        <v>12452.446275946277</v>
      </c>
      <c r="AL660" s="119">
        <v>12849683</v>
      </c>
      <c r="AM660" s="118">
        <v>2151</v>
      </c>
      <c r="AN660" s="118">
        <v>40559</v>
      </c>
      <c r="AO660" s="118">
        <v>236</v>
      </c>
      <c r="AP660" s="118">
        <f t="shared" si="10"/>
        <v>81</v>
      </c>
    </row>
    <row r="661" spans="1:42" ht="12.75">
      <c r="A661" s="106">
        <v>2018</v>
      </c>
      <c r="B661" s="106">
        <v>-184612</v>
      </c>
      <c r="C661" s="106">
        <v>0</v>
      </c>
      <c r="D661" s="106">
        <v>184612</v>
      </c>
      <c r="E661" s="106" t="s">
        <v>1217</v>
      </c>
      <c r="F661" s="106" t="s">
        <v>1218</v>
      </c>
      <c r="G661" s="106" t="s">
        <v>234</v>
      </c>
      <c r="H661" s="106">
        <v>6</v>
      </c>
      <c r="I661" s="106" t="s">
        <v>3640</v>
      </c>
      <c r="J661" s="106">
        <v>33650</v>
      </c>
      <c r="K661" s="106">
        <v>17917</v>
      </c>
      <c r="L661" s="106">
        <v>13634</v>
      </c>
      <c r="M661" s="106">
        <v>0.6</v>
      </c>
      <c r="N661" s="106">
        <v>0.73</v>
      </c>
      <c r="O661" s="106">
        <v>1</v>
      </c>
      <c r="P661" s="106">
        <v>19709</v>
      </c>
      <c r="Q661" s="107">
        <v>11102.746652383503</v>
      </c>
      <c r="R661" s="106">
        <v>0.38005545419762987</v>
      </c>
      <c r="S661" s="106">
        <v>22060.554900910553</v>
      </c>
      <c r="T661" s="106">
        <v>22271.159614354579</v>
      </c>
      <c r="U661" s="106">
        <v>20385.936797000537</v>
      </c>
      <c r="V661" s="106">
        <v>0.88839402820937086</v>
      </c>
      <c r="W661" s="106">
        <v>78881.743859649127</v>
      </c>
      <c r="X661" s="110">
        <v>0.54067241771364793</v>
      </c>
      <c r="Y661" s="106">
        <v>434.59459459459458</v>
      </c>
      <c r="Z661" s="106">
        <v>15.137837837837838</v>
      </c>
      <c r="AA661" s="106">
        <v>76426.795180722896</v>
      </c>
      <c r="AB661" s="106">
        <v>710.08477611940293</v>
      </c>
      <c r="AC661" s="106">
        <v>1.308441623955769</v>
      </c>
      <c r="AD661" s="106">
        <v>29.294117647058826</v>
      </c>
      <c r="AE661" s="106">
        <v>107.63052208835342</v>
      </c>
      <c r="AF661" s="106">
        <v>1.4470890447295647E-2</v>
      </c>
      <c r="AG661" s="106">
        <v>31290</v>
      </c>
      <c r="AH661" s="106">
        <v>22242.584359935725</v>
      </c>
      <c r="AI661" s="106">
        <v>22931.87680771291</v>
      </c>
      <c r="AJ661" s="106">
        <v>22693.025174076058</v>
      </c>
      <c r="AK661" s="104">
        <v>20385.936797000537</v>
      </c>
      <c r="AM661" s="119">
        <v>1626</v>
      </c>
      <c r="AN661" s="118">
        <v>53600</v>
      </c>
      <c r="AO661" s="119">
        <v>371</v>
      </c>
      <c r="AP661" s="118">
        <f t="shared" si="10"/>
        <v>2360</v>
      </c>
    </row>
    <row r="662" spans="1:42" ht="12.75">
      <c r="A662" s="106">
        <v>2018</v>
      </c>
      <c r="B662" s="106">
        <v>-169910</v>
      </c>
      <c r="C662" s="106">
        <v>0</v>
      </c>
      <c r="D662" s="106">
        <v>169910</v>
      </c>
      <c r="E662" s="106" t="s">
        <v>1219</v>
      </c>
      <c r="F662" s="106" t="s">
        <v>1220</v>
      </c>
      <c r="G662" s="106" t="s">
        <v>74</v>
      </c>
      <c r="H662" s="106">
        <v>2</v>
      </c>
      <c r="I662" s="106" t="s">
        <v>25</v>
      </c>
      <c r="J662" s="106">
        <v>11564</v>
      </c>
      <c r="K662" s="106">
        <v>13351</v>
      </c>
      <c r="L662" s="106">
        <v>9013</v>
      </c>
      <c r="M662" s="106">
        <v>0.47</v>
      </c>
      <c r="N662" s="106">
        <v>0.68</v>
      </c>
      <c r="O662" s="106">
        <v>0.8</v>
      </c>
      <c r="P662" s="107">
        <v>5199</v>
      </c>
      <c r="Q662" s="106">
        <v>2723.3621002906975</v>
      </c>
      <c r="R662" s="106">
        <v>0.19580622166420603</v>
      </c>
      <c r="S662" s="106">
        <v>22587.273074127908</v>
      </c>
      <c r="T662" s="106">
        <v>23694.96484375</v>
      </c>
      <c r="U662" s="106">
        <v>15829.482127770212</v>
      </c>
      <c r="V662" s="106">
        <v>0.7065988138779653</v>
      </c>
      <c r="W662" s="106">
        <v>117903.89683074848</v>
      </c>
      <c r="X662" s="110">
        <v>0.67035495000112577</v>
      </c>
      <c r="Y662" s="106">
        <v>459.9634268537074</v>
      </c>
      <c r="Z662" s="106">
        <v>16.54509018036072</v>
      </c>
      <c r="AA662" s="106">
        <v>41174.607576203809</v>
      </c>
      <c r="AB662" s="106">
        <v>569.39355179572692</v>
      </c>
      <c r="AC662" s="106">
        <v>2.4286813132323175</v>
      </c>
      <c r="AD662" s="106">
        <v>38.136433270253221</v>
      </c>
      <c r="AE662" s="106">
        <v>72.313090737240074</v>
      </c>
      <c r="AF662" s="106">
        <v>5.4108920621614057E-2</v>
      </c>
      <c r="AG662" s="106">
        <v>11564</v>
      </c>
      <c r="AH662" s="106">
        <v>20207.306867732557</v>
      </c>
      <c r="AI662" s="106">
        <v>20917.600654069767</v>
      </c>
      <c r="AJ662" s="106">
        <v>23374.00163517442</v>
      </c>
      <c r="AK662" s="104">
        <v>18367.44921875</v>
      </c>
      <c r="AL662" s="118">
        <v>54797535</v>
      </c>
      <c r="AM662" s="118">
        <v>12512</v>
      </c>
      <c r="AN662" s="118">
        <v>306029</v>
      </c>
      <c r="AO662" s="118">
        <v>3428</v>
      </c>
      <c r="AP662" s="118">
        <f t="shared" si="10"/>
        <v>0</v>
      </c>
    </row>
    <row r="663" spans="1:42" ht="12.75">
      <c r="A663" s="106">
        <v>2018</v>
      </c>
      <c r="B663" s="106">
        <v>-232089</v>
      </c>
      <c r="C663" s="106">
        <v>0</v>
      </c>
      <c r="D663" s="106">
        <v>232089</v>
      </c>
      <c r="E663" s="106" t="s">
        <v>1221</v>
      </c>
      <c r="F663" s="106" t="s">
        <v>1222</v>
      </c>
      <c r="G663" s="106" t="s">
        <v>261</v>
      </c>
      <c r="H663" s="106">
        <v>7</v>
      </c>
      <c r="I663" s="106" t="s">
        <v>3641</v>
      </c>
      <c r="J663" s="106">
        <v>33025</v>
      </c>
      <c r="K663" s="106">
        <v>21969</v>
      </c>
      <c r="L663" s="106">
        <v>19577</v>
      </c>
      <c r="M663" s="106">
        <v>0.66</v>
      </c>
      <c r="N663" s="106">
        <v>0.86</v>
      </c>
      <c r="O663" s="106">
        <v>0.99</v>
      </c>
      <c r="P663" s="107">
        <v>19174</v>
      </c>
      <c r="Q663" s="106">
        <v>17444.722118959107</v>
      </c>
      <c r="R663" s="106">
        <v>0.53765253497995757</v>
      </c>
      <c r="S663" s="106">
        <v>27090.488847583641</v>
      </c>
      <c r="T663" s="106">
        <v>31233.514869888477</v>
      </c>
      <c r="U663" s="106">
        <v>23000.257434944237</v>
      </c>
      <c r="V663" s="106">
        <v>0.6522260519388885</v>
      </c>
      <c r="W663" s="106">
        <v>61865.835886214438</v>
      </c>
      <c r="X663" s="110">
        <v>0.56084479598486781</v>
      </c>
      <c r="Y663" s="106">
        <v>398.41975308641975</v>
      </c>
      <c r="Z663" s="106">
        <v>13.283950617283951</v>
      </c>
      <c r="AA663" s="106">
        <v>128229.41450777202</v>
      </c>
      <c r="AB663" s="106">
        <v>766.86530118988594</v>
      </c>
      <c r="AC663" s="106">
        <v>0.77985227011965319</v>
      </c>
      <c r="AD663" s="106">
        <v>17.155555555555555</v>
      </c>
      <c r="AE663" s="106">
        <v>167.21243523316062</v>
      </c>
      <c r="AF663" s="106">
        <v>-3.0020328259367942E-3</v>
      </c>
      <c r="AG663" s="106">
        <v>32910</v>
      </c>
      <c r="AH663" s="106">
        <v>26035.560408921934</v>
      </c>
      <c r="AI663" s="106">
        <v>28112.523234200744</v>
      </c>
      <c r="AJ663" s="106">
        <v>30974.705390334573</v>
      </c>
      <c r="AK663" s="104">
        <v>23000.257434944237</v>
      </c>
      <c r="AM663" s="118">
        <v>1137</v>
      </c>
      <c r="AN663" s="118">
        <v>32272</v>
      </c>
      <c r="AO663" s="118">
        <v>193</v>
      </c>
      <c r="AP663" s="118">
        <f t="shared" si="10"/>
        <v>115</v>
      </c>
    </row>
    <row r="664" spans="1:42" ht="12.75">
      <c r="A664" s="106">
        <v>2018</v>
      </c>
      <c r="B664" s="106">
        <v>-114549</v>
      </c>
      <c r="C664" s="106">
        <v>0</v>
      </c>
      <c r="D664" s="106">
        <v>114549</v>
      </c>
      <c r="E664" s="106" t="s">
        <v>1223</v>
      </c>
      <c r="F664" s="106" t="s">
        <v>180</v>
      </c>
      <c r="G664" s="106" t="s">
        <v>121</v>
      </c>
      <c r="H664" s="106">
        <v>5</v>
      </c>
      <c r="I664" s="106" t="s">
        <v>3639</v>
      </c>
      <c r="J664" s="106"/>
      <c r="K664" s="106"/>
      <c r="L664" s="106"/>
      <c r="M664" s="106"/>
      <c r="N664" s="106"/>
      <c r="O664" s="106"/>
      <c r="P664" s="107"/>
      <c r="Q664" s="106">
        <v>393.6633109619687</v>
      </c>
      <c r="R664" s="106">
        <v>1.7079404587404756E-2</v>
      </c>
      <c r="S664" s="106">
        <v>23618.388143176733</v>
      </c>
      <c r="T664" s="106">
        <v>24023.002237136465</v>
      </c>
      <c r="U664" s="106">
        <v>22570.622183120329</v>
      </c>
      <c r="V664" s="106">
        <v>1.0037536057552927</v>
      </c>
      <c r="W664" s="106">
        <v>90237.163106796128</v>
      </c>
      <c r="X664" s="110">
        <v>0.72128451273676741</v>
      </c>
      <c r="Y664" s="106">
        <v>253.98</v>
      </c>
      <c r="Z664" s="106">
        <v>8.94</v>
      </c>
      <c r="AA664" s="106">
        <v>66157.823710523196</v>
      </c>
      <c r="AB664" s="106">
        <v>794.47736954522304</v>
      </c>
      <c r="AC664" s="106">
        <v>1.5115370245181419</v>
      </c>
      <c r="AD664" s="106">
        <v>35.097813578826234</v>
      </c>
      <c r="AE664" s="106">
        <v>83.272131147540989</v>
      </c>
      <c r="AF664" s="106">
        <v>8.4103270815797642E-3</v>
      </c>
      <c r="AG664" s="106"/>
      <c r="AH664" s="106">
        <v>23225.935123042505</v>
      </c>
      <c r="AI664" s="106">
        <v>23618.388143176733</v>
      </c>
      <c r="AJ664" s="106">
        <v>24230.418344519017</v>
      </c>
      <c r="AK664" s="104">
        <v>24018.194630872484</v>
      </c>
      <c r="AM664" s="118"/>
      <c r="AN664" s="118">
        <v>25398</v>
      </c>
      <c r="AO664" s="118"/>
      <c r="AP664" s="118">
        <f t="shared" si="10"/>
        <v>0</v>
      </c>
    </row>
    <row r="665" spans="1:42" ht="12.75">
      <c r="A665" s="106">
        <v>2018</v>
      </c>
      <c r="B665" s="106">
        <v>-191199</v>
      </c>
      <c r="C665" s="106">
        <v>0</v>
      </c>
      <c r="D665" s="106">
        <v>191199</v>
      </c>
      <c r="E665" s="106" t="s">
        <v>1224</v>
      </c>
      <c r="F665" s="106" t="s">
        <v>1225</v>
      </c>
      <c r="G665" s="106" t="s">
        <v>69</v>
      </c>
      <c r="H665" s="106">
        <v>4</v>
      </c>
      <c r="I665" s="106" t="s">
        <v>24</v>
      </c>
      <c r="J665" s="106">
        <v>5096</v>
      </c>
      <c r="K665" s="106">
        <v>9863</v>
      </c>
      <c r="L665" s="106">
        <v>8143</v>
      </c>
      <c r="M665" s="106">
        <v>0.59</v>
      </c>
      <c r="N665" s="106">
        <v>0.49</v>
      </c>
      <c r="O665" s="106">
        <v>0.04</v>
      </c>
      <c r="P665" s="107">
        <v>527</v>
      </c>
      <c r="Q665" s="106">
        <v>56.111634830066983</v>
      </c>
      <c r="R665" s="106">
        <v>9.4353778237126224E-3</v>
      </c>
      <c r="S665" s="106">
        <v>13568.636566608782</v>
      </c>
      <c r="T665" s="106">
        <v>13965.930538327959</v>
      </c>
      <c r="U665" s="106">
        <v>11143.363856536429</v>
      </c>
      <c r="V665" s="106">
        <v>0.52864013044797764</v>
      </c>
      <c r="W665" s="106">
        <v>83098.364315352694</v>
      </c>
      <c r="X665" s="110">
        <v>0.59289200181055124</v>
      </c>
      <c r="Y665" s="106">
        <v>665.70275229357787</v>
      </c>
      <c r="Z665" s="106">
        <v>22.188990825688069</v>
      </c>
      <c r="AA665" s="106">
        <v>56859.366716073862</v>
      </c>
      <c r="AB665" s="106">
        <v>371.42703335399176</v>
      </c>
      <c r="AC665" s="106">
        <v>1.7587251806610518</v>
      </c>
      <c r="AD665" s="106">
        <v>20.626631853785902</v>
      </c>
      <c r="AE665" s="106">
        <v>153.08354430379748</v>
      </c>
      <c r="AF665" s="106">
        <v>-1.6658474865372013E-2</v>
      </c>
      <c r="AG665" s="106">
        <v>4522</v>
      </c>
      <c r="AH665" s="106">
        <v>14537.845943934508</v>
      </c>
      <c r="AI665" s="106">
        <v>14537.845943934508</v>
      </c>
      <c r="AJ665" s="106">
        <v>13568.636566608782</v>
      </c>
      <c r="AK665" s="104">
        <v>11871.677995534606</v>
      </c>
      <c r="AL665" s="119">
        <v>24229463</v>
      </c>
      <c r="AM665" s="118">
        <v>6356</v>
      </c>
      <c r="AN665" s="118">
        <v>120936</v>
      </c>
      <c r="AO665" s="118">
        <v>757</v>
      </c>
      <c r="AP665" s="118">
        <f t="shared" si="10"/>
        <v>574</v>
      </c>
    </row>
    <row r="666" spans="1:42" ht="12.75">
      <c r="A666" s="106">
        <v>2018</v>
      </c>
      <c r="B666" s="106">
        <v>-172440</v>
      </c>
      <c r="C666" s="106">
        <v>0</v>
      </c>
      <c r="D666" s="106">
        <v>172440</v>
      </c>
      <c r="E666" s="106" t="s">
        <v>1226</v>
      </c>
      <c r="F666" s="106" t="s">
        <v>1227</v>
      </c>
      <c r="G666" s="106" t="s">
        <v>74</v>
      </c>
      <c r="H666" s="106">
        <v>7</v>
      </c>
      <c r="I666" s="106" t="s">
        <v>3641</v>
      </c>
      <c r="J666" s="106">
        <v>22758</v>
      </c>
      <c r="K666" s="106">
        <v>23394</v>
      </c>
      <c r="L666" s="106">
        <v>22104</v>
      </c>
      <c r="M666" s="106">
        <v>0.51</v>
      </c>
      <c r="N666" s="106">
        <v>0.83</v>
      </c>
      <c r="O666" s="106">
        <v>1</v>
      </c>
      <c r="P666" s="106">
        <v>7029</v>
      </c>
      <c r="Q666" s="106">
        <v>6491.899721448468</v>
      </c>
      <c r="R666" s="106">
        <v>0.29594480824981045</v>
      </c>
      <c r="S666" s="106">
        <v>47579.111420612811</v>
      </c>
      <c r="T666" s="106">
        <v>35983.325905292477</v>
      </c>
      <c r="U666" s="106">
        <v>31543.667150700596</v>
      </c>
      <c r="V666" s="106">
        <v>0.48961599958486918</v>
      </c>
      <c r="W666" s="106">
        <v>53047.009685230027</v>
      </c>
      <c r="X666" s="110">
        <v>0.56531948331995929</v>
      </c>
      <c r="Y666" s="106">
        <v>240.82835820895522</v>
      </c>
      <c r="Z666" s="106">
        <v>8.0373134328358216</v>
      </c>
      <c r="AA666" s="106">
        <v>164118.50010292049</v>
      </c>
      <c r="AB666" s="106">
        <v>1052.7262719253986</v>
      </c>
      <c r="AC666" s="106">
        <v>0.60931582933848971</v>
      </c>
      <c r="AD666" s="106">
        <v>19.060773480662984</v>
      </c>
      <c r="AE666" s="106">
        <v>155.89855072463769</v>
      </c>
      <c r="AF666" s="106">
        <v>0.28663849649289541</v>
      </c>
      <c r="AG666" s="106">
        <v>22258</v>
      </c>
      <c r="AH666" s="106">
        <v>23757.314763231199</v>
      </c>
      <c r="AI666" s="106">
        <v>47579.111420612811</v>
      </c>
      <c r="AJ666" s="106">
        <v>47367.699164345402</v>
      </c>
      <c r="AK666" s="104">
        <v>32446.654596100278</v>
      </c>
      <c r="AL666" s="118"/>
      <c r="AM666" s="118">
        <v>402</v>
      </c>
      <c r="AN666" s="118">
        <v>10757</v>
      </c>
      <c r="AO666" s="118">
        <v>69</v>
      </c>
      <c r="AP666" s="118">
        <f t="shared" si="10"/>
        <v>500</v>
      </c>
    </row>
    <row r="667" spans="1:42" ht="12.75">
      <c r="A667" s="106">
        <v>2018</v>
      </c>
      <c r="B667" s="106">
        <v>-165802</v>
      </c>
      <c r="C667" s="106">
        <v>0</v>
      </c>
      <c r="D667" s="106">
        <v>165802</v>
      </c>
      <c r="E667" s="106" t="s">
        <v>1228</v>
      </c>
      <c r="F667" s="106" t="s">
        <v>425</v>
      </c>
      <c r="G667" s="106" t="s">
        <v>150</v>
      </c>
      <c r="H667" s="106">
        <v>7</v>
      </c>
      <c r="I667" s="106" t="s">
        <v>3641</v>
      </c>
      <c r="J667" s="106">
        <v>30499</v>
      </c>
      <c r="K667" s="106">
        <v>25668</v>
      </c>
      <c r="L667" s="106">
        <v>21914</v>
      </c>
      <c r="M667" s="106">
        <v>0.61</v>
      </c>
      <c r="N667" s="106">
        <v>0.88</v>
      </c>
      <c r="O667" s="106">
        <v>0.96</v>
      </c>
      <c r="P667" s="106">
        <v>18272</v>
      </c>
      <c r="Q667" s="106">
        <v>7431.6062992125981</v>
      </c>
      <c r="R667" s="106">
        <v>0.39331768527071498</v>
      </c>
      <c r="S667" s="106">
        <v>17154.901574803149</v>
      </c>
      <c r="T667" s="106">
        <v>16297.690288713911</v>
      </c>
      <c r="U667" s="106">
        <v>13934.120078740158</v>
      </c>
      <c r="V667" s="106">
        <v>0.82266118323292881</v>
      </c>
      <c r="W667" s="106">
        <v>65073.267272727273</v>
      </c>
      <c r="X667" s="110">
        <v>0.48032259856798221</v>
      </c>
      <c r="Y667" s="106">
        <v>491.66425992779779</v>
      </c>
      <c r="Z667" s="106">
        <v>16.505415162454874</v>
      </c>
      <c r="AA667" s="106">
        <v>58987.775000000001</v>
      </c>
      <c r="AB667" s="106">
        <v>467.77538163314756</v>
      </c>
      <c r="AC667" s="106">
        <v>1.6952665192067338</v>
      </c>
      <c r="AD667" s="106">
        <v>29.580936729663105</v>
      </c>
      <c r="AE667" s="106">
        <v>126.10277777777777</v>
      </c>
      <c r="AF667" s="106">
        <v>0.42437735869165927</v>
      </c>
      <c r="AG667" s="106">
        <v>29504</v>
      </c>
      <c r="AH667" s="106">
        <v>16434.287401574802</v>
      </c>
      <c r="AI667" s="106">
        <v>17154.901574803149</v>
      </c>
      <c r="AJ667" s="106">
        <v>24971.940944881891</v>
      </c>
      <c r="AK667" s="104">
        <v>13934.120078740158</v>
      </c>
      <c r="AM667" s="118">
        <v>1882</v>
      </c>
      <c r="AN667" s="118">
        <v>45397</v>
      </c>
      <c r="AO667" s="118">
        <v>321</v>
      </c>
      <c r="AP667" s="118">
        <f t="shared" si="10"/>
        <v>995</v>
      </c>
    </row>
    <row r="668" spans="1:42" ht="12.75">
      <c r="A668" s="106">
        <v>2018</v>
      </c>
      <c r="B668" s="106">
        <v>-220181</v>
      </c>
      <c r="C668" s="106">
        <v>0</v>
      </c>
      <c r="D668" s="106">
        <v>220181</v>
      </c>
      <c r="E668" s="106" t="s">
        <v>1229</v>
      </c>
      <c r="F668" s="106" t="s">
        <v>331</v>
      </c>
      <c r="G668" s="106" t="s">
        <v>255</v>
      </c>
      <c r="H668" s="106">
        <v>7</v>
      </c>
      <c r="I668" s="106" t="s">
        <v>3641</v>
      </c>
      <c r="J668" s="106">
        <v>21480</v>
      </c>
      <c r="K668" s="106">
        <v>25268</v>
      </c>
      <c r="L668" s="106">
        <v>26914</v>
      </c>
      <c r="M668" s="106">
        <v>0.78</v>
      </c>
      <c r="N668" s="106">
        <v>0.93</v>
      </c>
      <c r="O668" s="106">
        <v>0.93</v>
      </c>
      <c r="P668" s="106">
        <v>8601</v>
      </c>
      <c r="Q668" s="106">
        <v>13162.498376623376</v>
      </c>
      <c r="R668" s="106">
        <v>0.51338403962455803</v>
      </c>
      <c r="S668" s="106">
        <v>45212.829545454544</v>
      </c>
      <c r="T668" s="106">
        <v>46569.740259740262</v>
      </c>
      <c r="U668" s="106">
        <v>27772.120096271366</v>
      </c>
      <c r="V668" s="106">
        <v>0.4492346868757674</v>
      </c>
      <c r="W668" s="106">
        <v>62993.008143322477</v>
      </c>
      <c r="X668" s="110">
        <v>0.44942262965472812</v>
      </c>
      <c r="Y668" s="106">
        <v>251.64383561643837</v>
      </c>
      <c r="Z668" s="106">
        <v>8.4383561643835616</v>
      </c>
      <c r="AA668" s="106">
        <v>121330.68070427775</v>
      </c>
      <c r="AB668" s="106">
        <v>931.2806738869441</v>
      </c>
      <c r="AC668" s="106">
        <v>0.82419384297144482</v>
      </c>
      <c r="AD668" s="106">
        <v>20.704845814977972</v>
      </c>
      <c r="AE668" s="106">
        <v>130.28368794326241</v>
      </c>
      <c r="AF668" s="106">
        <v>7.8193411469780353E-4</v>
      </c>
      <c r="AG668" s="106">
        <v>19624</v>
      </c>
      <c r="AH668" s="106">
        <v>32111.792207792209</v>
      </c>
      <c r="AI668" s="106">
        <v>46234.009740259738</v>
      </c>
      <c r="AJ668" s="106">
        <v>46707.155844155845</v>
      </c>
      <c r="AK668" s="104">
        <v>37567.756493506495</v>
      </c>
      <c r="AL668" s="118"/>
      <c r="AM668" s="118">
        <v>664</v>
      </c>
      <c r="AN668" s="118">
        <v>18370</v>
      </c>
      <c r="AO668" s="118">
        <v>132</v>
      </c>
      <c r="AP668" s="118">
        <f t="shared" si="10"/>
        <v>1856</v>
      </c>
    </row>
    <row r="669" spans="1:42" ht="12.75">
      <c r="A669" s="106">
        <v>2018</v>
      </c>
      <c r="B669" s="106">
        <v>-165820</v>
      </c>
      <c r="C669" s="106">
        <v>0</v>
      </c>
      <c r="D669" s="106">
        <v>165820</v>
      </c>
      <c r="E669" s="106" t="s">
        <v>1230</v>
      </c>
      <c r="F669" s="106" t="s">
        <v>1231</v>
      </c>
      <c r="G669" s="106" t="s">
        <v>150</v>
      </c>
      <c r="H669" s="106">
        <v>2</v>
      </c>
      <c r="I669" s="106" t="s">
        <v>25</v>
      </c>
      <c r="J669" s="106">
        <v>10155</v>
      </c>
      <c r="K669" s="106">
        <v>15309</v>
      </c>
      <c r="L669" s="106">
        <v>12689</v>
      </c>
      <c r="M669" s="106">
        <v>0.47</v>
      </c>
      <c r="N669" s="106">
        <v>0.78</v>
      </c>
      <c r="O669" s="106">
        <v>0.56000000000000005</v>
      </c>
      <c r="P669" s="107">
        <v>2013</v>
      </c>
      <c r="Q669" s="106">
        <v>967.21171254387582</v>
      </c>
      <c r="R669" s="106">
        <v>0.11031499247624907</v>
      </c>
      <c r="S669" s="106">
        <v>19265.183077775724</v>
      </c>
      <c r="T669" s="106">
        <v>19127.88989469795</v>
      </c>
      <c r="U669" s="106">
        <v>16356.46664498867</v>
      </c>
      <c r="V669" s="106">
        <v>0.4769070989262692</v>
      </c>
      <c r="W669" s="106">
        <v>90222.725256895617</v>
      </c>
      <c r="X669" s="110">
        <v>0.53706457534546215</v>
      </c>
      <c r="Y669" s="106">
        <v>542.44708680142696</v>
      </c>
      <c r="Z669" s="106">
        <v>19.309155766944116</v>
      </c>
      <c r="AA669" s="106">
        <v>69332.461980676322</v>
      </c>
      <c r="AB669" s="106">
        <v>582.23109669040855</v>
      </c>
      <c r="AC669" s="106">
        <v>1.4423258188620367</v>
      </c>
      <c r="AD669" s="106">
        <v>23.58264081255771</v>
      </c>
      <c r="AE669" s="106">
        <v>119.08065779169929</v>
      </c>
      <c r="AF669" s="106">
        <v>1.8990328813029707E-2</v>
      </c>
      <c r="AG669" s="106">
        <v>970</v>
      </c>
      <c r="AH669" s="106">
        <v>19192.347681507483</v>
      </c>
      <c r="AI669" s="106">
        <v>19192.366155551452</v>
      </c>
      <c r="AJ669" s="106">
        <v>19455.534454092001</v>
      </c>
      <c r="AK669" s="104">
        <v>17120.681322741548</v>
      </c>
      <c r="AL669" s="118">
        <v>39403569</v>
      </c>
      <c r="AM669" s="118">
        <v>4117</v>
      </c>
      <c r="AN669" s="118">
        <v>152066</v>
      </c>
      <c r="AO669" s="118">
        <v>821</v>
      </c>
      <c r="AP669" s="118">
        <f t="shared" si="10"/>
        <v>9185</v>
      </c>
    </row>
    <row r="670" spans="1:42" ht="12.75">
      <c r="A670" s="106">
        <v>2018</v>
      </c>
      <c r="B670" s="106">
        <v>2465</v>
      </c>
      <c r="C670" s="106">
        <v>1</v>
      </c>
      <c r="D670" s="106">
        <v>133711</v>
      </c>
      <c r="E670" s="106" t="s">
        <v>3849</v>
      </c>
      <c r="F670" s="106" t="s">
        <v>1232</v>
      </c>
      <c r="G670" s="106" t="s">
        <v>258</v>
      </c>
      <c r="H670" s="106">
        <v>7</v>
      </c>
      <c r="I670" s="106" t="s">
        <v>3641</v>
      </c>
      <c r="J670" s="106">
        <v>18200</v>
      </c>
      <c r="K670" s="106">
        <v>23776</v>
      </c>
      <c r="L670" s="106">
        <v>19564</v>
      </c>
      <c r="M670" s="106">
        <v>0.3</v>
      </c>
      <c r="N670" s="106">
        <v>0.69</v>
      </c>
      <c r="O670" s="106">
        <v>0.93</v>
      </c>
      <c r="P670" s="106">
        <v>4967</v>
      </c>
      <c r="Q670" s="106">
        <v>3255.2842211732973</v>
      </c>
      <c r="R670" s="106">
        <v>0.19236986904658299</v>
      </c>
      <c r="S670" s="106">
        <v>19974.754888739044</v>
      </c>
      <c r="T670" s="106">
        <v>21426.994268374914</v>
      </c>
      <c r="U670" s="106">
        <v>16742.17262306136</v>
      </c>
      <c r="V670" s="106">
        <v>0.81630519703816262</v>
      </c>
      <c r="W670" s="106">
        <v>77105.055690072637</v>
      </c>
      <c r="X670" s="110">
        <v>0.50107242889791925</v>
      </c>
      <c r="Y670" s="106">
        <v>470.27513227513225</v>
      </c>
      <c r="Z670" s="106">
        <v>15.693121693121693</v>
      </c>
      <c r="AA670" s="106">
        <v>61533.189591078066</v>
      </c>
      <c r="AB670" s="106">
        <v>558.68774330010581</v>
      </c>
      <c r="AC670" s="106">
        <v>1.6251392242878204</v>
      </c>
      <c r="AD670" s="106">
        <v>26.546052631578949</v>
      </c>
      <c r="AE670" s="106">
        <v>110.13878562577447</v>
      </c>
      <c r="AF670" s="106">
        <v>4.7664876249716142E-3</v>
      </c>
      <c r="AG670" s="106">
        <v>18200</v>
      </c>
      <c r="AH670" s="106">
        <v>18986.695212407281</v>
      </c>
      <c r="AI670" s="106">
        <v>19772.312879298719</v>
      </c>
      <c r="AJ670" s="106">
        <v>21892.945043830074</v>
      </c>
      <c r="AK670" s="104">
        <v>16944.614632501685</v>
      </c>
      <c r="AL670" s="118"/>
      <c r="AM670" s="118">
        <v>3100</v>
      </c>
      <c r="AN670" s="118">
        <v>88882</v>
      </c>
      <c r="AO670" s="118">
        <v>802</v>
      </c>
      <c r="AP670" s="118">
        <f t="shared" si="10"/>
        <v>0</v>
      </c>
    </row>
    <row r="671" spans="1:42" ht="12.75">
      <c r="A671" s="106">
        <v>2018</v>
      </c>
      <c r="B671" s="106">
        <v>-180197</v>
      </c>
      <c r="C671" s="106">
        <v>0</v>
      </c>
      <c r="D671" s="106">
        <v>180197</v>
      </c>
      <c r="E671" s="106" t="s">
        <v>1233</v>
      </c>
      <c r="F671" s="106" t="s">
        <v>1234</v>
      </c>
      <c r="G671" s="106" t="s">
        <v>608</v>
      </c>
      <c r="H671" s="106">
        <v>4</v>
      </c>
      <c r="I671" s="106" t="s">
        <v>24</v>
      </c>
      <c r="J671" s="106">
        <v>4638</v>
      </c>
      <c r="K671" s="106">
        <v>9499</v>
      </c>
      <c r="L671" s="106">
        <v>7904</v>
      </c>
      <c r="M671" s="106">
        <v>0.43</v>
      </c>
      <c r="N671" s="106">
        <v>0.24</v>
      </c>
      <c r="O671" s="106">
        <v>0.33</v>
      </c>
      <c r="P671" s="107">
        <v>2549</v>
      </c>
      <c r="Q671" s="106">
        <v>687.24624829467939</v>
      </c>
      <c r="R671" s="106">
        <v>0.13169228460663598</v>
      </c>
      <c r="S671" s="106">
        <v>23164.362210095496</v>
      </c>
      <c r="T671" s="106">
        <v>22661.738062755798</v>
      </c>
      <c r="U671" s="106">
        <v>15870.268911236801</v>
      </c>
      <c r="V671" s="106">
        <v>0.28552321169932071</v>
      </c>
      <c r="W671" s="106">
        <v>73101.679746835449</v>
      </c>
      <c r="X671" s="110">
        <v>0.57943671124059914</v>
      </c>
      <c r="Y671" s="106">
        <v>343.625</v>
      </c>
      <c r="Z671" s="106">
        <v>11.453125</v>
      </c>
      <c r="AA671" s="106">
        <v>62208.059422120721</v>
      </c>
      <c r="AB671" s="106">
        <v>528.96085448965869</v>
      </c>
      <c r="AC671" s="106">
        <v>1.6075087525466314</v>
      </c>
      <c r="AD671" s="106">
        <v>27.339181286549707</v>
      </c>
      <c r="AE671" s="106">
        <v>117.60427807486631</v>
      </c>
      <c r="AF671" s="106">
        <v>5.4342962018814188E-2</v>
      </c>
      <c r="AG671" s="106">
        <v>3380</v>
      </c>
      <c r="AH671" s="106">
        <v>21343.515688949523</v>
      </c>
      <c r="AI671" s="106">
        <v>21343.515688949523</v>
      </c>
      <c r="AJ671" s="106">
        <v>23295.188949522511</v>
      </c>
      <c r="AK671" s="104">
        <v>18040.877899045019</v>
      </c>
      <c r="AL671" s="118">
        <v>15633378</v>
      </c>
      <c r="AM671" s="118">
        <v>2307</v>
      </c>
      <c r="AN671" s="118">
        <v>43984</v>
      </c>
      <c r="AO671" s="118">
        <v>327</v>
      </c>
      <c r="AP671" s="118">
        <f t="shared" si="10"/>
        <v>1258</v>
      </c>
    </row>
    <row r="672" spans="1:42" ht="12.75">
      <c r="A672" s="106">
        <v>2018</v>
      </c>
      <c r="B672" s="106">
        <v>-155052</v>
      </c>
      <c r="C672" s="106">
        <v>0</v>
      </c>
      <c r="D672" s="106">
        <v>155052</v>
      </c>
      <c r="E672" s="106" t="s">
        <v>1235</v>
      </c>
      <c r="F672" s="106" t="s">
        <v>1182</v>
      </c>
      <c r="G672" s="106" t="s">
        <v>129</v>
      </c>
      <c r="H672" s="106">
        <v>4</v>
      </c>
      <c r="I672" s="106" t="s">
        <v>24</v>
      </c>
      <c r="J672" s="106">
        <v>6552</v>
      </c>
      <c r="K672" s="106">
        <v>15509</v>
      </c>
      <c r="L672" s="106">
        <v>13185</v>
      </c>
      <c r="M672" s="106">
        <v>0.51</v>
      </c>
      <c r="N672" s="106">
        <v>0.45</v>
      </c>
      <c r="O672" s="106">
        <v>0.36</v>
      </c>
      <c r="P672" s="106">
        <v>1366</v>
      </c>
      <c r="Q672" s="106">
        <v>504.16007194244605</v>
      </c>
      <c r="R672" s="106">
        <v>7.4273633314591345E-2</v>
      </c>
      <c r="S672" s="106">
        <v>14835.663669064748</v>
      </c>
      <c r="T672" s="106">
        <v>13944.886690647481</v>
      </c>
      <c r="U672" s="106">
        <v>10887.611510791367</v>
      </c>
      <c r="V672" s="106">
        <v>0.57714348298970908</v>
      </c>
      <c r="W672" s="106">
        <v>62063.075892857138</v>
      </c>
      <c r="X672" s="110">
        <v>0.59768213949131965</v>
      </c>
      <c r="Y672" s="106">
        <v>391.1484375</v>
      </c>
      <c r="Z672" s="106">
        <v>13.03125</v>
      </c>
      <c r="AA672" s="106">
        <v>15248.141057934508</v>
      </c>
      <c r="AB672" s="106">
        <v>362.72466894361554</v>
      </c>
      <c r="AC672" s="106">
        <v>6.5581764767295407</v>
      </c>
      <c r="AD672" s="106">
        <v>68.096054888507723</v>
      </c>
      <c r="AE672" s="106">
        <v>42.037783375314859</v>
      </c>
      <c r="AF672" s="106">
        <v>0.11178939626138347</v>
      </c>
      <c r="AG672" s="106">
        <v>4512</v>
      </c>
      <c r="AH672" s="106">
        <v>13182.839928057554</v>
      </c>
      <c r="AI672" s="106">
        <v>14208.491007194245</v>
      </c>
      <c r="AJ672" s="106">
        <v>14844.237410071943</v>
      </c>
      <c r="AK672" s="104">
        <v>11613.821942446044</v>
      </c>
      <c r="AL672" s="118">
        <v>2806008</v>
      </c>
      <c r="AM672" s="118">
        <v>1137</v>
      </c>
      <c r="AN672" s="118">
        <v>16689</v>
      </c>
      <c r="AO672" s="118">
        <v>109</v>
      </c>
      <c r="AP672" s="118">
        <f t="shared" si="10"/>
        <v>2040</v>
      </c>
    </row>
    <row r="673" spans="1:42" ht="12.75">
      <c r="A673" s="106">
        <v>2018</v>
      </c>
      <c r="B673" s="106">
        <v>-218025</v>
      </c>
      <c r="C673" s="106">
        <v>0</v>
      </c>
      <c r="D673" s="106">
        <v>218025</v>
      </c>
      <c r="E673" s="106" t="s">
        <v>1236</v>
      </c>
      <c r="F673" s="106" t="s">
        <v>1237</v>
      </c>
      <c r="G673" s="106" t="s">
        <v>79</v>
      </c>
      <c r="H673" s="106">
        <v>4</v>
      </c>
      <c r="I673" s="106" t="s">
        <v>24</v>
      </c>
      <c r="J673" s="106">
        <v>4270</v>
      </c>
      <c r="K673" s="106">
        <v>5604</v>
      </c>
      <c r="L673" s="106">
        <v>7314</v>
      </c>
      <c r="M673" s="106">
        <v>0.68</v>
      </c>
      <c r="N673" s="106">
        <v>0.21</v>
      </c>
      <c r="O673" s="106">
        <v>0.04</v>
      </c>
      <c r="P673" s="107">
        <v>666</v>
      </c>
      <c r="Q673" s="106">
        <v>264.89036913683043</v>
      </c>
      <c r="R673" s="106">
        <v>4.3906878589429876E-2</v>
      </c>
      <c r="S673" s="106">
        <v>13880.870108243131</v>
      </c>
      <c r="T673" s="106">
        <v>15024.409381071329</v>
      </c>
      <c r="U673" s="106">
        <v>12593.497640854843</v>
      </c>
      <c r="V673" s="106">
        <v>0.45802315456839821</v>
      </c>
      <c r="W673" s="106">
        <v>86560.025540275048</v>
      </c>
      <c r="X673" s="110">
        <v>0.54260304727174746</v>
      </c>
      <c r="Y673" s="106">
        <v>684.14556962025313</v>
      </c>
      <c r="Z673" s="106">
        <v>22.803797468354432</v>
      </c>
      <c r="AA673" s="106">
        <v>55811.035670356701</v>
      </c>
      <c r="AB673" s="106">
        <v>419.76383736528055</v>
      </c>
      <c r="AC673" s="106">
        <v>1.791760335548005</v>
      </c>
      <c r="AD673" s="106">
        <v>25.327102803738317</v>
      </c>
      <c r="AE673" s="106">
        <v>132.9581795817958</v>
      </c>
      <c r="AF673" s="106">
        <v>-0.25099187403111001</v>
      </c>
      <c r="AG673" s="106">
        <v>4104</v>
      </c>
      <c r="AH673" s="106">
        <v>14236.108520677213</v>
      </c>
      <c r="AI673" s="106">
        <v>14282.686650013877</v>
      </c>
      <c r="AJ673" s="106">
        <v>13927.043019705801</v>
      </c>
      <c r="AK673" s="104">
        <v>14081.47515958923</v>
      </c>
      <c r="AL673" s="119">
        <v>16520396</v>
      </c>
      <c r="AM673" s="118">
        <v>5439</v>
      </c>
      <c r="AN673" s="118">
        <v>108095</v>
      </c>
      <c r="AO673" s="118">
        <v>459</v>
      </c>
      <c r="AP673" s="118">
        <f t="shared" si="10"/>
        <v>166</v>
      </c>
    </row>
    <row r="674" spans="1:42" ht="12.75">
      <c r="A674" s="106">
        <v>2018</v>
      </c>
      <c r="B674" s="106">
        <v>-133650</v>
      </c>
      <c r="C674" s="106">
        <v>0</v>
      </c>
      <c r="D674" s="106">
        <v>133650</v>
      </c>
      <c r="E674" s="106" t="s">
        <v>1238</v>
      </c>
      <c r="F674" s="106" t="s">
        <v>1239</v>
      </c>
      <c r="G674" s="106" t="s">
        <v>258</v>
      </c>
      <c r="H674" s="106">
        <v>1</v>
      </c>
      <c r="I674" s="106" t="s">
        <v>23</v>
      </c>
      <c r="J674" s="106">
        <v>5785</v>
      </c>
      <c r="K674" s="106">
        <v>14692</v>
      </c>
      <c r="L674" s="106">
        <v>13440</v>
      </c>
      <c r="M674" s="106">
        <v>0.71</v>
      </c>
      <c r="N674" s="106">
        <v>0.75</v>
      </c>
      <c r="O674" s="106">
        <v>0.49</v>
      </c>
      <c r="P674" s="106">
        <v>3986</v>
      </c>
      <c r="Q674" s="107">
        <v>2786.4571101394963</v>
      </c>
      <c r="R674" s="106">
        <v>0.33412991783000395</v>
      </c>
      <c r="S674" s="106">
        <v>27908.960961898814</v>
      </c>
      <c r="T674" s="106">
        <v>30274.70757859671</v>
      </c>
      <c r="U674" s="106">
        <v>16354.537318045366</v>
      </c>
      <c r="V674" s="106">
        <v>0.33953788489277886</v>
      </c>
      <c r="W674" s="106">
        <v>90847.300504071347</v>
      </c>
      <c r="X674" s="110">
        <v>0.53709309707344577</v>
      </c>
      <c r="Y674" s="106">
        <v>373.97840281265695</v>
      </c>
      <c r="Z674" s="106">
        <v>14.474133601205425</v>
      </c>
      <c r="AA674" s="106">
        <v>80938.529354530547</v>
      </c>
      <c r="AB674" s="106">
        <v>632.97173405457681</v>
      </c>
      <c r="AC674" s="106">
        <v>1.2355055224931941</v>
      </c>
      <c r="AD674" s="106">
        <v>21.397861316282661</v>
      </c>
      <c r="AE674" s="106">
        <v>127.87068521380732</v>
      </c>
      <c r="AF674" s="106">
        <v>-2.9620551434430202E-2</v>
      </c>
      <c r="AG674" s="106">
        <v>3152</v>
      </c>
      <c r="AH674" s="106">
        <v>25490.86310639184</v>
      </c>
      <c r="AI674" s="106">
        <v>26048.548094940663</v>
      </c>
      <c r="AJ674" s="106">
        <v>27983.15032271497</v>
      </c>
      <c r="AK674" s="104">
        <v>24550.3914220279</v>
      </c>
      <c r="AL674" s="118">
        <v>103219776</v>
      </c>
      <c r="AM674" s="118">
        <v>8024</v>
      </c>
      <c r="AN674" s="118">
        <v>248197</v>
      </c>
      <c r="AO674" s="118">
        <v>1298</v>
      </c>
      <c r="AP674" s="118">
        <f t="shared" si="10"/>
        <v>2633</v>
      </c>
    </row>
    <row r="675" spans="1:42" ht="12.75">
      <c r="A675" s="106">
        <v>2018</v>
      </c>
      <c r="B675" s="106">
        <v>-133669</v>
      </c>
      <c r="C675" s="106">
        <v>0</v>
      </c>
      <c r="D675" s="106">
        <v>133669</v>
      </c>
      <c r="E675" s="106" t="s">
        <v>1240</v>
      </c>
      <c r="F675" s="106" t="s">
        <v>1202</v>
      </c>
      <c r="G675" s="106" t="s">
        <v>258</v>
      </c>
      <c r="H675" s="106">
        <v>1</v>
      </c>
      <c r="I675" s="106" t="s">
        <v>23</v>
      </c>
      <c r="J675" s="106">
        <v>4831</v>
      </c>
      <c r="K675" s="106">
        <v>9486</v>
      </c>
      <c r="L675" s="106">
        <v>5175</v>
      </c>
      <c r="M675" s="106">
        <v>0.39</v>
      </c>
      <c r="N675" s="106">
        <v>0.38</v>
      </c>
      <c r="O675" s="106">
        <v>0.51</v>
      </c>
      <c r="P675" s="106">
        <v>4769</v>
      </c>
      <c r="Q675" s="106">
        <v>2205.3348807931388</v>
      </c>
      <c r="R675" s="106">
        <v>0.25008283308730606</v>
      </c>
      <c r="S675" s="106">
        <v>22714.180502006453</v>
      </c>
      <c r="T675" s="106">
        <v>23634.463726493035</v>
      </c>
      <c r="U675" s="106">
        <v>12040.448846449008</v>
      </c>
      <c r="V675" s="106">
        <v>0.54923889463456865</v>
      </c>
      <c r="W675" s="106">
        <v>121154.31666666667</v>
      </c>
      <c r="X675" s="110">
        <v>0.62922556388583162</v>
      </c>
      <c r="Y675" s="106">
        <v>684.76426566884936</v>
      </c>
      <c r="Z675" s="106">
        <v>23.777362020579982</v>
      </c>
      <c r="AA675" s="106">
        <v>37308.805166285609</v>
      </c>
      <c r="AB675" s="106">
        <v>418.08564708419232</v>
      </c>
      <c r="AC675" s="106">
        <v>2.6803324189638151</v>
      </c>
      <c r="AD675" s="106">
        <v>35.486243294687661</v>
      </c>
      <c r="AE675" s="106">
        <v>89.237230281604297</v>
      </c>
      <c r="AF675" s="106">
        <v>4.3986623838158387E-3</v>
      </c>
      <c r="AG675" s="106">
        <v>2522</v>
      </c>
      <c r="AH675" s="106">
        <v>21305.142182705171</v>
      </c>
      <c r="AI675" s="106">
        <v>21305.142182705171</v>
      </c>
      <c r="AJ675" s="106">
        <v>22892.165709339839</v>
      </c>
      <c r="AK675" s="104">
        <v>17907.029742702023</v>
      </c>
      <c r="AL675" s="118">
        <v>191156393</v>
      </c>
      <c r="AM675" s="118">
        <v>25030</v>
      </c>
      <c r="AN675" s="118">
        <v>732013</v>
      </c>
      <c r="AO675" s="118">
        <v>6052</v>
      </c>
      <c r="AP675" s="118">
        <f t="shared" si="10"/>
        <v>2309</v>
      </c>
    </row>
    <row r="676" spans="1:42" ht="12.75">
      <c r="A676" s="106">
        <v>2018</v>
      </c>
      <c r="B676" s="106">
        <v>-133809</v>
      </c>
      <c r="C676" s="106">
        <v>0</v>
      </c>
      <c r="D676" s="106">
        <v>133809</v>
      </c>
      <c r="E676" s="106" t="s">
        <v>1241</v>
      </c>
      <c r="F676" s="106" t="s">
        <v>1242</v>
      </c>
      <c r="G676" s="106" t="s">
        <v>258</v>
      </c>
      <c r="H676" s="106">
        <v>7</v>
      </c>
      <c r="I676" s="106" t="s">
        <v>3641</v>
      </c>
      <c r="J676" s="106">
        <v>17142</v>
      </c>
      <c r="K676" s="106">
        <v>21148</v>
      </c>
      <c r="L676" s="106">
        <v>16646</v>
      </c>
      <c r="M676" s="106">
        <v>0.37</v>
      </c>
      <c r="N676" s="106">
        <v>0.66</v>
      </c>
      <c r="O676" s="106">
        <v>0.88</v>
      </c>
      <c r="P676" s="106">
        <v>5401</v>
      </c>
      <c r="Q676" s="106">
        <v>7540.8555798687094</v>
      </c>
      <c r="R676" s="106">
        <v>0.35462172352629623</v>
      </c>
      <c r="S676" s="106">
        <v>40478.21444201313</v>
      </c>
      <c r="T676" s="106">
        <v>41374.724288840262</v>
      </c>
      <c r="U676" s="106">
        <v>23702.242888402627</v>
      </c>
      <c r="V676" s="106">
        <v>0.57900216258882886</v>
      </c>
      <c r="W676" s="106">
        <v>69106.212121212127</v>
      </c>
      <c r="X676" s="110">
        <v>0.36182699942231561</v>
      </c>
      <c r="Y676" s="106">
        <v>345.47899159663865</v>
      </c>
      <c r="Z676" s="106">
        <v>11.521008403361344</v>
      </c>
      <c r="AA676" s="106">
        <v>68556.487341772154</v>
      </c>
      <c r="AB676" s="106">
        <v>790.42068009340335</v>
      </c>
      <c r="AC676" s="106">
        <v>1.458651163112743</v>
      </c>
      <c r="AD676" s="106">
        <v>31.85483870967742</v>
      </c>
      <c r="AE676" s="106">
        <v>86.734177215189874</v>
      </c>
      <c r="AF676" s="106">
        <v>2.5596214824828128E-2</v>
      </c>
      <c r="AG676" s="106">
        <v>16142</v>
      </c>
      <c r="AH676" s="106">
        <v>25505.69146608315</v>
      </c>
      <c r="AI676" s="106">
        <v>36858.477024070024</v>
      </c>
      <c r="AJ676" s="106">
        <v>43879.275711159738</v>
      </c>
      <c r="AK676" s="104">
        <v>30835.956236323851</v>
      </c>
      <c r="AM676" s="118">
        <v>508</v>
      </c>
      <c r="AN676" s="118">
        <v>13704</v>
      </c>
      <c r="AO676" s="118">
        <v>158</v>
      </c>
      <c r="AP676" s="118">
        <f t="shared" si="10"/>
        <v>1000</v>
      </c>
    </row>
    <row r="677" spans="1:42" ht="12.75">
      <c r="A677" s="106">
        <v>2018</v>
      </c>
      <c r="B677" s="106">
        <v>-135160</v>
      </c>
      <c r="C677" s="106">
        <v>0</v>
      </c>
      <c r="D677" s="106">
        <v>135160</v>
      </c>
      <c r="E677" s="106" t="s">
        <v>1243</v>
      </c>
      <c r="F677" s="106" t="s">
        <v>1244</v>
      </c>
      <c r="G677" s="106" t="s">
        <v>258</v>
      </c>
      <c r="H677" s="106">
        <v>4</v>
      </c>
      <c r="I677" s="106" t="s">
        <v>24</v>
      </c>
      <c r="J677" s="106">
        <v>3100</v>
      </c>
      <c r="K677" s="106">
        <v>3599</v>
      </c>
      <c r="L677" s="106">
        <v>1224</v>
      </c>
      <c r="M677" s="106">
        <v>0.53</v>
      </c>
      <c r="N677" s="106">
        <v>0.28000000000000003</v>
      </c>
      <c r="O677" s="106">
        <v>0.33</v>
      </c>
      <c r="P677" s="108">
        <v>1021</v>
      </c>
      <c r="Q677" s="108">
        <v>92.473751600512159</v>
      </c>
      <c r="R677" s="106">
        <v>3.4711362649999605E-2</v>
      </c>
      <c r="S677" s="106">
        <v>11355.916773367477</v>
      </c>
      <c r="T677" s="106">
        <v>12818.835253947929</v>
      </c>
      <c r="U677" s="106">
        <v>10252.924402938896</v>
      </c>
      <c r="V677" s="106">
        <v>0.25081658644137417</v>
      </c>
      <c r="W677" s="106">
        <v>66445.920779220774</v>
      </c>
      <c r="X677" s="110">
        <v>0.56782817750675052</v>
      </c>
      <c r="Y677" s="106">
        <v>631.09828220858901</v>
      </c>
      <c r="Z677" s="106">
        <v>21.561349693251536</v>
      </c>
      <c r="AA677" s="106">
        <v>24022.601876085831</v>
      </c>
      <c r="AB677" s="106">
        <v>350.28916202495901</v>
      </c>
      <c r="AC677" s="106">
        <v>4.1627464217166503</v>
      </c>
      <c r="AD677" s="106">
        <v>52.083333333333336</v>
      </c>
      <c r="AE677" s="106">
        <v>68.579346666666666</v>
      </c>
      <c r="AF677" s="106">
        <v>6.7913002350048171E-2</v>
      </c>
      <c r="AG677" s="106">
        <v>2369</v>
      </c>
      <c r="AH677" s="106">
        <v>10127.980793854033</v>
      </c>
      <c r="AI677" s="106">
        <v>10477.072129748187</v>
      </c>
      <c r="AJ677" s="106">
        <v>11398.405463081519</v>
      </c>
      <c r="AK677" s="104">
        <v>11757.404609475032</v>
      </c>
      <c r="AL677" s="119">
        <v>13842612</v>
      </c>
      <c r="AM677" s="118">
        <v>3292</v>
      </c>
      <c r="AN677" s="118">
        <v>68579.346666666665</v>
      </c>
      <c r="AO677" s="118">
        <v>578</v>
      </c>
      <c r="AP677" s="118">
        <f t="shared" si="10"/>
        <v>731</v>
      </c>
    </row>
    <row r="678" spans="1:42" ht="12.75">
      <c r="A678" s="106">
        <v>2018</v>
      </c>
      <c r="B678" s="106">
        <v>-433660</v>
      </c>
      <c r="C678" s="106">
        <v>0</v>
      </c>
      <c r="D678" s="106">
        <v>433660</v>
      </c>
      <c r="E678" s="106" t="s">
        <v>1245</v>
      </c>
      <c r="F678" s="106" t="s">
        <v>1246</v>
      </c>
      <c r="G678" s="106" t="s">
        <v>258</v>
      </c>
      <c r="H678" s="106">
        <v>2</v>
      </c>
      <c r="I678" s="106" t="s">
        <v>25</v>
      </c>
      <c r="J678" s="106">
        <v>6118</v>
      </c>
      <c r="K678" s="106">
        <v>11716</v>
      </c>
      <c r="L678" s="106">
        <v>9547</v>
      </c>
      <c r="M678" s="106">
        <v>0.32</v>
      </c>
      <c r="N678" s="106">
        <v>0.4</v>
      </c>
      <c r="O678" s="106">
        <v>0.39</v>
      </c>
      <c r="P678" s="106">
        <v>2748</v>
      </c>
      <c r="Q678" s="106">
        <v>1982.3455678670359</v>
      </c>
      <c r="R678" s="106">
        <v>0.2505265566690269</v>
      </c>
      <c r="S678" s="106">
        <v>17566.902431517388</v>
      </c>
      <c r="T678" s="106">
        <v>18341.029547553095</v>
      </c>
      <c r="U678" s="106">
        <v>11246.121873201169</v>
      </c>
      <c r="V678" s="106">
        <v>0.52732584586220188</v>
      </c>
      <c r="W678" s="106">
        <v>89852.892046756824</v>
      </c>
      <c r="X678" s="110">
        <v>0.54822975765818449</v>
      </c>
      <c r="Y678" s="106">
        <v>689.05662650602403</v>
      </c>
      <c r="Z678" s="106">
        <v>23.486746987951804</v>
      </c>
      <c r="AA678" s="106">
        <v>44075.572938517005</v>
      </c>
      <c r="AB678" s="106">
        <v>383.3281748858376</v>
      </c>
      <c r="AC678" s="106">
        <v>2.2688304049840595</v>
      </c>
      <c r="AD678" s="106">
        <v>25.845674201091189</v>
      </c>
      <c r="AE678" s="106">
        <v>114.98130277442702</v>
      </c>
      <c r="AF678" s="106">
        <v>3.8813528728289026E-2</v>
      </c>
      <c r="AG678" s="106">
        <v>4191</v>
      </c>
      <c r="AH678" s="106">
        <v>16922.825561711295</v>
      </c>
      <c r="AI678" s="106">
        <v>16922.825561711295</v>
      </c>
      <c r="AJ678" s="106">
        <v>17660.751769775314</v>
      </c>
      <c r="AK678" s="104">
        <v>14292.604416743614</v>
      </c>
      <c r="AL678" s="118">
        <v>72172951</v>
      </c>
      <c r="AM678" s="118">
        <v>13854</v>
      </c>
      <c r="AN678" s="118">
        <v>381278</v>
      </c>
      <c r="AO678" s="118">
        <v>2989</v>
      </c>
      <c r="AP678" s="118">
        <f t="shared" si="10"/>
        <v>1927</v>
      </c>
    </row>
    <row r="679" spans="1:42" ht="12.75">
      <c r="A679" s="106">
        <v>2018</v>
      </c>
      <c r="B679" s="106">
        <v>-133881</v>
      </c>
      <c r="C679" s="106">
        <v>0</v>
      </c>
      <c r="D679" s="106">
        <v>133881</v>
      </c>
      <c r="E679" s="106" t="s">
        <v>1247</v>
      </c>
      <c r="F679" s="106" t="s">
        <v>1197</v>
      </c>
      <c r="G679" s="106" t="s">
        <v>258</v>
      </c>
      <c r="H679" s="106">
        <v>5</v>
      </c>
      <c r="I679" s="106" t="s">
        <v>3639</v>
      </c>
      <c r="J679" s="106">
        <v>41240</v>
      </c>
      <c r="K679" s="106">
        <v>34139</v>
      </c>
      <c r="L679" s="106">
        <v>28408</v>
      </c>
      <c r="M679" s="106">
        <v>0.25</v>
      </c>
      <c r="N679" s="106">
        <v>0.53</v>
      </c>
      <c r="O679" s="106">
        <v>0.94</v>
      </c>
      <c r="P679" s="106">
        <v>20857</v>
      </c>
      <c r="Q679" s="107">
        <v>10787.167037037038</v>
      </c>
      <c r="R679" s="106">
        <v>0.32337042629617729</v>
      </c>
      <c r="S679" s="106">
        <v>32055.702222222222</v>
      </c>
      <c r="T679" s="106">
        <v>32624.63074074074</v>
      </c>
      <c r="U679" s="106">
        <v>22566.345515140722</v>
      </c>
      <c r="V679" s="106">
        <v>1.0002230231824305</v>
      </c>
      <c r="W679" s="106">
        <v>84229.299799942848</v>
      </c>
      <c r="X679" s="110">
        <v>0.55763049192678249</v>
      </c>
      <c r="Y679" s="106">
        <v>339.56264591439691</v>
      </c>
      <c r="Z679" s="106">
        <v>12.607003891050585</v>
      </c>
      <c r="AA679" s="106">
        <v>66407.774267989036</v>
      </c>
      <c r="AB679" s="106">
        <v>837.82479945656735</v>
      </c>
      <c r="AC679" s="106">
        <v>1.5058477881889145</v>
      </c>
      <c r="AD679" s="106">
        <v>34.799924141854731</v>
      </c>
      <c r="AE679" s="106">
        <v>79.262125340599454</v>
      </c>
      <c r="AF679" s="106">
        <v>6.1976634627055743E-2</v>
      </c>
      <c r="AG679" s="106">
        <v>40490</v>
      </c>
      <c r="AH679" s="106">
        <v>30990.891481481482</v>
      </c>
      <c r="AI679" s="106">
        <v>32055.702222222222</v>
      </c>
      <c r="AJ679" s="106">
        <v>33571.736111111109</v>
      </c>
      <c r="AK679" s="104">
        <v>26753.365185185186</v>
      </c>
      <c r="AL679" s="118"/>
      <c r="AM679" s="118">
        <v>3613</v>
      </c>
      <c r="AN679" s="118">
        <v>145446</v>
      </c>
      <c r="AO679" s="118">
        <v>756</v>
      </c>
      <c r="AP679" s="118">
        <f t="shared" si="10"/>
        <v>750</v>
      </c>
    </row>
    <row r="680" spans="1:42" ht="12.75">
      <c r="A680" s="106">
        <v>2018</v>
      </c>
      <c r="B680" s="106">
        <v>-480569</v>
      </c>
      <c r="C680" s="106">
        <v>0</v>
      </c>
      <c r="D680" s="106">
        <v>480569</v>
      </c>
      <c r="E680" s="106" t="s">
        <v>1248</v>
      </c>
      <c r="F680" s="106" t="s">
        <v>1197</v>
      </c>
      <c r="G680" s="106" t="s">
        <v>258</v>
      </c>
      <c r="H680" s="106">
        <v>6</v>
      </c>
      <c r="I680" s="106" t="s">
        <v>3640</v>
      </c>
      <c r="J680" s="106">
        <v>12240</v>
      </c>
      <c r="K680" s="106"/>
      <c r="L680" s="106"/>
      <c r="M680" s="106"/>
      <c r="N680" s="106"/>
      <c r="O680" s="106"/>
      <c r="P680" s="107"/>
      <c r="Q680" s="106"/>
      <c r="R680" s="106"/>
      <c r="S680" s="106">
        <v>7157.8300057045062</v>
      </c>
      <c r="T680" s="106">
        <v>5049.2681118083283</v>
      </c>
      <c r="U680" s="106">
        <v>5049.2681118083283</v>
      </c>
      <c r="V680" s="106">
        <v>1.4153117817846668</v>
      </c>
      <c r="W680" s="106">
        <v>49993.529914529914</v>
      </c>
      <c r="X680" s="110">
        <v>0.66082933856431436</v>
      </c>
      <c r="Y680" s="106">
        <v>846.58333333333337</v>
      </c>
      <c r="Z680" s="106">
        <v>24.347222222222221</v>
      </c>
      <c r="AA680" s="106">
        <v>10562.490453460621</v>
      </c>
      <c r="AB680" s="106">
        <v>145.21388259999344</v>
      </c>
      <c r="AC680" s="106">
        <v>9.4674641781320332</v>
      </c>
      <c r="AD680" s="106">
        <v>53.004427577482602</v>
      </c>
      <c r="AE680" s="106">
        <v>72.737470167064444</v>
      </c>
      <c r="AF680" s="106"/>
      <c r="AG680" s="106">
        <v>12240</v>
      </c>
      <c r="AH680" s="106">
        <v>7157.8300057045062</v>
      </c>
      <c r="AI680" s="106">
        <v>7157.8300057045062</v>
      </c>
      <c r="AJ680" s="106">
        <v>7157.8300057045062</v>
      </c>
      <c r="AK680" s="104">
        <v>5049.2681118083283</v>
      </c>
      <c r="AL680" s="118"/>
      <c r="AM680" s="118">
        <v>1634</v>
      </c>
      <c r="AN680" s="118">
        <v>60954</v>
      </c>
      <c r="AO680" s="118">
        <v>404</v>
      </c>
      <c r="AP680" s="118">
        <f t="shared" si="10"/>
        <v>0</v>
      </c>
    </row>
    <row r="681" spans="1:42" ht="12.75">
      <c r="A681" s="106">
        <v>2018</v>
      </c>
      <c r="B681" s="106">
        <v>-133951</v>
      </c>
      <c r="C681" s="106">
        <v>0</v>
      </c>
      <c r="D681" s="106">
        <v>133951</v>
      </c>
      <c r="E681" s="106" t="s">
        <v>1249</v>
      </c>
      <c r="F681" s="106" t="s">
        <v>292</v>
      </c>
      <c r="G681" s="106" t="s">
        <v>258</v>
      </c>
      <c r="H681" s="106">
        <v>1</v>
      </c>
      <c r="I681" s="106" t="s">
        <v>23</v>
      </c>
      <c r="J681" s="106">
        <v>6556</v>
      </c>
      <c r="K681" s="106">
        <v>9180</v>
      </c>
      <c r="L681" s="106">
        <v>6348</v>
      </c>
      <c r="M681" s="106">
        <v>0.51</v>
      </c>
      <c r="N681" s="106">
        <v>0.22</v>
      </c>
      <c r="O681" s="106">
        <v>0.78</v>
      </c>
      <c r="P681" s="106">
        <v>3416</v>
      </c>
      <c r="Q681" s="107">
        <v>2218.8031552527787</v>
      </c>
      <c r="R681" s="106">
        <v>0.23656203294930467</v>
      </c>
      <c r="S681" s="106">
        <v>20998.254972264989</v>
      </c>
      <c r="T681" s="106">
        <v>21543.456161812162</v>
      </c>
      <c r="U681" s="106">
        <v>12242.829801623548</v>
      </c>
      <c r="V681" s="106">
        <v>0.58487852192846335</v>
      </c>
      <c r="W681" s="106">
        <v>108351.33284724754</v>
      </c>
      <c r="X681" s="110">
        <v>0.58193871177854251</v>
      </c>
      <c r="Y681" s="106">
        <v>733.23807776962587</v>
      </c>
      <c r="Z681" s="106">
        <v>26.089325018341896</v>
      </c>
      <c r="AA681" s="106">
        <v>40595.096816866724</v>
      </c>
      <c r="AB681" s="106">
        <v>435.61180948263933</v>
      </c>
      <c r="AC681" s="106">
        <v>2.4633516813895451</v>
      </c>
      <c r="AD681" s="106">
        <v>33.645497541118615</v>
      </c>
      <c r="AE681" s="107">
        <v>93.190992377089302</v>
      </c>
      <c r="AF681" s="106">
        <v>3.3514975731898433E-2</v>
      </c>
      <c r="AG681" s="106">
        <v>4721</v>
      </c>
      <c r="AH681" s="106">
        <v>19438.418513909688</v>
      </c>
      <c r="AI681" s="106">
        <v>19994.805095648873</v>
      </c>
      <c r="AJ681" s="106">
        <v>21349.963659755762</v>
      </c>
      <c r="AK681" s="104">
        <v>19161.58916330964</v>
      </c>
      <c r="AL681" s="118">
        <v>294595900</v>
      </c>
      <c r="AM681" s="118">
        <v>47629</v>
      </c>
      <c r="AN681" s="118">
        <v>1332538</v>
      </c>
      <c r="AO681" s="118">
        <v>10444</v>
      </c>
      <c r="AP681" s="118">
        <f t="shared" si="10"/>
        <v>1835</v>
      </c>
    </row>
    <row r="682" spans="1:42" ht="12.75">
      <c r="A682" s="106">
        <v>2018</v>
      </c>
      <c r="B682" s="106">
        <v>-133960</v>
      </c>
      <c r="C682" s="106">
        <v>0</v>
      </c>
      <c r="D682" s="106">
        <v>133960</v>
      </c>
      <c r="E682" s="106" t="s">
        <v>1250</v>
      </c>
      <c r="F682" s="106" t="s">
        <v>1251</v>
      </c>
      <c r="G682" s="106" t="s">
        <v>258</v>
      </c>
      <c r="H682" s="106">
        <v>4</v>
      </c>
      <c r="I682" s="106" t="s">
        <v>24</v>
      </c>
      <c r="J682" s="106">
        <v>3276</v>
      </c>
      <c r="K682" s="106">
        <v>13409</v>
      </c>
      <c r="L682" s="106">
        <v>11794</v>
      </c>
      <c r="M682" s="106">
        <v>0.48</v>
      </c>
      <c r="N682" s="106">
        <v>0.27</v>
      </c>
      <c r="O682" s="106">
        <v>0.12</v>
      </c>
      <c r="P682" s="106">
        <v>2460</v>
      </c>
      <c r="Q682" s="106">
        <v>150.17226890756302</v>
      </c>
      <c r="R682" s="106">
        <v>3.4612594797022278E-2</v>
      </c>
      <c r="S682" s="106">
        <v>17722.985994397761</v>
      </c>
      <c r="T682" s="106">
        <v>20618.393557422969</v>
      </c>
      <c r="U682" s="106">
        <v>19613.553280867382</v>
      </c>
      <c r="V682" s="106">
        <v>0.21355066748888213</v>
      </c>
      <c r="W682" s="106">
        <v>71742.542372881362</v>
      </c>
      <c r="X682" s="110">
        <v>0.57505016631080474</v>
      </c>
      <c r="Y682" s="106">
        <v>442.57258741258732</v>
      </c>
      <c r="Z682" s="106">
        <v>14.979020979020978</v>
      </c>
      <c r="AA682" s="106">
        <v>35907.889852664899</v>
      </c>
      <c r="AB682" s="106">
        <v>663.82743627402169</v>
      </c>
      <c r="AC682" s="106">
        <v>2.7849032736346806</v>
      </c>
      <c r="AD682" s="106">
        <v>61.708860759493668</v>
      </c>
      <c r="AE682" s="106">
        <v>54.092205128205123</v>
      </c>
      <c r="AF682" s="106">
        <v>4.1344003875140291E-2</v>
      </c>
      <c r="AG682" s="106">
        <v>2483</v>
      </c>
      <c r="AH682" s="106">
        <v>17030.711484593838</v>
      </c>
      <c r="AI682" s="106">
        <v>17295.85994397759</v>
      </c>
      <c r="AJ682" s="106">
        <v>17772.497198879551</v>
      </c>
      <c r="AK682" s="104">
        <v>20409.078431372549</v>
      </c>
      <c r="AL682" s="118">
        <v>7150672</v>
      </c>
      <c r="AM682" s="118">
        <v>1030</v>
      </c>
      <c r="AN682" s="118">
        <v>21095.96</v>
      </c>
      <c r="AO682" s="118">
        <v>184</v>
      </c>
      <c r="AP682" s="118">
        <f t="shared" si="10"/>
        <v>793</v>
      </c>
    </row>
    <row r="683" spans="1:42" ht="12.75">
      <c r="A683" s="106">
        <v>2018</v>
      </c>
      <c r="B683" s="106">
        <v>-133979</v>
      </c>
      <c r="C683" s="106">
        <v>0</v>
      </c>
      <c r="D683" s="106">
        <v>133979</v>
      </c>
      <c r="E683" s="106" t="s">
        <v>1252</v>
      </c>
      <c r="F683" s="106" t="s">
        <v>1253</v>
      </c>
      <c r="G683" s="106" t="s">
        <v>258</v>
      </c>
      <c r="H683" s="106">
        <v>7</v>
      </c>
      <c r="I683" s="106" t="s">
        <v>3641</v>
      </c>
      <c r="J683" s="106">
        <v>15536</v>
      </c>
      <c r="K683" s="106">
        <v>15806</v>
      </c>
      <c r="L683" s="106">
        <v>16302</v>
      </c>
      <c r="M683" s="106">
        <v>0.77</v>
      </c>
      <c r="N683" s="106">
        <v>0.72</v>
      </c>
      <c r="O683" s="106">
        <v>0.3</v>
      </c>
      <c r="P683" s="106">
        <v>6759</v>
      </c>
      <c r="Q683" s="107"/>
      <c r="R683" s="106"/>
      <c r="S683" s="106">
        <v>27805.463570856686</v>
      </c>
      <c r="T683" s="106">
        <v>28227.582065652521</v>
      </c>
      <c r="U683" s="106">
        <v>15251.5612489992</v>
      </c>
      <c r="V683" s="106">
        <v>1.0076198475526532</v>
      </c>
      <c r="W683" s="106">
        <v>68450.401050788088</v>
      </c>
      <c r="X683" s="110">
        <v>0.36953428115582343</v>
      </c>
      <c r="Y683" s="106">
        <v>538.3478260869565</v>
      </c>
      <c r="Z683" s="106">
        <v>18.10144927536232</v>
      </c>
      <c r="AA683" s="106">
        <v>79703.765690376575</v>
      </c>
      <c r="AB683" s="106">
        <v>512.81968448823557</v>
      </c>
      <c r="AC683" s="106">
        <v>1.2546458643932554</v>
      </c>
      <c r="AD683" s="106">
        <v>20.168776371308017</v>
      </c>
      <c r="AE683" s="106">
        <v>155.42259414225941</v>
      </c>
      <c r="AF683" s="106">
        <v>4.0552708496574118E-3</v>
      </c>
      <c r="AG683" s="106">
        <v>12576</v>
      </c>
      <c r="AH683" s="106">
        <v>27564.615692554042</v>
      </c>
      <c r="AI683" s="106">
        <v>28295.531625300238</v>
      </c>
      <c r="AJ683" s="106">
        <v>28330.09287429944</v>
      </c>
      <c r="AK683" s="104">
        <v>15251.5612489992</v>
      </c>
      <c r="AL683" s="118">
        <v>4978466</v>
      </c>
      <c r="AM683" s="118">
        <v>1173</v>
      </c>
      <c r="AN683" s="118">
        <v>37146</v>
      </c>
      <c r="AO683" s="118">
        <v>214</v>
      </c>
      <c r="AP683" s="118">
        <f t="shared" si="10"/>
        <v>2960</v>
      </c>
    </row>
    <row r="684" spans="1:42" ht="12.75">
      <c r="A684" s="106">
        <v>2018</v>
      </c>
      <c r="B684" s="106">
        <v>-134079</v>
      </c>
      <c r="C684" s="106">
        <v>0</v>
      </c>
      <c r="D684" s="106">
        <v>134079</v>
      </c>
      <c r="E684" s="106" t="s">
        <v>1255</v>
      </c>
      <c r="F684" s="106" t="s">
        <v>1195</v>
      </c>
      <c r="G684" s="106" t="s">
        <v>258</v>
      </c>
      <c r="H684" s="106">
        <v>6</v>
      </c>
      <c r="I684" s="106" t="s">
        <v>3640</v>
      </c>
      <c r="J684" s="106">
        <v>34774</v>
      </c>
      <c r="K684" s="106">
        <v>26135</v>
      </c>
      <c r="L684" s="106">
        <v>21141</v>
      </c>
      <c r="M684" s="106">
        <v>0.25</v>
      </c>
      <c r="N684" s="106">
        <v>0.85</v>
      </c>
      <c r="O684" s="106">
        <v>0.98</v>
      </c>
      <c r="P684" s="106">
        <v>18589</v>
      </c>
      <c r="Q684" s="106">
        <v>13484.9384765625</v>
      </c>
      <c r="R684" s="106">
        <v>0.46362267481243402</v>
      </c>
      <c r="S684" s="106">
        <v>33213.065104166664</v>
      </c>
      <c r="T684" s="106">
        <v>28633.3134765625</v>
      </c>
      <c r="U684" s="106">
        <v>20482.741919675653</v>
      </c>
      <c r="V684" s="106">
        <v>0.76166959320728544</v>
      </c>
      <c r="W684" s="106">
        <v>66654.174317257406</v>
      </c>
      <c r="X684" s="110">
        <v>0.43470451329870435</v>
      </c>
      <c r="Y684" s="106">
        <v>477.26548672566372</v>
      </c>
      <c r="Z684" s="106">
        <v>16.311504424778761</v>
      </c>
      <c r="AA684" s="106">
        <v>86195.867366087128</v>
      </c>
      <c r="AB684" s="106">
        <v>700.03875148515999</v>
      </c>
      <c r="AC684" s="106">
        <v>1.1601484277115581</v>
      </c>
      <c r="AD684" s="106">
        <v>25.659050966608081</v>
      </c>
      <c r="AE684" s="106">
        <v>123.13013698630137</v>
      </c>
      <c r="AF684" s="106">
        <v>9.5663718424300589E-2</v>
      </c>
      <c r="AG684" s="106">
        <v>34074</v>
      </c>
      <c r="AH684" s="106">
        <v>24678.267578125</v>
      </c>
      <c r="AI684" s="106">
        <v>31927.224934895832</v>
      </c>
      <c r="AJ684" s="106">
        <v>34895.788736979164</v>
      </c>
      <c r="AK684" s="104">
        <v>22769.474283854168</v>
      </c>
      <c r="AL684" s="118">
        <v>147173</v>
      </c>
      <c r="AM684" s="118">
        <v>2615</v>
      </c>
      <c r="AN684" s="118">
        <v>89885</v>
      </c>
      <c r="AO684" s="118">
        <v>564</v>
      </c>
      <c r="AP684" s="118">
        <f t="shared" si="10"/>
        <v>700</v>
      </c>
    </row>
    <row r="685" spans="1:42" ht="12.75">
      <c r="A685" s="106">
        <v>2018</v>
      </c>
      <c r="B685" s="106">
        <v>-133508</v>
      </c>
      <c r="C685" s="106">
        <v>0</v>
      </c>
      <c r="D685" s="106">
        <v>133508</v>
      </c>
      <c r="E685" s="106" t="s">
        <v>1254</v>
      </c>
      <c r="F685" s="106" t="s">
        <v>1246</v>
      </c>
      <c r="G685" s="106" t="s">
        <v>258</v>
      </c>
      <c r="H685" s="106">
        <v>3</v>
      </c>
      <c r="I685" s="104" t="s">
        <v>26</v>
      </c>
      <c r="J685" s="106">
        <v>3401</v>
      </c>
      <c r="K685" s="106">
        <v>6487</v>
      </c>
      <c r="L685" s="106">
        <v>8730</v>
      </c>
      <c r="M685" s="106">
        <v>0.57999999999999996</v>
      </c>
      <c r="N685" s="106">
        <v>0.22</v>
      </c>
      <c r="O685" s="106">
        <v>0.18</v>
      </c>
      <c r="P685" s="106">
        <v>3453</v>
      </c>
      <c r="Q685" s="106">
        <v>237.32861341170184</v>
      </c>
      <c r="R685" s="106">
        <v>7.0267008319360155E-2</v>
      </c>
      <c r="S685" s="106">
        <v>9002.3940689286665</v>
      </c>
      <c r="T685" s="106">
        <v>9713.2243298601843</v>
      </c>
      <c r="U685" s="106">
        <v>8066.4511117687707</v>
      </c>
      <c r="V685" s="106">
        <v>0.38929101005771538</v>
      </c>
      <c r="W685" s="106">
        <v>80598.184554973821</v>
      </c>
      <c r="X685" s="110">
        <v>0.56456521657013092</v>
      </c>
      <c r="Y685" s="106">
        <v>1080.3720641711232</v>
      </c>
      <c r="Z685" s="106">
        <v>36.028877005347596</v>
      </c>
      <c r="AA685" s="106">
        <v>39194.365873670067</v>
      </c>
      <c r="AB685" s="106">
        <v>269.00471107473351</v>
      </c>
      <c r="AC685" s="106">
        <v>2.5513871131967427</v>
      </c>
      <c r="AD685" s="106">
        <v>23.724463607432504</v>
      </c>
      <c r="AE685" s="106">
        <v>145.70141064474254</v>
      </c>
      <c r="AF685" s="106">
        <v>3.9283781782078926E-2</v>
      </c>
      <c r="AG685" s="106">
        <v>2436</v>
      </c>
      <c r="AH685" s="106">
        <v>7847.2273577344376</v>
      </c>
      <c r="AI685" s="106">
        <v>8223.0190577967769</v>
      </c>
      <c r="AJ685" s="106">
        <v>9018.9040876302424</v>
      </c>
      <c r="AK685" s="104">
        <v>9149.1395493810669</v>
      </c>
      <c r="AL685" s="119">
        <v>36520548</v>
      </c>
      <c r="AM685" s="118">
        <v>15731</v>
      </c>
      <c r="AN685" s="118">
        <v>336715.96</v>
      </c>
      <c r="AO685" s="118">
        <v>2132</v>
      </c>
      <c r="AP685" s="118">
        <f t="shared" si="10"/>
        <v>965</v>
      </c>
    </row>
    <row r="686" spans="1:42" ht="12.75">
      <c r="A686" s="106">
        <v>2018</v>
      </c>
      <c r="B686" s="106">
        <v>-133702</v>
      </c>
      <c r="C686" s="106">
        <v>0</v>
      </c>
      <c r="D686" s="106">
        <v>133702</v>
      </c>
      <c r="E686" s="106" t="s">
        <v>1256</v>
      </c>
      <c r="F686" s="106" t="s">
        <v>792</v>
      </c>
      <c r="G686" s="106" t="s">
        <v>258</v>
      </c>
      <c r="H686" s="106">
        <v>3</v>
      </c>
      <c r="I686" s="104" t="s">
        <v>26</v>
      </c>
      <c r="J686" s="106">
        <v>2657</v>
      </c>
      <c r="K686" s="106">
        <v>3498</v>
      </c>
      <c r="L686" s="106">
        <v>2893</v>
      </c>
      <c r="M686" s="106">
        <v>0.44</v>
      </c>
      <c r="N686" s="106">
        <v>0.21</v>
      </c>
      <c r="O686" s="106">
        <v>0.1</v>
      </c>
      <c r="P686" s="106">
        <v>1481</v>
      </c>
      <c r="Q686" s="106">
        <v>206.88452417148071</v>
      </c>
      <c r="R686" s="106">
        <v>6.4762547832157097E-2</v>
      </c>
      <c r="S686" s="106">
        <v>10365.691273943448</v>
      </c>
      <c r="T686" s="106">
        <v>11751.60085132259</v>
      </c>
      <c r="U686" s="106">
        <v>9923.6936155152707</v>
      </c>
      <c r="V686" s="106">
        <v>0.30105969789454695</v>
      </c>
      <c r="W686" s="106">
        <v>65471.625307125309</v>
      </c>
      <c r="X686" s="110">
        <v>0.55153948970530531</v>
      </c>
      <c r="Y686" s="106">
        <v>806.63854545454546</v>
      </c>
      <c r="Z686" s="106">
        <v>27.181818181818183</v>
      </c>
      <c r="AA686" s="106">
        <v>26894.387196300038</v>
      </c>
      <c r="AB686" s="106">
        <v>334.40509019687829</v>
      </c>
      <c r="AC686" s="106">
        <v>3.7182479478006987</v>
      </c>
      <c r="AD686" s="106">
        <v>49.185377320256137</v>
      </c>
      <c r="AE686" s="106">
        <v>80.424574818721155</v>
      </c>
      <c r="AF686" s="106">
        <v>-6.1131988153321916E-2</v>
      </c>
      <c r="AG686" s="106">
        <v>2095</v>
      </c>
      <c r="AH686" s="106">
        <v>9056.4001216175129</v>
      </c>
      <c r="AI686" s="106">
        <v>9123.4151413803593</v>
      </c>
      <c r="AJ686" s="106">
        <v>10400.300456065674</v>
      </c>
      <c r="AK686" s="104">
        <v>11713.507570690179</v>
      </c>
      <c r="AL686" s="119">
        <v>77963265</v>
      </c>
      <c r="AM686" s="118">
        <v>21092</v>
      </c>
      <c r="AN686" s="118">
        <v>488016.32</v>
      </c>
      <c r="AO686" s="118">
        <v>4053</v>
      </c>
      <c r="AP686" s="118">
        <f t="shared" si="10"/>
        <v>562</v>
      </c>
    </row>
    <row r="687" spans="1:42" ht="12.75">
      <c r="A687" s="106">
        <v>2018</v>
      </c>
      <c r="B687" s="106">
        <v>-134097</v>
      </c>
      <c r="C687" s="106">
        <v>0</v>
      </c>
      <c r="D687" s="106">
        <v>134097</v>
      </c>
      <c r="E687" s="106" t="s">
        <v>1257</v>
      </c>
      <c r="F687" s="106" t="s">
        <v>1239</v>
      </c>
      <c r="G687" s="106" t="s">
        <v>258</v>
      </c>
      <c r="H687" s="106">
        <v>1</v>
      </c>
      <c r="I687" s="106" t="s">
        <v>23</v>
      </c>
      <c r="J687" s="106">
        <v>6517</v>
      </c>
      <c r="K687" s="106">
        <v>13318</v>
      </c>
      <c r="L687" s="106">
        <v>5168</v>
      </c>
      <c r="M687" s="106">
        <v>0.26</v>
      </c>
      <c r="N687" s="106">
        <v>0.32</v>
      </c>
      <c r="O687" s="106">
        <v>0.69</v>
      </c>
      <c r="P687" s="106">
        <v>4152</v>
      </c>
      <c r="Q687" s="106">
        <v>3482.6938110749184</v>
      </c>
      <c r="R687" s="106">
        <v>0.35554432125932389</v>
      </c>
      <c r="S687" s="106">
        <v>31618.534703081936</v>
      </c>
      <c r="T687" s="106">
        <v>31810.836231520923</v>
      </c>
      <c r="U687" s="106">
        <v>16642.350325321833</v>
      </c>
      <c r="V687" s="106">
        <v>0.37931493501054431</v>
      </c>
      <c r="W687" s="106">
        <v>110941.21978187667</v>
      </c>
      <c r="X687" s="110">
        <v>0.57956542395140798</v>
      </c>
      <c r="Y687" s="106">
        <v>533.71153846153845</v>
      </c>
      <c r="Z687" s="106">
        <v>18.872950819672134</v>
      </c>
      <c r="AA687" s="106">
        <v>55824.189064010287</v>
      </c>
      <c r="AB687" s="106">
        <v>588.50190895055596</v>
      </c>
      <c r="AC687" s="106">
        <v>1.7913381578250231</v>
      </c>
      <c r="AD687" s="106">
        <v>31.737309610819175</v>
      </c>
      <c r="AE687" s="106">
        <v>94.858127416372497</v>
      </c>
      <c r="AF687" s="106">
        <v>2.4069636802775379E-2</v>
      </c>
      <c r="AG687" s="106">
        <v>4640</v>
      </c>
      <c r="AH687" s="106">
        <v>29721.827211225256</v>
      </c>
      <c r="AI687" s="106">
        <v>30974.379203207216</v>
      </c>
      <c r="AJ687" s="106">
        <v>31848.49260836883</v>
      </c>
      <c r="AK687" s="104">
        <v>26965.229290904535</v>
      </c>
      <c r="AL687" s="118">
        <v>464446445</v>
      </c>
      <c r="AM687" s="118">
        <v>33008</v>
      </c>
      <c r="AN687" s="118">
        <v>1128622</v>
      </c>
      <c r="AO687" s="118">
        <v>8974</v>
      </c>
      <c r="AP687" s="118">
        <f t="shared" si="10"/>
        <v>1877</v>
      </c>
    </row>
    <row r="688" spans="1:42" ht="12.75">
      <c r="A688" s="106">
        <v>2018</v>
      </c>
      <c r="B688" s="106">
        <v>-444219</v>
      </c>
      <c r="C688" s="106">
        <v>0</v>
      </c>
      <c r="D688" s="106">
        <v>444219</v>
      </c>
      <c r="E688" s="106" t="s">
        <v>4086</v>
      </c>
      <c r="F688" s="106" t="s">
        <v>4087</v>
      </c>
      <c r="G688" s="106" t="s">
        <v>121</v>
      </c>
      <c r="H688" s="106">
        <v>4</v>
      </c>
      <c r="I688" s="106" t="s">
        <v>24</v>
      </c>
      <c r="J688" s="106">
        <v>1104</v>
      </c>
      <c r="K688" s="106">
        <v>7350</v>
      </c>
      <c r="L688" s="106">
        <v>4006</v>
      </c>
      <c r="M688" s="106">
        <v>0.27</v>
      </c>
      <c r="N688" s="106">
        <v>0.03</v>
      </c>
      <c r="O688" s="106">
        <v>0</v>
      </c>
      <c r="P688" s="106">
        <v>486</v>
      </c>
      <c r="Q688" s="106"/>
      <c r="R688" s="106"/>
      <c r="S688" s="106">
        <v>11503.455542943624</v>
      </c>
      <c r="T688" s="106">
        <v>12797.157964434355</v>
      </c>
      <c r="U688" s="106">
        <v>9990.56772694346</v>
      </c>
      <c r="V688" s="106">
        <v>0.29268975060390118</v>
      </c>
      <c r="W688" s="106">
        <v>131355.31818181818</v>
      </c>
      <c r="X688" s="110">
        <v>0.64079765097531516</v>
      </c>
      <c r="Y688" s="106">
        <v>804.96954314720813</v>
      </c>
      <c r="Z688" s="106">
        <v>26.832487309644669</v>
      </c>
      <c r="AA688" s="106">
        <v>32162.083437651116</v>
      </c>
      <c r="AB688" s="106">
        <v>333.02102425051947</v>
      </c>
      <c r="AC688" s="106">
        <v>3.1092513081081439</v>
      </c>
      <c r="AD688" s="106">
        <v>37.082204155374889</v>
      </c>
      <c r="AE688" s="106">
        <v>96.576735688185138</v>
      </c>
      <c r="AF688" s="106"/>
      <c r="AG688" s="106">
        <v>0</v>
      </c>
      <c r="AH688" s="106">
        <v>12388.658910329172</v>
      </c>
      <c r="AI688" s="106">
        <v>12388.658910329172</v>
      </c>
      <c r="AJ688" s="106">
        <v>11549.424139235716</v>
      </c>
      <c r="AK688" s="104">
        <v>10010.884411653424</v>
      </c>
      <c r="AL688" s="118">
        <v>31480042</v>
      </c>
      <c r="AM688" s="118">
        <v>8682</v>
      </c>
      <c r="AN688" s="118">
        <v>158579</v>
      </c>
      <c r="AO688" s="118">
        <v>1040</v>
      </c>
      <c r="AP688" s="118">
        <f t="shared" si="10"/>
        <v>1104</v>
      </c>
    </row>
    <row r="689" spans="1:42" ht="12.75">
      <c r="A689" s="106">
        <v>2018</v>
      </c>
      <c r="B689" s="106">
        <v>-177418</v>
      </c>
      <c r="C689" s="106">
        <v>0</v>
      </c>
      <c r="D689" s="106">
        <v>177418</v>
      </c>
      <c r="E689" s="106" t="s">
        <v>1258</v>
      </c>
      <c r="F689" s="106" t="s">
        <v>1259</v>
      </c>
      <c r="G689" s="106" t="s">
        <v>264</v>
      </c>
      <c r="H689" s="106">
        <v>6</v>
      </c>
      <c r="I689" s="106" t="s">
        <v>3640</v>
      </c>
      <c r="J689" s="106">
        <v>25460</v>
      </c>
      <c r="K689" s="106">
        <v>21861</v>
      </c>
      <c r="L689" s="106">
        <v>17661</v>
      </c>
      <c r="M689" s="106">
        <v>0.31</v>
      </c>
      <c r="N689" s="106">
        <v>0.69</v>
      </c>
      <c r="O689" s="106">
        <v>0.99</v>
      </c>
      <c r="P689" s="106">
        <v>14675</v>
      </c>
      <c r="Q689" s="106">
        <v>8101.790444258173</v>
      </c>
      <c r="R689" s="106">
        <v>0.35460962360134091</v>
      </c>
      <c r="S689" s="106">
        <v>22496.287510477789</v>
      </c>
      <c r="T689" s="106">
        <v>25058.608549874265</v>
      </c>
      <c r="U689" s="106">
        <v>21716.353730092203</v>
      </c>
      <c r="V689" s="106">
        <v>0.67899420286163026</v>
      </c>
      <c r="W689" s="106">
        <v>59249.393764434179</v>
      </c>
      <c r="X689" s="110">
        <v>0.57211476063491729</v>
      </c>
      <c r="Y689" s="106">
        <v>314.07120743034056</v>
      </c>
      <c r="Z689" s="106">
        <v>11.080495356037153</v>
      </c>
      <c r="AA689" s="106">
        <v>58747.414965986398</v>
      </c>
      <c r="AB689" s="106">
        <v>766.15732663019367</v>
      </c>
      <c r="AC689" s="106">
        <v>1.7022025574724955</v>
      </c>
      <c r="AD689" s="106">
        <v>38.923212709620472</v>
      </c>
      <c r="AE689" s="106">
        <v>76.678004535147394</v>
      </c>
      <c r="AF689" s="106">
        <v>-5.3900467287592201E-2</v>
      </c>
      <c r="AG689" s="106">
        <v>25100</v>
      </c>
      <c r="AH689" s="106">
        <v>20488.398155909472</v>
      </c>
      <c r="AI689" s="106">
        <v>21966.257334450966</v>
      </c>
      <c r="AJ689" s="106">
        <v>22823.388097233863</v>
      </c>
      <c r="AK689" s="104">
        <v>22603.151718357083</v>
      </c>
      <c r="AM689" s="118">
        <v>893</v>
      </c>
      <c r="AN689" s="118">
        <v>33815</v>
      </c>
      <c r="AO689" s="118">
        <v>217</v>
      </c>
      <c r="AP689" s="118">
        <f t="shared" si="10"/>
        <v>360</v>
      </c>
    </row>
    <row r="690" spans="1:42" ht="12.75">
      <c r="A690" s="106">
        <v>2018</v>
      </c>
      <c r="B690" s="106">
        <v>-191241</v>
      </c>
      <c r="C690" s="106">
        <v>0</v>
      </c>
      <c r="D690" s="106">
        <v>191241</v>
      </c>
      <c r="E690" s="106" t="s">
        <v>1260</v>
      </c>
      <c r="F690" s="106" t="s">
        <v>499</v>
      </c>
      <c r="G690" s="106" t="s">
        <v>69</v>
      </c>
      <c r="H690" s="106">
        <v>5</v>
      </c>
      <c r="I690" s="106" t="s">
        <v>3639</v>
      </c>
      <c r="J690" s="106">
        <v>50601</v>
      </c>
      <c r="K690" s="106">
        <v>39011</v>
      </c>
      <c r="L690" s="106">
        <v>25410</v>
      </c>
      <c r="M690" s="106">
        <v>0.18</v>
      </c>
      <c r="N690" s="106">
        <v>0.51</v>
      </c>
      <c r="O690" s="106">
        <v>0.88</v>
      </c>
      <c r="P690" s="106">
        <v>27520</v>
      </c>
      <c r="Q690" s="106">
        <v>13724.287328896145</v>
      </c>
      <c r="R690" s="106">
        <v>0.32666325914501099</v>
      </c>
      <c r="S690" s="106">
        <v>39096.194901419061</v>
      </c>
      <c r="T690" s="106">
        <v>38748.398844656534</v>
      </c>
      <c r="U690" s="106">
        <v>29588.077602531193</v>
      </c>
      <c r="V690" s="106">
        <v>0.95610386652152735</v>
      </c>
      <c r="W690" s="106">
        <v>133467.02047005307</v>
      </c>
      <c r="X690" s="110">
        <v>0.57054287181963581</v>
      </c>
      <c r="Y690" s="106">
        <v>402.8286270691334</v>
      </c>
      <c r="Z690" s="106">
        <v>15.50730282375852</v>
      </c>
      <c r="AA690" s="106">
        <v>93108.026851988107</v>
      </c>
      <c r="AB690" s="106">
        <v>1139.0235165103438</v>
      </c>
      <c r="AC690" s="106">
        <v>1.0740212566094642</v>
      </c>
      <c r="AD690" s="106">
        <v>35.131195335276963</v>
      </c>
      <c r="AE690" s="106">
        <v>81.743726536257654</v>
      </c>
      <c r="AF690" s="106">
        <v>3.2286862189297022E-2</v>
      </c>
      <c r="AG690" s="106">
        <v>49645</v>
      </c>
      <c r="AH690" s="106">
        <v>35771.819665955045</v>
      </c>
      <c r="AI690" s="106">
        <v>39293.293984679141</v>
      </c>
      <c r="AJ690" s="106">
        <v>42086.525178952659</v>
      </c>
      <c r="AK690" s="104">
        <v>32994.725605927415</v>
      </c>
      <c r="AL690" s="118"/>
      <c r="AM690" s="118">
        <v>9599</v>
      </c>
      <c r="AN690" s="118">
        <v>413705</v>
      </c>
      <c r="AO690" s="118">
        <v>2205</v>
      </c>
      <c r="AP690" s="118">
        <f t="shared" si="10"/>
        <v>956</v>
      </c>
    </row>
    <row r="691" spans="1:42" ht="12.75">
      <c r="A691" s="106">
        <v>2018</v>
      </c>
      <c r="B691" s="106">
        <v>-198552</v>
      </c>
      <c r="C691" s="106">
        <v>0</v>
      </c>
      <c r="D691" s="106">
        <v>198552</v>
      </c>
      <c r="E691" s="106" t="s">
        <v>1261</v>
      </c>
      <c r="F691" s="106" t="s">
        <v>1262</v>
      </c>
      <c r="G691" s="106" t="s">
        <v>90</v>
      </c>
      <c r="H691" s="106">
        <v>4</v>
      </c>
      <c r="I691" s="106" t="s">
        <v>24</v>
      </c>
      <c r="J691" s="106">
        <v>2143</v>
      </c>
      <c r="K691" s="106">
        <v>4629</v>
      </c>
      <c r="L691" s="106">
        <v>3759</v>
      </c>
      <c r="M691" s="106">
        <v>0.56999999999999995</v>
      </c>
      <c r="N691" s="106">
        <v>0.69</v>
      </c>
      <c r="O691" s="106">
        <v>0</v>
      </c>
      <c r="P691" s="106">
        <v>250</v>
      </c>
      <c r="Q691" s="106">
        <v>76.255278310940497</v>
      </c>
      <c r="R691" s="106">
        <v>3.346230970008169E-2</v>
      </c>
      <c r="S691" s="106">
        <v>11681.277031349968</v>
      </c>
      <c r="T691" s="106">
        <v>12735.272872680742</v>
      </c>
      <c r="U691" s="106">
        <v>9075.5017594369801</v>
      </c>
      <c r="V691" s="106">
        <v>0.24269573528829388</v>
      </c>
      <c r="W691" s="106">
        <v>64944.207379134859</v>
      </c>
      <c r="X691" s="110">
        <v>0.64111471147672916</v>
      </c>
      <c r="Y691" s="106">
        <v>441.32941176470587</v>
      </c>
      <c r="Z691" s="106">
        <v>14.710588235294118</v>
      </c>
      <c r="AA691" s="106">
        <v>34160.166767007824</v>
      </c>
      <c r="AB691" s="106">
        <v>302.50866099752085</v>
      </c>
      <c r="AC691" s="106">
        <v>2.9273861770657641</v>
      </c>
      <c r="AD691" s="106">
        <v>35.851500107921439</v>
      </c>
      <c r="AE691" s="106">
        <v>112.92293798916316</v>
      </c>
      <c r="AF691" s="106">
        <v>-9.4000650323602872E-3</v>
      </c>
      <c r="AG691" s="106">
        <v>1920</v>
      </c>
      <c r="AH691" s="106">
        <v>10475.505758157389</v>
      </c>
      <c r="AI691" s="106">
        <v>10572.399552143313</v>
      </c>
      <c r="AJ691" s="106">
        <v>11692.486884197056</v>
      </c>
      <c r="AK691" s="104">
        <v>10426.099808061421</v>
      </c>
      <c r="AL691" s="118">
        <v>44746119</v>
      </c>
      <c r="AM691" s="118">
        <v>7756</v>
      </c>
      <c r="AN691" s="118">
        <v>187565</v>
      </c>
      <c r="AO691" s="118">
        <v>1139</v>
      </c>
      <c r="AP691" s="118">
        <f t="shared" si="10"/>
        <v>223</v>
      </c>
    </row>
    <row r="692" spans="1:42" ht="12.75">
      <c r="A692" s="106">
        <v>2018</v>
      </c>
      <c r="B692" s="106">
        <v>-155061</v>
      </c>
      <c r="C692" s="106">
        <v>0</v>
      </c>
      <c r="D692" s="106">
        <v>155061</v>
      </c>
      <c r="E692" s="106" t="s">
        <v>1263</v>
      </c>
      <c r="F692" s="106" t="s">
        <v>1264</v>
      </c>
      <c r="G692" s="106" t="s">
        <v>129</v>
      </c>
      <c r="H692" s="106">
        <v>2</v>
      </c>
      <c r="I692" s="106" t="s">
        <v>25</v>
      </c>
      <c r="J692" s="106">
        <v>5009</v>
      </c>
      <c r="K692" s="106">
        <v>12420</v>
      </c>
      <c r="L692" s="106">
        <v>9980</v>
      </c>
      <c r="M692" s="106">
        <v>0.41</v>
      </c>
      <c r="N692" s="106">
        <v>0.59</v>
      </c>
      <c r="O692" s="106">
        <v>0.75</v>
      </c>
      <c r="P692" s="106">
        <v>3145</v>
      </c>
      <c r="Q692" s="106">
        <v>710.03152260111028</v>
      </c>
      <c r="R692" s="106">
        <v>9.8057846807994953E-2</v>
      </c>
      <c r="S692" s="106">
        <v>13777.60517446471</v>
      </c>
      <c r="T692" s="106">
        <v>13943.230570975416</v>
      </c>
      <c r="U692" s="106">
        <v>8799.2238169088032</v>
      </c>
      <c r="V692" s="106">
        <v>0.7422147786065949</v>
      </c>
      <c r="W692" s="106">
        <v>80110.598821081832</v>
      </c>
      <c r="X692" s="110">
        <v>0.54751433801289084</v>
      </c>
      <c r="Y692" s="106">
        <v>685.25608798114695</v>
      </c>
      <c r="Z692" s="106">
        <v>23.773762765121759</v>
      </c>
      <c r="AA692" s="106">
        <v>22901.591812429309</v>
      </c>
      <c r="AB692" s="106">
        <v>305.27369724901212</v>
      </c>
      <c r="AC692" s="106">
        <v>4.3665087046799647</v>
      </c>
      <c r="AD692" s="106">
        <v>39.18317832591994</v>
      </c>
      <c r="AE692" s="106">
        <v>75.019865841073269</v>
      </c>
      <c r="AF692" s="106">
        <v>-1.1251689883030021E-3</v>
      </c>
      <c r="AG692" s="106">
        <v>3900</v>
      </c>
      <c r="AH692" s="106">
        <v>12476.771808088819</v>
      </c>
      <c r="AI692" s="106">
        <v>12507.219270420301</v>
      </c>
      <c r="AJ692" s="106">
        <v>13777.60517446471</v>
      </c>
      <c r="AK692" s="104">
        <v>10967.962034099921</v>
      </c>
      <c r="AL692" s="118">
        <v>32777502</v>
      </c>
      <c r="AM692" s="118">
        <v>12494</v>
      </c>
      <c r="AN692" s="118">
        <v>290777</v>
      </c>
      <c r="AO692" s="118">
        <v>2997</v>
      </c>
      <c r="AP692" s="118">
        <f t="shared" si="10"/>
        <v>1109</v>
      </c>
    </row>
    <row r="693" spans="1:42" ht="12.75">
      <c r="A693" s="106">
        <v>2018</v>
      </c>
      <c r="B693" s="106">
        <v>-127185</v>
      </c>
      <c r="C693" s="106">
        <v>0</v>
      </c>
      <c r="D693" s="106">
        <v>127185</v>
      </c>
      <c r="E693" s="106" t="s">
        <v>1265</v>
      </c>
      <c r="F693" s="106" t="s">
        <v>1266</v>
      </c>
      <c r="G693" s="106" t="s">
        <v>66</v>
      </c>
      <c r="H693" s="106">
        <v>3</v>
      </c>
      <c r="I693" s="104" t="s">
        <v>26</v>
      </c>
      <c r="J693" s="106">
        <v>8609</v>
      </c>
      <c r="K693" s="106">
        <v>18522</v>
      </c>
      <c r="L693" s="106">
        <v>12152</v>
      </c>
      <c r="M693" s="106">
        <v>0.34</v>
      </c>
      <c r="N693" s="106">
        <v>0.48</v>
      </c>
      <c r="O693" s="106">
        <v>0.55000000000000004</v>
      </c>
      <c r="P693" s="106">
        <v>5647</v>
      </c>
      <c r="Q693" s="106">
        <v>2845.3694331983806</v>
      </c>
      <c r="R693" s="106">
        <v>0.1910876624075481</v>
      </c>
      <c r="S693" s="106">
        <v>23318.198717948719</v>
      </c>
      <c r="T693" s="106">
        <v>29979.871457489877</v>
      </c>
      <c r="U693" s="106">
        <v>20363.6319006429</v>
      </c>
      <c r="V693" s="106">
        <v>0.59149657658195653</v>
      </c>
      <c r="W693" s="106">
        <v>84753.799635701274</v>
      </c>
      <c r="X693" s="110">
        <v>0.52362883738267085</v>
      </c>
      <c r="Y693" s="106">
        <v>435.24509803921569</v>
      </c>
      <c r="Z693" s="106">
        <v>14.529411764705882</v>
      </c>
      <c r="AA693" s="106">
        <v>87602.039119746827</v>
      </c>
      <c r="AB693" s="106">
        <v>679.78156271545856</v>
      </c>
      <c r="AC693" s="106">
        <v>1.1415259394054273</v>
      </c>
      <c r="AD693" s="106">
        <v>22.276107339152926</v>
      </c>
      <c r="AE693" s="106">
        <v>128.8679245283019</v>
      </c>
      <c r="AF693" s="106">
        <v>-0.13451139334593828</v>
      </c>
      <c r="AG693" s="106">
        <v>6720</v>
      </c>
      <c r="AH693" s="106">
        <v>28477.678475033739</v>
      </c>
      <c r="AI693" s="106">
        <v>29173.957152496627</v>
      </c>
      <c r="AJ693" s="106">
        <v>23533.445681511472</v>
      </c>
      <c r="AK693" s="104">
        <v>21770.627867746291</v>
      </c>
      <c r="AL693" s="118"/>
      <c r="AM693" s="118">
        <v>3300</v>
      </c>
      <c r="AN693" s="118">
        <v>88790</v>
      </c>
      <c r="AO693" s="118">
        <v>681</v>
      </c>
      <c r="AP693" s="118">
        <f t="shared" si="10"/>
        <v>1889</v>
      </c>
    </row>
    <row r="694" spans="1:42" ht="12.75">
      <c r="A694" s="106">
        <v>2018</v>
      </c>
      <c r="B694" s="106">
        <v>-155098</v>
      </c>
      <c r="C694" s="106">
        <v>0</v>
      </c>
      <c r="D694" s="106">
        <v>155098</v>
      </c>
      <c r="E694" s="106" t="s">
        <v>1267</v>
      </c>
      <c r="F694" s="106" t="s">
        <v>1268</v>
      </c>
      <c r="G694" s="106" t="s">
        <v>129</v>
      </c>
      <c r="H694" s="106">
        <v>4</v>
      </c>
      <c r="I694" s="106" t="s">
        <v>24</v>
      </c>
      <c r="J694" s="106">
        <v>2820</v>
      </c>
      <c r="K694" s="106">
        <v>6029</v>
      </c>
      <c r="L694" s="106">
        <v>4152</v>
      </c>
      <c r="M694" s="106">
        <v>0.59</v>
      </c>
      <c r="N694" s="106">
        <v>0.45</v>
      </c>
      <c r="O694" s="106">
        <v>0.75</v>
      </c>
      <c r="P694" s="106">
        <v>1837</v>
      </c>
      <c r="Q694" s="106">
        <v>370.30438311688312</v>
      </c>
      <c r="R694" s="106">
        <v>0.11842105946244524</v>
      </c>
      <c r="S694" s="106">
        <v>15249.717532467532</v>
      </c>
      <c r="T694" s="106">
        <v>15022.239448051949</v>
      </c>
      <c r="U694" s="106">
        <v>10629.943499411511</v>
      </c>
      <c r="V694" s="106">
        <v>0.25933441955033371</v>
      </c>
      <c r="W694" s="106">
        <v>52656.862135922333</v>
      </c>
      <c r="X694" s="110">
        <v>0.48842238717606939</v>
      </c>
      <c r="Y694" s="106">
        <v>565.62244897959192</v>
      </c>
      <c r="Z694" s="106">
        <v>18.857142857142858</v>
      </c>
      <c r="AA694" s="106">
        <v>22196.763375042341</v>
      </c>
      <c r="AB694" s="106">
        <v>354.3889806590621</v>
      </c>
      <c r="AC694" s="106">
        <v>4.5051613296215196</v>
      </c>
      <c r="AD694" s="106">
        <v>50.687285223367695</v>
      </c>
      <c r="AE694" s="106">
        <v>62.633898305084749</v>
      </c>
      <c r="AF694" s="106">
        <v>2.7411655097097396E-2</v>
      </c>
      <c r="AG694" s="106">
        <v>1410</v>
      </c>
      <c r="AH694" s="106">
        <v>13491.563311688311</v>
      </c>
      <c r="AI694" s="106">
        <v>13491.563311688311</v>
      </c>
      <c r="AJ694" s="106">
        <v>15251.931006493507</v>
      </c>
      <c r="AK694" s="104">
        <v>12420.336038961039</v>
      </c>
      <c r="AL694" s="118">
        <v>6936204</v>
      </c>
      <c r="AM694" s="118">
        <v>1792</v>
      </c>
      <c r="AN694" s="118">
        <v>36954</v>
      </c>
      <c r="AO694" s="118">
        <v>234</v>
      </c>
      <c r="AP694" s="118">
        <f t="shared" si="10"/>
        <v>1410</v>
      </c>
    </row>
    <row r="695" spans="1:42" ht="12.75">
      <c r="A695" s="106">
        <v>2018</v>
      </c>
      <c r="B695" s="106">
        <v>-139719</v>
      </c>
      <c r="C695" s="106">
        <v>0</v>
      </c>
      <c r="D695" s="106">
        <v>139719</v>
      </c>
      <c r="E695" s="106" t="s">
        <v>1269</v>
      </c>
      <c r="F695" s="106" t="s">
        <v>1270</v>
      </c>
      <c r="G695" s="106" t="s">
        <v>63</v>
      </c>
      <c r="H695" s="106">
        <v>2</v>
      </c>
      <c r="I695" s="106" t="s">
        <v>25</v>
      </c>
      <c r="J695" s="106">
        <v>6658</v>
      </c>
      <c r="K695" s="106">
        <v>14184</v>
      </c>
      <c r="L695" s="106">
        <v>13470</v>
      </c>
      <c r="M695" s="106">
        <v>0.78</v>
      </c>
      <c r="N695" s="106">
        <v>0.89</v>
      </c>
      <c r="O695" s="106">
        <v>0.18</v>
      </c>
      <c r="P695" s="106">
        <v>6077</v>
      </c>
      <c r="Q695" s="106"/>
      <c r="R695" s="106"/>
      <c r="S695" s="106">
        <v>31984.755971337581</v>
      </c>
      <c r="T695" s="106">
        <v>31268.972929936306</v>
      </c>
      <c r="U695" s="106">
        <v>12168.964619005832</v>
      </c>
      <c r="V695" s="106">
        <v>0.53203216999698788</v>
      </c>
      <c r="W695" s="106">
        <v>68378.498839907203</v>
      </c>
      <c r="X695" s="110">
        <v>0.50026753183990458</v>
      </c>
      <c r="Y695" s="106">
        <v>665.53012048192772</v>
      </c>
      <c r="Z695" s="106">
        <v>22.69879518072289</v>
      </c>
      <c r="AA695" s="106">
        <v>66453.128528136192</v>
      </c>
      <c r="AB695" s="106">
        <v>415.03881935239571</v>
      </c>
      <c r="AC695" s="106">
        <v>1.5048200470751365</v>
      </c>
      <c r="AD695" s="106">
        <v>18.844735764031135</v>
      </c>
      <c r="AE695" s="106">
        <v>160.11304347826086</v>
      </c>
      <c r="AF695" s="106">
        <v>0.10195935413729453</v>
      </c>
      <c r="AG695" s="106">
        <v>4950</v>
      </c>
      <c r="AH695" s="106">
        <v>31072.448248407643</v>
      </c>
      <c r="AI695" s="106">
        <v>31292.165207006368</v>
      </c>
      <c r="AJ695" s="106">
        <v>31987.320461783438</v>
      </c>
      <c r="AK695" s="104">
        <v>23028.98367834395</v>
      </c>
      <c r="AL695" s="119">
        <v>23075207</v>
      </c>
      <c r="AM695" s="118">
        <v>2344</v>
      </c>
      <c r="AN695" s="118">
        <v>73652</v>
      </c>
      <c r="AO695" s="118">
        <v>334</v>
      </c>
      <c r="AP695" s="118">
        <f t="shared" si="10"/>
        <v>1708</v>
      </c>
    </row>
    <row r="696" spans="1:42" ht="12.75">
      <c r="A696" s="106">
        <v>2018</v>
      </c>
      <c r="B696" s="106">
        <v>-238722</v>
      </c>
      <c r="C696" s="106">
        <v>0</v>
      </c>
      <c r="D696" s="106">
        <v>238722</v>
      </c>
      <c r="E696" s="106" t="s">
        <v>1271</v>
      </c>
      <c r="F696" s="106" t="s">
        <v>1272</v>
      </c>
      <c r="G696" s="106" t="s">
        <v>139</v>
      </c>
      <c r="H696" s="106">
        <v>4</v>
      </c>
      <c r="I696" s="106" t="s">
        <v>24</v>
      </c>
      <c r="J696" s="106">
        <v>4497</v>
      </c>
      <c r="K696" s="106">
        <v>9969</v>
      </c>
      <c r="L696" s="106">
        <v>8319</v>
      </c>
      <c r="M696" s="106">
        <v>0.36</v>
      </c>
      <c r="N696" s="106">
        <v>0.44</v>
      </c>
      <c r="O696" s="106">
        <v>0.18</v>
      </c>
      <c r="P696" s="106">
        <v>1206</v>
      </c>
      <c r="Q696" s="106">
        <v>2484.2580708661417</v>
      </c>
      <c r="R696" s="106">
        <v>0.52938330184866744</v>
      </c>
      <c r="S696" s="106">
        <v>28789.287007874016</v>
      </c>
      <c r="T696" s="106">
        <v>27501.92657480315</v>
      </c>
      <c r="U696" s="106">
        <v>20592.132874015748</v>
      </c>
      <c r="V696" s="106">
        <v>0.10724880741713579</v>
      </c>
      <c r="W696" s="106">
        <v>93575.786874154262</v>
      </c>
      <c r="X696" s="110">
        <v>0.65996337107005965</v>
      </c>
      <c r="Y696" s="106">
        <v>307.28225806451616</v>
      </c>
      <c r="Z696" s="106">
        <v>10.241935483870968</v>
      </c>
      <c r="AA696" s="106">
        <v>29154.970735785952</v>
      </c>
      <c r="AB696" s="106">
        <v>686.35038579639399</v>
      </c>
      <c r="AC696" s="106">
        <v>3.4299468487291631</v>
      </c>
      <c r="AD696" s="106">
        <v>66.828087167070223</v>
      </c>
      <c r="AE696" s="106">
        <v>42.478260869565219</v>
      </c>
      <c r="AF696" s="106">
        <v>5.779494846464954E-2</v>
      </c>
      <c r="AG696" s="106">
        <v>3966</v>
      </c>
      <c r="AH696" s="106">
        <v>26826.932480314961</v>
      </c>
      <c r="AI696" s="106">
        <v>26826.932480314961</v>
      </c>
      <c r="AJ696" s="106">
        <v>28891.693110236221</v>
      </c>
      <c r="AK696" s="104">
        <v>22911.366929133859</v>
      </c>
      <c r="AL696" s="118">
        <v>77573633</v>
      </c>
      <c r="AM696" s="118">
        <v>11660</v>
      </c>
      <c r="AN696" s="118">
        <v>152412</v>
      </c>
      <c r="AO696" s="118">
        <v>1087</v>
      </c>
      <c r="AP696" s="118">
        <f t="shared" si="10"/>
        <v>531</v>
      </c>
    </row>
    <row r="697" spans="1:42" ht="12.75">
      <c r="A697" s="106">
        <v>2018</v>
      </c>
      <c r="B697" s="106">
        <v>-165866</v>
      </c>
      <c r="C697" s="106">
        <v>0</v>
      </c>
      <c r="D697" s="106">
        <v>165866</v>
      </c>
      <c r="E697" s="106" t="s">
        <v>1273</v>
      </c>
      <c r="F697" s="106" t="s">
        <v>1274</v>
      </c>
      <c r="G697" s="106" t="s">
        <v>150</v>
      </c>
      <c r="H697" s="106">
        <v>2</v>
      </c>
      <c r="I697" s="106" t="s">
        <v>25</v>
      </c>
      <c r="J697" s="106">
        <v>9920</v>
      </c>
      <c r="K697" s="106">
        <v>18038</v>
      </c>
      <c r="L697" s="106">
        <v>14708</v>
      </c>
      <c r="M697" s="106">
        <v>0.47</v>
      </c>
      <c r="N697" s="106">
        <v>0.74</v>
      </c>
      <c r="O697" s="106">
        <v>0.59</v>
      </c>
      <c r="P697" s="106">
        <v>2072</v>
      </c>
      <c r="Q697" s="106">
        <v>580.52717810331535</v>
      </c>
      <c r="R697" s="106">
        <v>6.7232734769213653E-2</v>
      </c>
      <c r="S697" s="106">
        <v>20836.887432536623</v>
      </c>
      <c r="T697" s="106">
        <v>21603.83962991519</v>
      </c>
      <c r="U697" s="106">
        <v>14152.637120963785</v>
      </c>
      <c r="V697" s="106">
        <v>0.56908574175916149</v>
      </c>
      <c r="W697" s="106">
        <v>117128.15019988579</v>
      </c>
      <c r="X697" s="110">
        <v>0.60995144392362932</v>
      </c>
      <c r="Y697" s="106">
        <v>612.48626373626371</v>
      </c>
      <c r="Z697" s="106">
        <v>21.37912087912088</v>
      </c>
      <c r="AA697" s="106">
        <v>51417.283882044903</v>
      </c>
      <c r="AB697" s="106">
        <v>494.00444986584216</v>
      </c>
      <c r="AC697" s="106">
        <v>1.9448713049372168</v>
      </c>
      <c r="AD697" s="106">
        <v>32.191163210099191</v>
      </c>
      <c r="AE697" s="106">
        <v>104.08263305322129</v>
      </c>
      <c r="AF697" s="106">
        <v>4.247213520335834E-3</v>
      </c>
      <c r="AG697" s="106">
        <v>970</v>
      </c>
      <c r="AH697" s="106">
        <v>20694.542212798766</v>
      </c>
      <c r="AI697" s="106">
        <v>20862.449498843485</v>
      </c>
      <c r="AJ697" s="106">
        <v>21572.24903623747</v>
      </c>
      <c r="AK697" s="104">
        <v>14185.850424055512</v>
      </c>
      <c r="AL697" s="119">
        <v>37753236</v>
      </c>
      <c r="AM697" s="118">
        <v>4126</v>
      </c>
      <c r="AN697" s="118">
        <v>148630</v>
      </c>
      <c r="AO697" s="118">
        <v>915</v>
      </c>
      <c r="AP697" s="118">
        <f t="shared" si="10"/>
        <v>8950</v>
      </c>
    </row>
    <row r="698" spans="1:42" ht="12.75">
      <c r="A698" s="106">
        <v>2018</v>
      </c>
      <c r="B698" s="106">
        <v>-218061</v>
      </c>
      <c r="C698" s="106">
        <v>0</v>
      </c>
      <c r="D698" s="106">
        <v>218061</v>
      </c>
      <c r="E698" s="106" t="s">
        <v>1275</v>
      </c>
      <c r="F698" s="106" t="s">
        <v>1237</v>
      </c>
      <c r="G698" s="106" t="s">
        <v>79</v>
      </c>
      <c r="H698" s="106">
        <v>2</v>
      </c>
      <c r="I698" s="106" t="s">
        <v>25</v>
      </c>
      <c r="J698" s="106">
        <v>10742</v>
      </c>
      <c r="K698" s="106">
        <v>11796</v>
      </c>
      <c r="L698" s="106">
        <v>9743</v>
      </c>
      <c r="M698" s="106">
        <v>0.6</v>
      </c>
      <c r="N698" s="106">
        <v>0.91</v>
      </c>
      <c r="O698" s="106">
        <v>0.26</v>
      </c>
      <c r="P698" s="106">
        <v>6173</v>
      </c>
      <c r="Q698" s="106">
        <v>1143.3966346153845</v>
      </c>
      <c r="R698" s="106">
        <v>9.3034738984705767E-2</v>
      </c>
      <c r="S698" s="106">
        <v>19321.131911057691</v>
      </c>
      <c r="T698" s="106">
        <v>20542.743088942309</v>
      </c>
      <c r="U698" s="106">
        <v>18157.485983304789</v>
      </c>
      <c r="V698" s="106">
        <v>0.61388454714188334</v>
      </c>
      <c r="W698" s="106">
        <v>73074.699882766712</v>
      </c>
      <c r="X698" s="110">
        <v>0.60783129991525497</v>
      </c>
      <c r="Y698" s="106">
        <v>417.90469416785203</v>
      </c>
      <c r="Z698" s="106">
        <v>14.201991465149359</v>
      </c>
      <c r="AA698" s="106">
        <v>91557.747503694438</v>
      </c>
      <c r="AB698" s="106">
        <v>617.06045555901039</v>
      </c>
      <c r="AC698" s="106">
        <v>1.092206860986449</v>
      </c>
      <c r="AD698" s="106">
        <v>19.590382902938558</v>
      </c>
      <c r="AE698" s="106">
        <v>148.37727272727273</v>
      </c>
      <c r="AF698" s="106">
        <v>-1.8665375261528321E-2</v>
      </c>
      <c r="AG698" s="106">
        <v>10178</v>
      </c>
      <c r="AH698" s="106">
        <v>20549.0234375</v>
      </c>
      <c r="AI698" s="106">
        <v>21024.068209134617</v>
      </c>
      <c r="AJ698" s="106">
        <v>19350.576923076922</v>
      </c>
      <c r="AK698" s="104">
        <v>20422.8046875</v>
      </c>
      <c r="AL698" s="119">
        <v>16252544</v>
      </c>
      <c r="AM698" s="118">
        <v>3460</v>
      </c>
      <c r="AN698" s="118">
        <v>97929</v>
      </c>
      <c r="AO698" s="118">
        <v>569</v>
      </c>
      <c r="AP698" s="118">
        <f t="shared" si="10"/>
        <v>564</v>
      </c>
    </row>
    <row r="699" spans="1:42" ht="12.75">
      <c r="A699" s="106">
        <v>2018</v>
      </c>
      <c r="B699" s="106">
        <v>-205957</v>
      </c>
      <c r="C699" s="106">
        <v>0</v>
      </c>
      <c r="D699" s="106">
        <v>205957</v>
      </c>
      <c r="E699" s="106" t="s">
        <v>1276</v>
      </c>
      <c r="F699" s="106" t="s">
        <v>1108</v>
      </c>
      <c r="G699" s="106" t="s">
        <v>82</v>
      </c>
      <c r="H699" s="106">
        <v>6</v>
      </c>
      <c r="I699" s="106" t="s">
        <v>3640</v>
      </c>
      <c r="J699" s="106">
        <v>26430</v>
      </c>
      <c r="K699" s="106">
        <v>25908</v>
      </c>
      <c r="L699" s="106">
        <v>17288</v>
      </c>
      <c r="M699" s="106">
        <v>0.23</v>
      </c>
      <c r="N699" s="106">
        <v>0.85</v>
      </c>
      <c r="O699" s="106">
        <v>0.97</v>
      </c>
      <c r="P699" s="106">
        <v>10400</v>
      </c>
      <c r="Q699" s="106">
        <v>7360.3911025145071</v>
      </c>
      <c r="R699" s="106">
        <v>0.32060995627250471</v>
      </c>
      <c r="S699" s="106">
        <v>25828.737330754353</v>
      </c>
      <c r="T699" s="106">
        <v>27044.10483558994</v>
      </c>
      <c r="U699" s="106">
        <v>19219.047582205028</v>
      </c>
      <c r="V699" s="106">
        <v>0.81154237742626301</v>
      </c>
      <c r="W699" s="106">
        <v>110795.52336448597</v>
      </c>
      <c r="X699" s="110">
        <v>0.56526432622541323</v>
      </c>
      <c r="Y699" s="106">
        <v>481.46137339055792</v>
      </c>
      <c r="Z699" s="106">
        <v>16.641630901287552</v>
      </c>
      <c r="AA699" s="106">
        <v>70171.240112994346</v>
      </c>
      <c r="AB699" s="106">
        <v>664.30312754890554</v>
      </c>
      <c r="AC699" s="106">
        <v>1.4250852605565103</v>
      </c>
      <c r="AD699" s="106">
        <v>28.768793173506708</v>
      </c>
      <c r="AE699" s="106">
        <v>105.63135593220339</v>
      </c>
      <c r="AF699" s="106">
        <v>2.6955308128002144E-2</v>
      </c>
      <c r="AG699" s="106">
        <v>25970</v>
      </c>
      <c r="AH699" s="106">
        <v>23644.666537717603</v>
      </c>
      <c r="AI699" s="106">
        <v>25974.36247582205</v>
      </c>
      <c r="AJ699" s="106">
        <v>28664.660348162477</v>
      </c>
      <c r="AK699" s="104">
        <v>19219.047582205028</v>
      </c>
      <c r="AM699" s="118">
        <v>2200</v>
      </c>
      <c r="AN699" s="118">
        <v>74787</v>
      </c>
      <c r="AO699" s="118">
        <v>529</v>
      </c>
      <c r="AP699" s="118">
        <f t="shared" si="10"/>
        <v>460</v>
      </c>
    </row>
    <row r="700" spans="1:42" ht="12.75">
      <c r="A700" s="106">
        <v>2018</v>
      </c>
      <c r="B700" s="106">
        <v>-224891</v>
      </c>
      <c r="C700" s="106">
        <v>0</v>
      </c>
      <c r="D700" s="106">
        <v>224891</v>
      </c>
      <c r="E700" s="106" t="s">
        <v>1277</v>
      </c>
      <c r="F700" s="106" t="s">
        <v>1278</v>
      </c>
      <c r="G700" s="106" t="s">
        <v>60</v>
      </c>
      <c r="H700" s="106">
        <v>4</v>
      </c>
      <c r="I700" s="106" t="s">
        <v>24</v>
      </c>
      <c r="J700" s="106">
        <v>3052</v>
      </c>
      <c r="K700" s="106">
        <v>6905</v>
      </c>
      <c r="L700" s="106">
        <v>5834</v>
      </c>
      <c r="M700" s="106">
        <v>0.55000000000000004</v>
      </c>
      <c r="N700" s="106">
        <v>0.18</v>
      </c>
      <c r="O700" s="106">
        <v>0.32</v>
      </c>
      <c r="P700" s="106">
        <v>3145</v>
      </c>
      <c r="Q700" s="106"/>
      <c r="R700" s="106"/>
      <c r="S700" s="106">
        <v>12948.185265438786</v>
      </c>
      <c r="T700" s="106">
        <v>13132.619718309859</v>
      </c>
      <c r="U700" s="106">
        <v>9782.4832069339118</v>
      </c>
      <c r="V700" s="106">
        <v>0.39410926643594935</v>
      </c>
      <c r="W700" s="106">
        <v>58812.448453608245</v>
      </c>
      <c r="X700" s="110">
        <v>0.62751868429806179</v>
      </c>
      <c r="Y700" s="106">
        <v>444.28877005347596</v>
      </c>
      <c r="Z700" s="106">
        <v>14.807486631016044</v>
      </c>
      <c r="AA700" s="106">
        <v>50726.02247191011</v>
      </c>
      <c r="AB700" s="106">
        <v>326.03567559760239</v>
      </c>
      <c r="AC700" s="106">
        <v>1.9713747525813934</v>
      </c>
      <c r="AD700" s="106">
        <v>20.112994350282488</v>
      </c>
      <c r="AE700" s="106">
        <v>155.58426966292134</v>
      </c>
      <c r="AF700" s="106">
        <v>-1.7619510894565638E-2</v>
      </c>
      <c r="AG700" s="106">
        <v>1290</v>
      </c>
      <c r="AH700" s="106">
        <v>13860.913326110509</v>
      </c>
      <c r="AI700" s="106">
        <v>14330.656554712892</v>
      </c>
      <c r="AJ700" s="106">
        <v>12958.203683640304</v>
      </c>
      <c r="AK700" s="104">
        <v>10006.963163596967</v>
      </c>
      <c r="AL700" s="118">
        <v>5774169</v>
      </c>
      <c r="AM700" s="118">
        <v>1491</v>
      </c>
      <c r="AN700" s="118">
        <v>27694</v>
      </c>
      <c r="AO700" s="118">
        <v>80</v>
      </c>
      <c r="AP700" s="118">
        <f t="shared" si="10"/>
        <v>1762</v>
      </c>
    </row>
    <row r="701" spans="1:42" ht="12.75">
      <c r="A701" s="106">
        <v>2018</v>
      </c>
      <c r="B701" s="106">
        <v>-212577</v>
      </c>
      <c r="C701" s="106">
        <v>0</v>
      </c>
      <c r="D701" s="106">
        <v>212577</v>
      </c>
      <c r="E701" s="106" t="s">
        <v>1282</v>
      </c>
      <c r="F701" s="106" t="s">
        <v>177</v>
      </c>
      <c r="G701" s="106" t="s">
        <v>104</v>
      </c>
      <c r="H701" s="106">
        <v>7</v>
      </c>
      <c r="I701" s="106" t="s">
        <v>3641</v>
      </c>
      <c r="J701" s="106">
        <v>54370</v>
      </c>
      <c r="K701" s="106">
        <v>23007</v>
      </c>
      <c r="L701" s="106">
        <v>8502</v>
      </c>
      <c r="M701" s="106">
        <v>0.21</v>
      </c>
      <c r="N701" s="106">
        <v>0.49</v>
      </c>
      <c r="O701" s="106">
        <v>0.57999999999999996</v>
      </c>
      <c r="P701" s="106">
        <v>45126</v>
      </c>
      <c r="Q701" s="106">
        <v>22123.39171597633</v>
      </c>
      <c r="R701" s="106">
        <v>0.42283066103689598</v>
      </c>
      <c r="S701" s="106">
        <v>51528.19053254438</v>
      </c>
      <c r="T701" s="106">
        <v>55434.269428007887</v>
      </c>
      <c r="U701" s="106">
        <v>46140.982240387188</v>
      </c>
      <c r="V701" s="106">
        <v>0.65448794756807471</v>
      </c>
      <c r="W701" s="106">
        <v>97358.440576230496</v>
      </c>
      <c r="X701" s="110">
        <v>0.57711494167340982</v>
      </c>
      <c r="Y701" s="106">
        <v>270.59074733096088</v>
      </c>
      <c r="Z701" s="106">
        <v>9.0213523131672595</v>
      </c>
      <c r="AA701" s="106">
        <v>210752.05401690362</v>
      </c>
      <c r="AB701" s="106">
        <v>1538.3159290254816</v>
      </c>
      <c r="AC701" s="106">
        <v>0.47449122366313629</v>
      </c>
      <c r="AD701" s="106">
        <v>24.438573315719946</v>
      </c>
      <c r="AE701" s="106">
        <v>137.0018018018018</v>
      </c>
      <c r="AF701" s="106">
        <v>3.5045573057755665E-2</v>
      </c>
      <c r="AG701" s="106">
        <v>54270</v>
      </c>
      <c r="AH701" s="106">
        <v>43890.820907297828</v>
      </c>
      <c r="AI701" s="106">
        <v>51528.19053254438</v>
      </c>
      <c r="AJ701" s="106">
        <v>61157.143195266275</v>
      </c>
      <c r="AK701" s="104">
        <v>50537.954635108479</v>
      </c>
      <c r="AM701" s="118">
        <v>2283</v>
      </c>
      <c r="AN701" s="118">
        <v>76036</v>
      </c>
      <c r="AO701" s="118">
        <v>555</v>
      </c>
      <c r="AP701" s="118">
        <f t="shared" si="10"/>
        <v>100</v>
      </c>
    </row>
    <row r="702" spans="1:42" ht="12.75">
      <c r="A702" s="106">
        <v>2018</v>
      </c>
      <c r="B702" s="106">
        <v>-150604</v>
      </c>
      <c r="C702" s="106">
        <v>0</v>
      </c>
      <c r="D702" s="106">
        <v>150604</v>
      </c>
      <c r="E702" s="106" t="s">
        <v>1279</v>
      </c>
      <c r="F702" s="106" t="s">
        <v>1016</v>
      </c>
      <c r="G702" s="106" t="s">
        <v>161</v>
      </c>
      <c r="H702" s="106">
        <v>7</v>
      </c>
      <c r="I702" s="106" t="s">
        <v>3641</v>
      </c>
      <c r="J702" s="106">
        <v>30920</v>
      </c>
      <c r="K702" s="106">
        <v>22245</v>
      </c>
      <c r="L702" s="106">
        <v>17016</v>
      </c>
      <c r="M702" s="106">
        <v>0.4</v>
      </c>
      <c r="N702" s="106">
        <v>0.75</v>
      </c>
      <c r="O702" s="106">
        <v>1</v>
      </c>
      <c r="P702" s="106">
        <v>16053</v>
      </c>
      <c r="Q702" s="106">
        <v>14353.067732831609</v>
      </c>
      <c r="R702" s="106">
        <v>0.52005059763867689</v>
      </c>
      <c r="S702" s="106">
        <v>22364.726246472248</v>
      </c>
      <c r="T702" s="106">
        <v>26887.524929444968</v>
      </c>
      <c r="U702" s="106">
        <v>22917.066792097838</v>
      </c>
      <c r="V702" s="106">
        <v>0.57801027567109542</v>
      </c>
      <c r="W702" s="106">
        <v>59045.007575757576</v>
      </c>
      <c r="X702" s="110">
        <v>0.54538478625936226</v>
      </c>
      <c r="Y702" s="106">
        <v>359.6490566037736</v>
      </c>
      <c r="Z702" s="106">
        <v>12.033962264150944</v>
      </c>
      <c r="AA702" s="106">
        <v>99027.813008130077</v>
      </c>
      <c r="AB702" s="106">
        <v>766.81173470993735</v>
      </c>
      <c r="AC702" s="106">
        <v>1.0098173125543033</v>
      </c>
      <c r="AD702" s="106">
        <v>24.575424575424577</v>
      </c>
      <c r="AE702" s="106">
        <v>129.14227642276424</v>
      </c>
      <c r="AF702" s="106">
        <v>1.5027555345479855E-2</v>
      </c>
      <c r="AG702" s="106">
        <v>30735</v>
      </c>
      <c r="AH702" s="106">
        <v>19352.82690498589</v>
      </c>
      <c r="AI702" s="106">
        <v>22364.726246472248</v>
      </c>
      <c r="AJ702" s="106">
        <v>28624.619002822201</v>
      </c>
      <c r="AK702" s="104">
        <v>22917.066792097838</v>
      </c>
      <c r="AL702" s="118"/>
      <c r="AM702" s="118">
        <v>1016</v>
      </c>
      <c r="AN702" s="118">
        <v>31769</v>
      </c>
      <c r="AO702" s="118">
        <v>240</v>
      </c>
      <c r="AP702" s="118">
        <f t="shared" si="10"/>
        <v>185</v>
      </c>
    </row>
    <row r="703" spans="1:42" ht="12.75">
      <c r="A703" s="106">
        <v>2018</v>
      </c>
      <c r="B703" s="106">
        <v>-182795</v>
      </c>
      <c r="C703" s="106">
        <v>0</v>
      </c>
      <c r="D703" s="106">
        <v>182795</v>
      </c>
      <c r="E703" s="106" t="s">
        <v>1280</v>
      </c>
      <c r="F703" s="106" t="s">
        <v>1281</v>
      </c>
      <c r="G703" s="106" t="s">
        <v>179</v>
      </c>
      <c r="H703" s="106">
        <v>6</v>
      </c>
      <c r="I703" s="106" t="s">
        <v>3640</v>
      </c>
      <c r="J703" s="106">
        <v>34995</v>
      </c>
      <c r="K703" s="106">
        <v>29237</v>
      </c>
      <c r="L703" s="106">
        <v>33874</v>
      </c>
      <c r="M703" s="106">
        <v>0.33</v>
      </c>
      <c r="N703" s="106">
        <v>0.85</v>
      </c>
      <c r="O703" s="106">
        <v>0.99</v>
      </c>
      <c r="P703" s="106">
        <v>20876</v>
      </c>
      <c r="Q703" s="106">
        <v>14038.902978339351</v>
      </c>
      <c r="R703" s="106">
        <v>0.47046951074841703</v>
      </c>
      <c r="S703" s="106">
        <v>24657.516696750903</v>
      </c>
      <c r="T703" s="106">
        <v>22738.32084837545</v>
      </c>
      <c r="U703" s="106">
        <v>18406.453519855597</v>
      </c>
      <c r="V703" s="106">
        <v>0.85846489693309924</v>
      </c>
      <c r="W703" s="106">
        <v>72757.147465437782</v>
      </c>
      <c r="X703" s="110">
        <v>0.52222300657819753</v>
      </c>
      <c r="Y703" s="106">
        <v>345.64634146341461</v>
      </c>
      <c r="Z703" s="106">
        <v>13.512195121951219</v>
      </c>
      <c r="AA703" s="106">
        <v>66648.204248366019</v>
      </c>
      <c r="AB703" s="106">
        <v>719.55511060932156</v>
      </c>
      <c r="AC703" s="106">
        <v>1.5004155194841826</v>
      </c>
      <c r="AD703" s="106">
        <v>29.565217391304348</v>
      </c>
      <c r="AE703" s="106">
        <v>92.624183006535944</v>
      </c>
      <c r="AF703" s="106">
        <v>0.17985267201378585</v>
      </c>
      <c r="AG703" s="106">
        <v>32445</v>
      </c>
      <c r="AH703" s="106">
        <v>23963.483754512636</v>
      </c>
      <c r="AI703" s="106">
        <v>24657.517148014442</v>
      </c>
      <c r="AJ703" s="106">
        <v>25072.128158844764</v>
      </c>
      <c r="AK703" s="104">
        <v>18406.453519855597</v>
      </c>
      <c r="AM703" s="118">
        <v>1713</v>
      </c>
      <c r="AN703" s="118">
        <v>56686</v>
      </c>
      <c r="AO703" s="118">
        <v>389</v>
      </c>
      <c r="AP703" s="118">
        <f t="shared" si="10"/>
        <v>2550</v>
      </c>
    </row>
    <row r="704" spans="1:42" ht="12.75">
      <c r="A704" s="106">
        <v>2018</v>
      </c>
      <c r="B704" s="106">
        <v>-162557</v>
      </c>
      <c r="C704" s="106">
        <v>0</v>
      </c>
      <c r="D704" s="106">
        <v>162557</v>
      </c>
      <c r="E704" s="106" t="s">
        <v>1283</v>
      </c>
      <c r="F704" s="106" t="s">
        <v>1284</v>
      </c>
      <c r="G704" s="106" t="s">
        <v>124</v>
      </c>
      <c r="H704" s="106">
        <v>4</v>
      </c>
      <c r="I704" s="106" t="s">
        <v>24</v>
      </c>
      <c r="J704" s="106">
        <v>3520</v>
      </c>
      <c r="K704" s="106">
        <v>6866</v>
      </c>
      <c r="L704" s="106">
        <v>4475</v>
      </c>
      <c r="M704" s="106">
        <v>0.27</v>
      </c>
      <c r="N704" s="106">
        <v>0.15</v>
      </c>
      <c r="O704" s="106">
        <v>0.18</v>
      </c>
      <c r="P704" s="106">
        <v>1234</v>
      </c>
      <c r="Q704" s="106">
        <v>304.73582257158898</v>
      </c>
      <c r="R704" s="106">
        <v>5.9224360780120867E-2</v>
      </c>
      <c r="S704" s="106">
        <v>16706.395564289724</v>
      </c>
      <c r="T704" s="106">
        <v>17771.036215609209</v>
      </c>
      <c r="U704" s="106">
        <v>15384.989893318361</v>
      </c>
      <c r="V704" s="106">
        <v>0.31463858160825064</v>
      </c>
      <c r="W704" s="106">
        <v>62553.066211245401</v>
      </c>
      <c r="X704" s="110">
        <v>0.62684399415858638</v>
      </c>
      <c r="Y704" s="106">
        <v>490.88820826952525</v>
      </c>
      <c r="Z704" s="106">
        <v>16.36447166921899</v>
      </c>
      <c r="AA704" s="106">
        <v>49281.775179856115</v>
      </c>
      <c r="AB704" s="106">
        <v>512.88099204492278</v>
      </c>
      <c r="AC704" s="106">
        <v>2.0291476846165826</v>
      </c>
      <c r="AD704" s="106">
        <v>32.372634643377005</v>
      </c>
      <c r="AE704" s="106">
        <v>96.088129496402871</v>
      </c>
      <c r="AF704" s="106">
        <v>-7.7040989467646237E-3</v>
      </c>
      <c r="AG704" s="106">
        <v>2880</v>
      </c>
      <c r="AH704" s="106">
        <v>15655.357944974734</v>
      </c>
      <c r="AI704" s="106">
        <v>15655.357944974734</v>
      </c>
      <c r="AJ704" s="106">
        <v>16738.594329028634</v>
      </c>
      <c r="AK704" s="104">
        <v>16596.851768669287</v>
      </c>
      <c r="AL704" s="119">
        <v>29181541</v>
      </c>
      <c r="AM704" s="118">
        <v>6220</v>
      </c>
      <c r="AN704" s="118">
        <v>106850</v>
      </c>
      <c r="AO704" s="118">
        <v>882</v>
      </c>
      <c r="AP704" s="118">
        <f t="shared" si="10"/>
        <v>640</v>
      </c>
    </row>
    <row r="705" spans="1:42" ht="12.75">
      <c r="A705" s="106">
        <v>2018</v>
      </c>
      <c r="B705" s="106">
        <v>-220215</v>
      </c>
      <c r="C705" s="106">
        <v>0</v>
      </c>
      <c r="D705" s="106">
        <v>220215</v>
      </c>
      <c r="E705" s="106" t="s">
        <v>1285</v>
      </c>
      <c r="F705" s="106" t="s">
        <v>1286</v>
      </c>
      <c r="G705" s="106" t="s">
        <v>255</v>
      </c>
      <c r="H705" s="106">
        <v>6</v>
      </c>
      <c r="I705" s="106" t="s">
        <v>3640</v>
      </c>
      <c r="J705" s="106">
        <v>21950</v>
      </c>
      <c r="K705" s="106">
        <v>16235</v>
      </c>
      <c r="L705" s="106">
        <v>15959</v>
      </c>
      <c r="M705" s="106">
        <v>0.35</v>
      </c>
      <c r="N705" s="106">
        <v>0.55000000000000004</v>
      </c>
      <c r="O705" s="106">
        <v>0.98</v>
      </c>
      <c r="P705" s="106">
        <v>14111</v>
      </c>
      <c r="Q705" s="106">
        <v>8899.9034216335549</v>
      </c>
      <c r="R705" s="106">
        <v>0.4521813356895425</v>
      </c>
      <c r="S705" s="106">
        <v>22185.9646799117</v>
      </c>
      <c r="T705" s="106">
        <v>19875.437086092716</v>
      </c>
      <c r="U705" s="106">
        <v>16348.537527593819</v>
      </c>
      <c r="V705" s="106">
        <v>0.65952395982250611</v>
      </c>
      <c r="W705" s="106">
        <v>63424.465831435075</v>
      </c>
      <c r="X705" s="110">
        <v>0.51541279778594562</v>
      </c>
      <c r="Y705" s="106">
        <v>445.28693181818181</v>
      </c>
      <c r="Z705" s="106">
        <v>15.443181818181818</v>
      </c>
      <c r="AA705" s="106">
        <v>74806.944444444438</v>
      </c>
      <c r="AB705" s="106">
        <v>566.99044921239499</v>
      </c>
      <c r="AC705" s="106">
        <v>1.3367742893745012</v>
      </c>
      <c r="AD705" s="106">
        <v>24.81203007518797</v>
      </c>
      <c r="AE705" s="106">
        <v>131.93686868686868</v>
      </c>
      <c r="AF705" s="106">
        <v>8.0472460531875289E-2</v>
      </c>
      <c r="AG705" s="106">
        <v>21950</v>
      </c>
      <c r="AH705" s="106">
        <v>17211.949227373068</v>
      </c>
      <c r="AI705" s="106">
        <v>24029.853200883001</v>
      </c>
      <c r="AJ705" s="106">
        <v>24356.963024282562</v>
      </c>
      <c r="AK705" s="104">
        <v>16348.537527593819</v>
      </c>
      <c r="AM705" s="118">
        <v>1471</v>
      </c>
      <c r="AN705" s="118">
        <v>52247</v>
      </c>
      <c r="AO705" s="118">
        <v>304</v>
      </c>
      <c r="AP705" s="118">
        <f t="shared" si="10"/>
        <v>0</v>
      </c>
    </row>
    <row r="706" spans="1:42" ht="12.75">
      <c r="A706" s="106">
        <v>2018</v>
      </c>
      <c r="B706" s="106">
        <v>2179</v>
      </c>
      <c r="C706" s="106">
        <v>1</v>
      </c>
      <c r="D706" s="106">
        <v>114789</v>
      </c>
      <c r="E706" s="106" t="s">
        <v>3850</v>
      </c>
      <c r="F706" s="106" t="s">
        <v>548</v>
      </c>
      <c r="G706" s="106" t="s">
        <v>121</v>
      </c>
      <c r="H706" s="106">
        <v>4</v>
      </c>
      <c r="I706" s="106" t="s">
        <v>24</v>
      </c>
      <c r="J706" s="106">
        <v>1304</v>
      </c>
      <c r="K706" s="106">
        <v>3720</v>
      </c>
      <c r="L706" s="106">
        <v>2476</v>
      </c>
      <c r="M706" s="106">
        <v>0.67</v>
      </c>
      <c r="N706" s="106">
        <v>0.02</v>
      </c>
      <c r="O706" s="106">
        <v>0.17</v>
      </c>
      <c r="P706" s="106">
        <v>409</v>
      </c>
      <c r="Q706" s="106">
        <v>126.26969506663876</v>
      </c>
      <c r="R706" s="106">
        <v>7.9307112247482825E-2</v>
      </c>
      <c r="S706" s="106">
        <v>14403.924708673505</v>
      </c>
      <c r="T706" s="106">
        <v>14187.622426906706</v>
      </c>
      <c r="U706" s="106">
        <v>9626.2721124079344</v>
      </c>
      <c r="V706" s="106">
        <v>0.15228027395122642</v>
      </c>
      <c r="W706" s="106">
        <v>117571.43703221608</v>
      </c>
      <c r="X706" s="110">
        <v>0.59232084119708017</v>
      </c>
      <c r="Y706" s="106">
        <v>766.34759358288773</v>
      </c>
      <c r="Z706" s="106">
        <v>25.545454545454547</v>
      </c>
      <c r="AA706" s="106">
        <v>54787.174600046907</v>
      </c>
      <c r="AB706" s="106">
        <v>320.88245431816102</v>
      </c>
      <c r="AC706" s="106">
        <v>1.8252446987823749</v>
      </c>
      <c r="AD706" s="106">
        <v>19.63812197785057</v>
      </c>
      <c r="AE706" s="106">
        <v>170.73907863383639</v>
      </c>
      <c r="AF706" s="106">
        <v>0.20922633801233512</v>
      </c>
      <c r="AG706" s="106">
        <v>1104</v>
      </c>
      <c r="AH706" s="106">
        <v>12880.240039076129</v>
      </c>
      <c r="AI706" s="106">
        <v>12880.240039076129</v>
      </c>
      <c r="AJ706" s="106">
        <v>14570.808387411904</v>
      </c>
      <c r="AK706" s="104">
        <v>13858.035447631009</v>
      </c>
      <c r="AL706" s="118">
        <v>117760993</v>
      </c>
      <c r="AM706" s="118">
        <v>22771</v>
      </c>
      <c r="AN706" s="118">
        <v>429921</v>
      </c>
      <c r="AO706" s="118">
        <v>1635</v>
      </c>
      <c r="AP706" s="118">
        <f t="shared" si="10"/>
        <v>200</v>
      </c>
    </row>
    <row r="707" spans="1:42" ht="12.75">
      <c r="A707" s="106">
        <v>2018</v>
      </c>
      <c r="B707" s="106">
        <v>-114813</v>
      </c>
      <c r="C707" s="106">
        <v>0</v>
      </c>
      <c r="D707" s="106">
        <v>114813</v>
      </c>
      <c r="E707" s="106" t="s">
        <v>1287</v>
      </c>
      <c r="F707" s="106" t="s">
        <v>548</v>
      </c>
      <c r="G707" s="106" t="s">
        <v>121</v>
      </c>
      <c r="H707" s="106">
        <v>6</v>
      </c>
      <c r="I707" s="106" t="s">
        <v>3640</v>
      </c>
      <c r="J707" s="106">
        <v>30508</v>
      </c>
      <c r="K707" s="106">
        <v>19965</v>
      </c>
      <c r="L707" s="106">
        <v>19291</v>
      </c>
      <c r="M707" s="106">
        <v>0.46</v>
      </c>
      <c r="N707" s="106">
        <v>0.63</v>
      </c>
      <c r="O707" s="106">
        <v>0.97</v>
      </c>
      <c r="P707" s="106">
        <v>14665</v>
      </c>
      <c r="Q707" s="106">
        <v>4517.8908371040725</v>
      </c>
      <c r="R707" s="106">
        <v>0.21401434873346845</v>
      </c>
      <c r="S707" s="106">
        <v>20922.246323529413</v>
      </c>
      <c r="T707" s="106">
        <v>20317.943438914026</v>
      </c>
      <c r="U707" s="106">
        <v>17244.281578539882</v>
      </c>
      <c r="V707" s="106">
        <v>0.96219335489424873</v>
      </c>
      <c r="W707" s="106">
        <v>69463.422118380069</v>
      </c>
      <c r="X707" s="110">
        <v>0.62072494655382848</v>
      </c>
      <c r="Y707" s="106">
        <v>313.08125000000001</v>
      </c>
      <c r="Z707" s="106">
        <v>11.05</v>
      </c>
      <c r="AA707" s="106">
        <v>63915.911595091216</v>
      </c>
      <c r="AB707" s="106">
        <v>608.62575271711637</v>
      </c>
      <c r="AC707" s="106">
        <v>1.5645556404405576</v>
      </c>
      <c r="AD707" s="106">
        <v>28.597122302158272</v>
      </c>
      <c r="AE707" s="106">
        <v>105.0167714884696</v>
      </c>
      <c r="AF707" s="106">
        <v>7.2158042166567266E-2</v>
      </c>
      <c r="AG707" s="106">
        <v>29998</v>
      </c>
      <c r="AH707" s="106">
        <v>20031.62415158371</v>
      </c>
      <c r="AI707" s="106">
        <v>20922.246323529413</v>
      </c>
      <c r="AJ707" s="106">
        <v>21297.931278280543</v>
      </c>
      <c r="AK707" s="104">
        <v>18758.30910633484</v>
      </c>
      <c r="AL707" s="118"/>
      <c r="AM707" s="118">
        <v>2803</v>
      </c>
      <c r="AN707" s="118">
        <v>100186</v>
      </c>
      <c r="AO707" s="118">
        <v>654</v>
      </c>
      <c r="AP707" s="118">
        <f t="shared" si="10"/>
        <v>510</v>
      </c>
    </row>
    <row r="708" spans="1:42" ht="12.75">
      <c r="A708" s="106">
        <v>2018</v>
      </c>
      <c r="B708" s="106">
        <v>-155089</v>
      </c>
      <c r="C708" s="106">
        <v>0</v>
      </c>
      <c r="D708" s="106">
        <v>155089</v>
      </c>
      <c r="E708" s="106" t="s">
        <v>1288</v>
      </c>
      <c r="F708" s="106" t="s">
        <v>1289</v>
      </c>
      <c r="G708" s="106" t="s">
        <v>129</v>
      </c>
      <c r="H708" s="106">
        <v>6</v>
      </c>
      <c r="I708" s="106" t="s">
        <v>3640</v>
      </c>
      <c r="J708" s="106">
        <v>27565</v>
      </c>
      <c r="K708" s="106">
        <v>18780</v>
      </c>
      <c r="L708" s="106">
        <v>15963</v>
      </c>
      <c r="M708" s="106">
        <v>0.43</v>
      </c>
      <c r="N708" s="106">
        <v>0.72</v>
      </c>
      <c r="O708" s="106">
        <v>0.99</v>
      </c>
      <c r="P708" s="106">
        <v>15386</v>
      </c>
      <c r="Q708" s="106">
        <v>7651.54</v>
      </c>
      <c r="R708" s="106">
        <v>0.36871906274576316</v>
      </c>
      <c r="S708" s="106">
        <v>18559.498571428572</v>
      </c>
      <c r="T708" s="106">
        <v>20245.729285714286</v>
      </c>
      <c r="U708" s="106">
        <v>17257.40642857143</v>
      </c>
      <c r="V708" s="106">
        <v>0.75910247893978766</v>
      </c>
      <c r="W708" s="106">
        <v>58561.26315789474</v>
      </c>
      <c r="X708" s="110">
        <v>0.60192052496715265</v>
      </c>
      <c r="Y708" s="106">
        <v>336.66760563380279</v>
      </c>
      <c r="Z708" s="106">
        <v>11.830985915492956</v>
      </c>
      <c r="AA708" s="106">
        <v>47188.220703125</v>
      </c>
      <c r="AB708" s="106">
        <v>606.45018700268577</v>
      </c>
      <c r="AC708" s="106">
        <v>2.1191729315061369</v>
      </c>
      <c r="AD708" s="106">
        <v>40.062597809076685</v>
      </c>
      <c r="AE708" s="106">
        <v>77.810546875</v>
      </c>
      <c r="AF708" s="106">
        <v>1.3692853071230989E-2</v>
      </c>
      <c r="AG708" s="106">
        <v>27150</v>
      </c>
      <c r="AH708" s="106">
        <v>15637.752142857144</v>
      </c>
      <c r="AI708" s="106">
        <v>18559.498571428572</v>
      </c>
      <c r="AJ708" s="106">
        <v>21208.609285714287</v>
      </c>
      <c r="AK708" s="104">
        <v>17257.40642857143</v>
      </c>
      <c r="AL708" s="118"/>
      <c r="AM708" s="118">
        <v>1343</v>
      </c>
      <c r="AN708" s="118">
        <v>39839</v>
      </c>
      <c r="AO708" s="118">
        <v>278</v>
      </c>
      <c r="AP708" s="118">
        <f t="shared" si="10"/>
        <v>415</v>
      </c>
    </row>
    <row r="709" spans="1:42" ht="12.75">
      <c r="A709" s="106">
        <v>2018</v>
      </c>
      <c r="B709" s="106">
        <v>-127200</v>
      </c>
      <c r="C709" s="106">
        <v>0</v>
      </c>
      <c r="D709" s="106">
        <v>127200</v>
      </c>
      <c r="E709" s="106" t="s">
        <v>1290</v>
      </c>
      <c r="F709" s="106" t="s">
        <v>610</v>
      </c>
      <c r="G709" s="106" t="s">
        <v>66</v>
      </c>
      <c r="H709" s="106">
        <v>4</v>
      </c>
      <c r="I709" s="106" t="s">
        <v>24</v>
      </c>
      <c r="J709" s="106">
        <v>3908</v>
      </c>
      <c r="K709" s="106">
        <v>8941</v>
      </c>
      <c r="L709" s="106">
        <v>7528</v>
      </c>
      <c r="M709" s="106">
        <v>0.45</v>
      </c>
      <c r="N709" s="106">
        <v>0.3</v>
      </c>
      <c r="O709" s="106">
        <v>0.05</v>
      </c>
      <c r="P709" s="106">
        <v>1812</v>
      </c>
      <c r="Q709" s="106">
        <v>124.43683669976036</v>
      </c>
      <c r="R709" s="106">
        <v>1.5150325655099552E-2</v>
      </c>
      <c r="S709" s="106">
        <v>10393.648750427936</v>
      </c>
      <c r="T709" s="106">
        <v>10775.398750427936</v>
      </c>
      <c r="U709" s="106">
        <v>7577.5311041765353</v>
      </c>
      <c r="V709" s="106">
        <v>1.0675032656013803</v>
      </c>
      <c r="W709" s="106">
        <v>79704.768796328979</v>
      </c>
      <c r="X709" s="110">
        <v>0.59783966703224589</v>
      </c>
      <c r="Y709" s="106">
        <v>708.18493150684935</v>
      </c>
      <c r="Z709" s="106">
        <v>24.008219178082193</v>
      </c>
      <c r="AA709" s="106">
        <v>18518.275135159722</v>
      </c>
      <c r="AB709" s="106">
        <v>256.88632938110732</v>
      </c>
      <c r="AC709" s="106">
        <v>5.400070971520182</v>
      </c>
      <c r="AD709" s="106">
        <v>47.458804844153271</v>
      </c>
      <c r="AE709" s="106">
        <v>72.087429408073618</v>
      </c>
      <c r="AF709" s="106">
        <v>-2.1416230126187295E-2</v>
      </c>
      <c r="AG709" s="106">
        <v>3470</v>
      </c>
      <c r="AH709" s="106">
        <v>10865.505135227662</v>
      </c>
      <c r="AI709" s="106">
        <v>10926.756333447449</v>
      </c>
      <c r="AJ709" s="106">
        <v>10417.737589866483</v>
      </c>
      <c r="AK709" s="104">
        <v>7903.2652345087299</v>
      </c>
      <c r="AM709" s="118">
        <v>19259</v>
      </c>
      <c r="AN709" s="118">
        <v>344650</v>
      </c>
      <c r="AO709" s="118">
        <v>1915</v>
      </c>
      <c r="AP709" s="118">
        <f t="shared" si="10"/>
        <v>438</v>
      </c>
    </row>
    <row r="710" spans="1:42" ht="12.75">
      <c r="A710" s="106">
        <v>2018</v>
      </c>
      <c r="B710" s="106">
        <v>-403469</v>
      </c>
      <c r="C710" s="106">
        <v>0</v>
      </c>
      <c r="D710" s="106">
        <v>403469</v>
      </c>
      <c r="E710" s="106" t="s">
        <v>1291</v>
      </c>
      <c r="F710" s="106" t="s">
        <v>1206</v>
      </c>
      <c r="G710" s="106" t="s">
        <v>243</v>
      </c>
      <c r="H710" s="106">
        <v>4</v>
      </c>
      <c r="I710" s="106" t="s">
        <v>24</v>
      </c>
      <c r="J710" s="106">
        <v>3810</v>
      </c>
      <c r="K710" s="106">
        <v>670</v>
      </c>
      <c r="L710" s="106">
        <v>-59</v>
      </c>
      <c r="M710" s="106">
        <v>0.59</v>
      </c>
      <c r="N710" s="106">
        <v>0.11</v>
      </c>
      <c r="O710" s="106">
        <v>0.43</v>
      </c>
      <c r="P710" s="106">
        <v>3047</v>
      </c>
      <c r="Q710" s="106">
        <v>1562.9588014981273</v>
      </c>
      <c r="R710" s="106">
        <v>0.44738788768935533</v>
      </c>
      <c r="S710" s="106">
        <v>11459.770287141073</v>
      </c>
      <c r="T710" s="106">
        <v>10690.148564294632</v>
      </c>
      <c r="U710" s="106">
        <v>7523.8992408923086</v>
      </c>
      <c r="V710" s="106">
        <v>0.25659059696868708</v>
      </c>
      <c r="W710" s="106">
        <v>89790.775609756107</v>
      </c>
      <c r="X710" s="110">
        <v>0.71655259389763337</v>
      </c>
      <c r="Y710" s="106">
        <v>728.30303030303025</v>
      </c>
      <c r="Z710" s="106">
        <v>24.272727272727273</v>
      </c>
      <c r="AA710" s="106">
        <v>19759.486203130291</v>
      </c>
      <c r="AB710" s="106">
        <v>250.75490105495294</v>
      </c>
      <c r="AC710" s="106">
        <v>5.0608603367509639</v>
      </c>
      <c r="AD710" s="106">
        <v>38.413098236775816</v>
      </c>
      <c r="AE710" s="106">
        <v>78.8</v>
      </c>
      <c r="AF710" s="106"/>
      <c r="AG710" s="106">
        <v>2656</v>
      </c>
      <c r="AH710" s="106">
        <v>10904.822721598002</v>
      </c>
      <c r="AI710" s="106">
        <v>10948.188514357054</v>
      </c>
      <c r="AJ710" s="106">
        <v>11470.337078651686</v>
      </c>
      <c r="AK710" s="104">
        <v>8207.3046192259681</v>
      </c>
      <c r="AL710" s="118">
        <v>6186399</v>
      </c>
      <c r="AM710" s="118">
        <v>1791</v>
      </c>
      <c r="AN710" s="118">
        <v>24034</v>
      </c>
      <c r="AO710" s="118">
        <v>132</v>
      </c>
      <c r="AP710" s="118">
        <f t="shared" ref="AP710:AP773" si="11">J710-AG710</f>
        <v>1154</v>
      </c>
    </row>
    <row r="711" spans="1:42">
      <c r="A711" s="106">
        <v>2018</v>
      </c>
      <c r="B711" s="106">
        <v>-162584</v>
      </c>
      <c r="C711" s="106">
        <v>0</v>
      </c>
      <c r="D711" s="106">
        <v>162584</v>
      </c>
      <c r="E711" s="106" t="s">
        <v>1292</v>
      </c>
      <c r="F711" s="106" t="s">
        <v>1293</v>
      </c>
      <c r="G711" s="106" t="s">
        <v>124</v>
      </c>
      <c r="H711" s="106">
        <v>2</v>
      </c>
      <c r="I711" s="106" t="s">
        <v>25</v>
      </c>
      <c r="J711" s="107">
        <v>8914</v>
      </c>
      <c r="K711" s="107">
        <v>13980</v>
      </c>
      <c r="L711" s="107">
        <v>8940</v>
      </c>
      <c r="M711" s="107">
        <v>0.44</v>
      </c>
      <c r="N711" s="107">
        <v>0.67</v>
      </c>
      <c r="O711" s="107">
        <v>0.64</v>
      </c>
      <c r="P711" s="107">
        <v>3240</v>
      </c>
      <c r="Q711" s="107">
        <v>1832.9517329364235</v>
      </c>
      <c r="R711" s="107">
        <v>0.23122257954672407</v>
      </c>
      <c r="S711" s="107">
        <v>23258.441845630448</v>
      </c>
      <c r="T711" s="107">
        <v>23814.332128428661</v>
      </c>
      <c r="U711" s="107">
        <v>15771.34921520354</v>
      </c>
      <c r="V711" s="107">
        <v>0.38641373780186183</v>
      </c>
      <c r="W711" s="107">
        <v>83837.392857142855</v>
      </c>
      <c r="X711" s="111">
        <v>0.60782758894461053</v>
      </c>
      <c r="Y711" s="107">
        <v>468.25675675675677</v>
      </c>
      <c r="Z711" s="107">
        <v>15.888513513513514</v>
      </c>
      <c r="AA711" s="107">
        <v>58449.689014264972</v>
      </c>
      <c r="AB711" s="107">
        <v>535.14079939325165</v>
      </c>
      <c r="AC711" s="107">
        <v>1.7108730890868287</v>
      </c>
      <c r="AD711" s="107">
        <v>27.841158402808247</v>
      </c>
      <c r="AE711" s="107">
        <v>109.22301024428684</v>
      </c>
      <c r="AF711" s="107">
        <v>-8.9890871142856901E-3</v>
      </c>
      <c r="AG711" s="107">
        <v>6468</v>
      </c>
      <c r="AH711" s="107">
        <v>21416.899851158836</v>
      </c>
      <c r="AI711" s="107">
        <v>21652.331065277482</v>
      </c>
      <c r="AJ711" s="107">
        <v>23450.714437593026</v>
      </c>
      <c r="AK711" s="104">
        <v>19115.599404635341</v>
      </c>
      <c r="AL711" s="119">
        <v>41138229</v>
      </c>
      <c r="AM711" s="118">
        <v>4725</v>
      </c>
      <c r="AN711" s="118">
        <v>138604</v>
      </c>
      <c r="AO711" s="118">
        <v>1027</v>
      </c>
      <c r="AP711" s="118">
        <f t="shared" si="11"/>
        <v>2446</v>
      </c>
    </row>
    <row r="712" spans="1:42" ht="12.75">
      <c r="A712" s="106">
        <v>2018</v>
      </c>
      <c r="B712" s="106">
        <v>-114859</v>
      </c>
      <c r="C712" s="106">
        <v>0</v>
      </c>
      <c r="D712" s="106">
        <v>114859</v>
      </c>
      <c r="E712" s="106" t="s">
        <v>4088</v>
      </c>
      <c r="F712" s="106" t="s">
        <v>550</v>
      </c>
      <c r="G712" s="106" t="s">
        <v>121</v>
      </c>
      <c r="H712" s="106">
        <v>4</v>
      </c>
      <c r="I712" s="106" t="s">
        <v>24</v>
      </c>
      <c r="J712" s="106">
        <v>1138</v>
      </c>
      <c r="K712" s="106">
        <v>6882</v>
      </c>
      <c r="L712" s="106">
        <v>4660</v>
      </c>
      <c r="M712" s="106">
        <v>0.45</v>
      </c>
      <c r="N712" s="106">
        <v>0.05</v>
      </c>
      <c r="O712" s="106">
        <v>0</v>
      </c>
      <c r="P712" s="106"/>
      <c r="Q712" s="106"/>
      <c r="R712" s="106"/>
      <c r="S712" s="106">
        <v>15492.320015927795</v>
      </c>
      <c r="T712" s="106">
        <v>14663.540814972126</v>
      </c>
      <c r="U712" s="106">
        <v>11188.87811693919</v>
      </c>
      <c r="V712" s="106">
        <v>0.15937111365268056</v>
      </c>
      <c r="W712" s="106">
        <v>163808.99174852652</v>
      </c>
      <c r="X712" s="110">
        <v>0.62894085293858915</v>
      </c>
      <c r="Y712" s="106">
        <v>873.78286082474222</v>
      </c>
      <c r="Z712" s="106">
        <v>29.126288659793811</v>
      </c>
      <c r="AA712" s="106">
        <v>66063.485684184838</v>
      </c>
      <c r="AB712" s="106">
        <v>372.9650791108686</v>
      </c>
      <c r="AC712" s="106">
        <v>1.5136954849468278</v>
      </c>
      <c r="AD712" s="106">
        <v>18.653607192456693</v>
      </c>
      <c r="AE712" s="106">
        <v>177.13048589341693</v>
      </c>
      <c r="AF712" s="106"/>
      <c r="AG712" s="106">
        <v>1104</v>
      </c>
      <c r="AH712" s="106">
        <v>14553.001858242633</v>
      </c>
      <c r="AI712" s="106">
        <v>14553.001858242633</v>
      </c>
      <c r="AJ712" s="106">
        <v>15644.372644013803</v>
      </c>
      <c r="AK712" s="104">
        <v>13768.914587204672</v>
      </c>
      <c r="AL712" s="118">
        <v>139026720</v>
      </c>
      <c r="AM712" s="118">
        <v>24124</v>
      </c>
      <c r="AN712" s="118">
        <v>452037</v>
      </c>
      <c r="AO712" s="118">
        <v>2338</v>
      </c>
      <c r="AP712" s="118">
        <f t="shared" si="11"/>
        <v>34</v>
      </c>
    </row>
    <row r="713" spans="1:42">
      <c r="A713" s="106">
        <v>2018</v>
      </c>
      <c r="B713" s="106">
        <v>-191302</v>
      </c>
      <c r="C713" s="106">
        <v>0</v>
      </c>
      <c r="D713" s="106">
        <v>191302</v>
      </c>
      <c r="E713" s="106" t="s">
        <v>1294</v>
      </c>
      <c r="F713" s="106" t="s">
        <v>1295</v>
      </c>
      <c r="G713" s="106" t="s">
        <v>69</v>
      </c>
      <c r="H713" s="106">
        <v>4</v>
      </c>
      <c r="I713" s="106" t="s">
        <v>24</v>
      </c>
      <c r="J713" s="107">
        <v>5020</v>
      </c>
      <c r="K713" s="107">
        <v>8291</v>
      </c>
      <c r="L713" s="107">
        <v>6857</v>
      </c>
      <c r="M713" s="107">
        <v>0.64</v>
      </c>
      <c r="N713" s="107">
        <v>0.33</v>
      </c>
      <c r="O713" s="107">
        <v>0.1</v>
      </c>
      <c r="P713" s="107">
        <v>628</v>
      </c>
      <c r="Q713" s="107">
        <v>99.453308596165741</v>
      </c>
      <c r="R713" s="107">
        <v>1.9034903319887126E-2</v>
      </c>
      <c r="S713" s="107">
        <v>14643.214594928881</v>
      </c>
      <c r="T713" s="107">
        <v>15393.482374768089</v>
      </c>
      <c r="U713" s="107">
        <v>13187.24758583435</v>
      </c>
      <c r="V713" s="107">
        <v>0.3886583079579799</v>
      </c>
      <c r="W713" s="107">
        <v>81456.005025125633</v>
      </c>
      <c r="X713" s="111">
        <v>0.65122233060028578</v>
      </c>
      <c r="Y713" s="107">
        <v>676.81395348837202</v>
      </c>
      <c r="Z713" s="107">
        <v>22.562790697674416</v>
      </c>
      <c r="AA713" s="107">
        <v>56263.270042992459</v>
      </c>
      <c r="AB713" s="107">
        <v>439.6202318584505</v>
      </c>
      <c r="AC713" s="107">
        <v>1.7773584778059821</v>
      </c>
      <c r="AD713" s="107">
        <v>23.152107513744653</v>
      </c>
      <c r="AE713" s="107">
        <v>127.98153034300792</v>
      </c>
      <c r="AF713" s="107">
        <v>0.17438057260629958</v>
      </c>
      <c r="AG713" s="107">
        <v>4450</v>
      </c>
      <c r="AH713" s="107">
        <v>14606.081014223872</v>
      </c>
      <c r="AI713" s="107">
        <v>14606.081014223872</v>
      </c>
      <c r="AJ713" s="107">
        <v>14643.214594928881</v>
      </c>
      <c r="AK713" s="104">
        <v>15343.039579468152</v>
      </c>
      <c r="AL713" s="119">
        <v>8977503</v>
      </c>
      <c r="AM713" s="118">
        <v>2403</v>
      </c>
      <c r="AN713" s="118">
        <v>48505</v>
      </c>
      <c r="AO713" s="118">
        <v>357</v>
      </c>
      <c r="AP713" s="118">
        <f t="shared" si="11"/>
        <v>570</v>
      </c>
    </row>
    <row r="714" spans="1:42" ht="12.75">
      <c r="A714" s="106">
        <v>2018</v>
      </c>
      <c r="B714" s="106">
        <v>-218070</v>
      </c>
      <c r="C714" s="106">
        <v>0</v>
      </c>
      <c r="D714" s="106">
        <v>218070</v>
      </c>
      <c r="E714" s="106" t="s">
        <v>4089</v>
      </c>
      <c r="F714" s="106" t="s">
        <v>1082</v>
      </c>
      <c r="G714" s="106" t="s">
        <v>79</v>
      </c>
      <c r="H714" s="106">
        <v>7</v>
      </c>
      <c r="I714" s="106" t="s">
        <v>3641</v>
      </c>
      <c r="J714" s="106">
        <v>48348</v>
      </c>
      <c r="K714" s="106">
        <v>32748</v>
      </c>
      <c r="L714" s="106">
        <v>11788</v>
      </c>
      <c r="M714" s="106">
        <v>0.15</v>
      </c>
      <c r="N714" s="106">
        <v>0.37</v>
      </c>
      <c r="O714" s="106">
        <v>0.94</v>
      </c>
      <c r="P714" s="106">
        <v>28028</v>
      </c>
      <c r="Q714" s="106">
        <v>23639.545892059126</v>
      </c>
      <c r="R714" s="106">
        <v>0.51081871050724581</v>
      </c>
      <c r="S714" s="106">
        <v>45258.379855620486</v>
      </c>
      <c r="T714" s="106">
        <v>55306.266070814716</v>
      </c>
      <c r="U714" s="106">
        <v>46018.510839315699</v>
      </c>
      <c r="V714" s="106">
        <v>0.49193713776940567</v>
      </c>
      <c r="W714" s="106">
        <v>90415.13732004429</v>
      </c>
      <c r="X714" s="110">
        <v>0.50747054148825244</v>
      </c>
      <c r="Y714" s="106">
        <v>317.54156479217602</v>
      </c>
      <c r="Z714" s="106">
        <v>10.668704156479217</v>
      </c>
      <c r="AA714" s="106">
        <v>199802.75825607366</v>
      </c>
      <c r="AB714" s="106">
        <v>1546.1216177721881</v>
      </c>
      <c r="AC714" s="106">
        <v>0.50049359114370573</v>
      </c>
      <c r="AD714" s="106">
        <v>23.911491791577443</v>
      </c>
      <c r="AE714" s="106">
        <v>129.22835820895523</v>
      </c>
      <c r="AF714" s="106">
        <v>3.5996109825132301E-2</v>
      </c>
      <c r="AG714" s="106">
        <v>47968</v>
      </c>
      <c r="AH714" s="106">
        <v>37962.110003437607</v>
      </c>
      <c r="AI714" s="106">
        <v>45372.161223788244</v>
      </c>
      <c r="AJ714" s="106">
        <v>66339.882090065308</v>
      </c>
      <c r="AK714" s="104">
        <v>47280.795462358197</v>
      </c>
      <c r="AL714" s="118"/>
      <c r="AM714" s="118">
        <v>2734</v>
      </c>
      <c r="AN714" s="118">
        <v>86583</v>
      </c>
      <c r="AO714" s="118">
        <v>623</v>
      </c>
      <c r="AP714" s="118">
        <f t="shared" si="11"/>
        <v>380</v>
      </c>
    </row>
    <row r="715" spans="1:42" ht="12.75">
      <c r="A715" s="106">
        <v>2018</v>
      </c>
      <c r="B715" s="106">
        <v>-101240</v>
      </c>
      <c r="C715" s="106">
        <v>0</v>
      </c>
      <c r="D715" s="106">
        <v>101240</v>
      </c>
      <c r="E715" s="106" t="s">
        <v>1296</v>
      </c>
      <c r="F715" s="106" t="s">
        <v>1297</v>
      </c>
      <c r="G715" s="106" t="s">
        <v>85</v>
      </c>
      <c r="H715" s="106">
        <v>4</v>
      </c>
      <c r="I715" s="106" t="s">
        <v>24</v>
      </c>
      <c r="J715" s="106">
        <v>4500</v>
      </c>
      <c r="K715" s="106">
        <v>4518</v>
      </c>
      <c r="L715" s="106">
        <v>4153</v>
      </c>
      <c r="M715" s="106">
        <v>0.65</v>
      </c>
      <c r="N715" s="106">
        <v>0.03</v>
      </c>
      <c r="O715" s="106">
        <v>0.22</v>
      </c>
      <c r="P715" s="106">
        <v>3726</v>
      </c>
      <c r="Q715" s="106">
        <v>565.98496240601503</v>
      </c>
      <c r="R715" s="106">
        <v>0.11851953150853055</v>
      </c>
      <c r="S715" s="106">
        <v>13360.142588614393</v>
      </c>
      <c r="T715" s="106">
        <v>13673.808539205156</v>
      </c>
      <c r="U715" s="106">
        <v>12444.005151228572</v>
      </c>
      <c r="V715" s="106">
        <v>0.33827311146304162</v>
      </c>
      <c r="W715" s="106">
        <v>69988.13056379823</v>
      </c>
      <c r="X715" s="110">
        <v>0.61758091114118674</v>
      </c>
      <c r="Y715" s="106">
        <v>582.85565217391309</v>
      </c>
      <c r="Z715" s="106">
        <v>19.429565217391307</v>
      </c>
      <c r="AA715" s="106">
        <v>40053.133261171301</v>
      </c>
      <c r="AB715" s="106">
        <v>414.82245003468859</v>
      </c>
      <c r="AC715" s="106">
        <v>2.4966835764867108</v>
      </c>
      <c r="AD715" s="106">
        <v>34.965246297975213</v>
      </c>
      <c r="AE715" s="106">
        <v>96.554883318928262</v>
      </c>
      <c r="AF715" s="106">
        <v>-2.2772145835468393E-2</v>
      </c>
      <c r="AG715" s="106">
        <v>3570</v>
      </c>
      <c r="AH715" s="106">
        <v>12558.514500537058</v>
      </c>
      <c r="AI715" s="106">
        <v>12559.900375939849</v>
      </c>
      <c r="AJ715" s="106">
        <v>13429.192803437165</v>
      </c>
      <c r="AK715" s="104">
        <v>13576.277926960258</v>
      </c>
      <c r="AL715" s="119">
        <v>22910381</v>
      </c>
      <c r="AM715" s="118">
        <v>4979</v>
      </c>
      <c r="AN715" s="118">
        <v>111714</v>
      </c>
      <c r="AO715" s="118">
        <v>642</v>
      </c>
      <c r="AP715" s="118">
        <f t="shared" si="11"/>
        <v>930</v>
      </c>
    </row>
    <row r="716" spans="1:42" ht="12.75">
      <c r="A716" s="106">
        <v>2018</v>
      </c>
      <c r="B716" s="106">
        <v>-131450</v>
      </c>
      <c r="C716" s="106">
        <v>0</v>
      </c>
      <c r="D716" s="106">
        <v>131450</v>
      </c>
      <c r="E716" s="106" t="s">
        <v>1298</v>
      </c>
      <c r="F716" s="106" t="s">
        <v>155</v>
      </c>
      <c r="G716" s="106" t="s">
        <v>156</v>
      </c>
      <c r="H716" s="106">
        <v>6</v>
      </c>
      <c r="I716" s="106" t="s">
        <v>3640</v>
      </c>
      <c r="J716" s="106">
        <v>16558</v>
      </c>
      <c r="K716" s="106">
        <v>14718</v>
      </c>
      <c r="L716" s="106">
        <v>13354</v>
      </c>
      <c r="M716" s="106">
        <v>0.66</v>
      </c>
      <c r="N716" s="106">
        <v>0.53</v>
      </c>
      <c r="O716" s="106">
        <v>0.94</v>
      </c>
      <c r="P716" s="106">
        <v>8624</v>
      </c>
      <c r="Q716" s="106">
        <v>6796.9661368348306</v>
      </c>
      <c r="R716" s="106">
        <v>0.33550952181959287</v>
      </c>
      <c r="S716" s="106">
        <v>102641.98134070491</v>
      </c>
      <c r="T716" s="106">
        <v>104792.80511402902</v>
      </c>
      <c r="U716" s="106">
        <v>72959.655200764115</v>
      </c>
      <c r="V716" s="106">
        <v>0.18450844358660534</v>
      </c>
      <c r="W716" s="106">
        <v>125077.64028776978</v>
      </c>
      <c r="X716" s="110">
        <v>0.61149542274122137</v>
      </c>
      <c r="Y716" s="106">
        <v>204.11940298507463</v>
      </c>
      <c r="Z716" s="106">
        <v>7.1990049751243781</v>
      </c>
      <c r="AA716" s="106">
        <v>285331.40831217752</v>
      </c>
      <c r="AB716" s="106">
        <v>2573.1846805963164</v>
      </c>
      <c r="AC716" s="106">
        <v>0.35046965418749576</v>
      </c>
      <c r="AD716" s="106">
        <v>25.605536332179931</v>
      </c>
      <c r="AE716" s="106">
        <v>110.88648648648649</v>
      </c>
      <c r="AF716" s="106">
        <v>1.4696161970218136E-2</v>
      </c>
      <c r="AG716" s="106">
        <v>16032</v>
      </c>
      <c r="AH716" s="106">
        <v>99092.134761575668</v>
      </c>
      <c r="AI716" s="106">
        <v>102641.98134070491</v>
      </c>
      <c r="AJ716" s="106">
        <v>110159.1402902557</v>
      </c>
      <c r="AK716" s="104">
        <v>85293.639253628193</v>
      </c>
      <c r="AL716" s="118"/>
      <c r="AM716" s="118">
        <v>1129</v>
      </c>
      <c r="AN716" s="118">
        <v>41028</v>
      </c>
      <c r="AO716" s="118">
        <v>188</v>
      </c>
      <c r="AP716" s="118">
        <f t="shared" si="11"/>
        <v>526</v>
      </c>
    </row>
    <row r="717" spans="1:42" ht="12.75">
      <c r="A717" s="106">
        <v>2018</v>
      </c>
      <c r="B717" s="106">
        <v>-224961</v>
      </c>
      <c r="C717" s="106">
        <v>0</v>
      </c>
      <c r="D717" s="106">
        <v>224961</v>
      </c>
      <c r="E717" s="106" t="s">
        <v>1299</v>
      </c>
      <c r="F717" s="106" t="s">
        <v>1300</v>
      </c>
      <c r="G717" s="106" t="s">
        <v>60</v>
      </c>
      <c r="H717" s="106">
        <v>4</v>
      </c>
      <c r="I717" s="106" t="s">
        <v>24</v>
      </c>
      <c r="J717" s="106">
        <v>2050</v>
      </c>
      <c r="K717" s="106">
        <v>3632</v>
      </c>
      <c r="L717" s="106">
        <v>2105</v>
      </c>
      <c r="M717" s="106">
        <v>0.45</v>
      </c>
      <c r="N717" s="106">
        <v>0.1</v>
      </c>
      <c r="O717" s="106">
        <v>0.28000000000000003</v>
      </c>
      <c r="P717" s="106">
        <v>3000</v>
      </c>
      <c r="Q717" s="106">
        <v>678.95528743789919</v>
      </c>
      <c r="R717" s="106">
        <v>0.19527349982118858</v>
      </c>
      <c r="S717" s="106">
        <v>19211.025550035487</v>
      </c>
      <c r="T717" s="106">
        <v>18449.111426543648</v>
      </c>
      <c r="U717" s="106">
        <v>13624.778453180366</v>
      </c>
      <c r="V717" s="106">
        <v>0.20536040813360656</v>
      </c>
      <c r="W717" s="106">
        <v>84780.87184115524</v>
      </c>
      <c r="X717" s="110">
        <v>0.6022820796684013</v>
      </c>
      <c r="Y717" s="106">
        <v>563.74666666666667</v>
      </c>
      <c r="Z717" s="106">
        <v>18.786666666666665</v>
      </c>
      <c r="AA717" s="106">
        <v>30715.70054484982</v>
      </c>
      <c r="AB717" s="106">
        <v>454.04112581374937</v>
      </c>
      <c r="AC717" s="106">
        <v>3.2556639837656984</v>
      </c>
      <c r="AD717" s="106">
        <v>55.358724534986713</v>
      </c>
      <c r="AE717" s="106">
        <v>67.649600000000007</v>
      </c>
      <c r="AF717" s="106">
        <v>3.9951581568917677E-2</v>
      </c>
      <c r="AG717" s="106">
        <v>1200</v>
      </c>
      <c r="AH717" s="106">
        <v>18023.36976579134</v>
      </c>
      <c r="AI717" s="106">
        <v>18023.36976579134</v>
      </c>
      <c r="AJ717" s="106">
        <v>19418.585521646557</v>
      </c>
      <c r="AK717" s="104">
        <v>14981.26330731015</v>
      </c>
      <c r="AL717" s="118">
        <v>18448686</v>
      </c>
      <c r="AM717" s="118">
        <v>2208</v>
      </c>
      <c r="AN717" s="118">
        <v>42281</v>
      </c>
      <c r="AO717" s="118">
        <v>281</v>
      </c>
      <c r="AP717" s="118">
        <f t="shared" si="11"/>
        <v>850</v>
      </c>
    </row>
    <row r="718" spans="1:42" ht="12.75">
      <c r="A718" s="106">
        <v>2018</v>
      </c>
      <c r="B718" s="106">
        <v>-212601</v>
      </c>
      <c r="C718" s="106">
        <v>0</v>
      </c>
      <c r="D718" s="106">
        <v>212601</v>
      </c>
      <c r="E718" s="106" t="s">
        <v>1301</v>
      </c>
      <c r="F718" s="106" t="s">
        <v>1302</v>
      </c>
      <c r="G718" s="106" t="s">
        <v>104</v>
      </c>
      <c r="H718" s="106">
        <v>6</v>
      </c>
      <c r="I718" s="106" t="s">
        <v>3640</v>
      </c>
      <c r="J718" s="106">
        <v>31842</v>
      </c>
      <c r="K718" s="106">
        <v>22431</v>
      </c>
      <c r="L718" s="106">
        <v>18226</v>
      </c>
      <c r="M718" s="106">
        <v>0.38</v>
      </c>
      <c r="N718" s="106">
        <v>0.73</v>
      </c>
      <c r="O718" s="106">
        <v>0.95</v>
      </c>
      <c r="P718" s="106">
        <v>18583</v>
      </c>
      <c r="Q718" s="106">
        <v>11164.997364259358</v>
      </c>
      <c r="R718" s="106">
        <v>0.39511608167224765</v>
      </c>
      <c r="S718" s="106">
        <v>22753.2946758039</v>
      </c>
      <c r="T718" s="106">
        <v>23143.911439114392</v>
      </c>
      <c r="U718" s="106">
        <v>19668.625854855807</v>
      </c>
      <c r="V718" s="106">
        <v>0.86902433462852824</v>
      </c>
      <c r="W718" s="106">
        <v>83423.410404624272</v>
      </c>
      <c r="X718" s="110">
        <v>0.65744579081632648</v>
      </c>
      <c r="Y718" s="106">
        <v>366.15693430656933</v>
      </c>
      <c r="Z718" s="106">
        <v>13.846715328467154</v>
      </c>
      <c r="AA718" s="106">
        <v>64441.076419104436</v>
      </c>
      <c r="AB718" s="106">
        <v>743.79545379930562</v>
      </c>
      <c r="AC718" s="106">
        <v>1.5518052390936417</v>
      </c>
      <c r="AD718" s="106">
        <v>32.795242141036532</v>
      </c>
      <c r="AE718" s="106">
        <v>86.638169257340238</v>
      </c>
      <c r="AF718" s="106">
        <v>2.3017190053330968E-2</v>
      </c>
      <c r="AG718" s="106">
        <v>31090</v>
      </c>
      <c r="AH718" s="106">
        <v>21795.730100158144</v>
      </c>
      <c r="AI718" s="106">
        <v>22723.247232472324</v>
      </c>
      <c r="AJ718" s="106">
        <v>24101.739588824461</v>
      </c>
      <c r="AK718" s="104">
        <v>20529.783869267263</v>
      </c>
      <c r="AL718" s="118"/>
      <c r="AM718" s="118">
        <v>3076</v>
      </c>
      <c r="AN718" s="118">
        <v>100327</v>
      </c>
      <c r="AO718" s="118">
        <v>586</v>
      </c>
      <c r="AP718" s="118">
        <f t="shared" si="11"/>
        <v>752</v>
      </c>
    </row>
    <row r="719" spans="1:42" ht="12.75">
      <c r="A719" s="106">
        <v>2018</v>
      </c>
      <c r="B719" s="106">
        <v>-155104</v>
      </c>
      <c r="C719" s="106">
        <v>0</v>
      </c>
      <c r="D719" s="106">
        <v>155104</v>
      </c>
      <c r="E719" s="106" t="s">
        <v>1303</v>
      </c>
      <c r="F719" s="106" t="s">
        <v>68</v>
      </c>
      <c r="G719" s="106" t="s">
        <v>129</v>
      </c>
      <c r="H719" s="106">
        <v>4</v>
      </c>
      <c r="I719" s="106" t="s">
        <v>24</v>
      </c>
      <c r="J719" s="106">
        <v>3072</v>
      </c>
      <c r="K719" s="106">
        <v>6829</v>
      </c>
      <c r="L719" s="106">
        <v>3582</v>
      </c>
      <c r="M719" s="106">
        <v>0.52</v>
      </c>
      <c r="N719" s="106">
        <v>0.28999999999999998</v>
      </c>
      <c r="O719" s="106">
        <v>0.27</v>
      </c>
      <c r="P719" s="106">
        <v>1932</v>
      </c>
      <c r="Q719" s="106">
        <v>484.00058173356604</v>
      </c>
      <c r="R719" s="106">
        <v>0.16021355465477899</v>
      </c>
      <c r="S719" s="106">
        <v>14474.942408376963</v>
      </c>
      <c r="T719" s="106">
        <v>14626.140779522979</v>
      </c>
      <c r="U719" s="106">
        <v>11823.822869648904</v>
      </c>
      <c r="V719" s="106">
        <v>0.21456435378729852</v>
      </c>
      <c r="W719" s="106">
        <v>56984.979395604401</v>
      </c>
      <c r="X719" s="110">
        <v>0.55000279210332725</v>
      </c>
      <c r="Y719" s="106">
        <v>650.20588235294122</v>
      </c>
      <c r="Z719" s="106">
        <v>21.668067226890759</v>
      </c>
      <c r="AA719" s="106">
        <v>43804.205846824283</v>
      </c>
      <c r="AB719" s="106">
        <v>394.02810059373178</v>
      </c>
      <c r="AC719" s="106">
        <v>2.2828858112319779</v>
      </c>
      <c r="AD719" s="106">
        <v>31.393775372124495</v>
      </c>
      <c r="AE719" s="106">
        <v>111.17025862068965</v>
      </c>
      <c r="AF719" s="106">
        <v>-4.3996651371020368E-3</v>
      </c>
      <c r="AG719" s="106">
        <v>1952</v>
      </c>
      <c r="AH719" s="106">
        <v>14402.080860965678</v>
      </c>
      <c r="AI719" s="106">
        <v>14402.080860965678</v>
      </c>
      <c r="AJ719" s="106">
        <v>14546.991273996509</v>
      </c>
      <c r="AK719" s="104">
        <v>11985.399069226294</v>
      </c>
      <c r="AL719" s="118">
        <v>14577171</v>
      </c>
      <c r="AM719" s="118">
        <v>2064</v>
      </c>
      <c r="AN719" s="118">
        <v>51583</v>
      </c>
      <c r="AO719" s="118">
        <v>353</v>
      </c>
      <c r="AP719" s="118">
        <f t="shared" si="11"/>
        <v>1120</v>
      </c>
    </row>
    <row r="720" spans="1:42" ht="12.75">
      <c r="A720" s="106">
        <v>2018</v>
      </c>
      <c r="B720" s="106">
        <v>-198561</v>
      </c>
      <c r="C720" s="106">
        <v>0</v>
      </c>
      <c r="D720" s="106">
        <v>198561</v>
      </c>
      <c r="E720" s="106" t="s">
        <v>1304</v>
      </c>
      <c r="F720" s="106" t="s">
        <v>1305</v>
      </c>
      <c r="G720" s="106" t="s">
        <v>90</v>
      </c>
      <c r="H720" s="106">
        <v>5</v>
      </c>
      <c r="I720" s="106" t="s">
        <v>3639</v>
      </c>
      <c r="J720" s="106">
        <v>30700</v>
      </c>
      <c r="K720" s="106">
        <v>19197</v>
      </c>
      <c r="L720" s="106">
        <v>17951</v>
      </c>
      <c r="M720" s="106">
        <v>0.41</v>
      </c>
      <c r="N720" s="106">
        <v>0.6</v>
      </c>
      <c r="O720" s="106">
        <v>1</v>
      </c>
      <c r="P720" s="106">
        <v>20392</v>
      </c>
      <c r="Q720" s="106">
        <v>8584.7753290480559</v>
      </c>
      <c r="R720" s="106">
        <v>0.42620619263194215</v>
      </c>
      <c r="S720" s="106">
        <v>18876.202020202021</v>
      </c>
      <c r="T720" s="106">
        <v>19969.523109886748</v>
      </c>
      <c r="U720" s="106">
        <v>16875.99877563514</v>
      </c>
      <c r="V720" s="106">
        <v>0.68485014153182888</v>
      </c>
      <c r="W720" s="106">
        <v>65525.418660287076</v>
      </c>
      <c r="X720" s="110">
        <v>0.55976790589001613</v>
      </c>
      <c r="Y720" s="106">
        <v>415.13587786259541</v>
      </c>
      <c r="Z720" s="106">
        <v>14.963358778625954</v>
      </c>
      <c r="AA720" s="106">
        <v>49403.125448028673</v>
      </c>
      <c r="AB720" s="106">
        <v>608.2866788764095</v>
      </c>
      <c r="AC720" s="106">
        <v>2.0241634328418847</v>
      </c>
      <c r="AD720" s="106">
        <v>41.486988847583646</v>
      </c>
      <c r="AE720" s="106">
        <v>81.216845878136198</v>
      </c>
      <c r="AF720" s="106">
        <v>8.5148726589586218E-3</v>
      </c>
      <c r="AG720" s="106">
        <v>30310</v>
      </c>
      <c r="AH720" s="106">
        <v>17279.724211815123</v>
      </c>
      <c r="AI720" s="106">
        <v>18511.551576369759</v>
      </c>
      <c r="AJ720" s="106">
        <v>20276.546372819099</v>
      </c>
      <c r="AK720" s="104">
        <v>17395.576063666973</v>
      </c>
      <c r="AL720" s="118"/>
      <c r="AM720" s="118">
        <v>2215</v>
      </c>
      <c r="AN720" s="118">
        <v>90638</v>
      </c>
      <c r="AO720" s="118">
        <v>577</v>
      </c>
      <c r="AP720" s="118">
        <f t="shared" si="11"/>
        <v>390</v>
      </c>
    </row>
    <row r="721" spans="1:42" ht="12.75">
      <c r="A721" s="106">
        <v>2018</v>
      </c>
      <c r="B721" s="106">
        <v>-162609</v>
      </c>
      <c r="C721" s="106">
        <v>0</v>
      </c>
      <c r="D721" s="106">
        <v>162609</v>
      </c>
      <c r="E721" s="106" t="s">
        <v>1306</v>
      </c>
      <c r="F721" s="106" t="s">
        <v>1307</v>
      </c>
      <c r="G721" s="106" t="s">
        <v>124</v>
      </c>
      <c r="H721" s="106">
        <v>4</v>
      </c>
      <c r="I721" s="106" t="s">
        <v>24</v>
      </c>
      <c r="J721" s="106">
        <v>3948</v>
      </c>
      <c r="K721" s="106">
        <v>7403</v>
      </c>
      <c r="L721" s="106">
        <v>6888</v>
      </c>
      <c r="M721" s="106">
        <v>0.62</v>
      </c>
      <c r="N721" s="106">
        <v>0.7</v>
      </c>
      <c r="O721" s="106">
        <v>0.47</v>
      </c>
      <c r="P721" s="106">
        <v>2817</v>
      </c>
      <c r="Q721" s="106">
        <v>360.21224489795918</v>
      </c>
      <c r="R721" s="106">
        <v>4.9260811526266303E-2</v>
      </c>
      <c r="S721" s="106">
        <v>31388.989795918369</v>
      </c>
      <c r="T721" s="106">
        <v>34047.685714285712</v>
      </c>
      <c r="U721" s="106">
        <v>27056.396203258158</v>
      </c>
      <c r="V721" s="106">
        <v>0.25694984219135192</v>
      </c>
      <c r="W721" s="106">
        <v>51840.944337811903</v>
      </c>
      <c r="X721" s="110">
        <v>0.53964194036143542</v>
      </c>
      <c r="Y721" s="106">
        <v>373.55084745762719</v>
      </c>
      <c r="Z721" s="106">
        <v>12.457627118644069</v>
      </c>
      <c r="AA721" s="106">
        <v>121629.67100547245</v>
      </c>
      <c r="AB721" s="106">
        <v>902.30954465367847</v>
      </c>
      <c r="AC721" s="106">
        <v>0.82216780801372646</v>
      </c>
      <c r="AD721" s="106">
        <v>20.222634508348794</v>
      </c>
      <c r="AE721" s="106">
        <v>134.79816513761469</v>
      </c>
      <c r="AF721" s="106">
        <v>0.14012363714294745</v>
      </c>
      <c r="AG721" s="106">
        <v>2940</v>
      </c>
      <c r="AH721" s="106">
        <v>31425.657142857144</v>
      </c>
      <c r="AI721" s="106">
        <v>31564.948979591838</v>
      </c>
      <c r="AJ721" s="106">
        <v>31396.453061224489</v>
      </c>
      <c r="AK721" s="104">
        <v>29079.289795918368</v>
      </c>
      <c r="AL721" s="118">
        <v>8678585</v>
      </c>
      <c r="AM721" s="118">
        <v>673</v>
      </c>
      <c r="AN721" s="118">
        <v>14693</v>
      </c>
      <c r="AO721" s="118">
        <v>107</v>
      </c>
      <c r="AP721" s="118">
        <f t="shared" si="11"/>
        <v>1008</v>
      </c>
    </row>
    <row r="722" spans="1:42" ht="12.75">
      <c r="A722" s="106">
        <v>2018</v>
      </c>
      <c r="B722" s="106">
        <v>-198570</v>
      </c>
      <c r="C722" s="106">
        <v>0</v>
      </c>
      <c r="D722" s="106">
        <v>198570</v>
      </c>
      <c r="E722" s="106" t="s">
        <v>1308</v>
      </c>
      <c r="F722" s="106" t="s">
        <v>992</v>
      </c>
      <c r="G722" s="106" t="s">
        <v>90</v>
      </c>
      <c r="H722" s="106">
        <v>4</v>
      </c>
      <c r="I722" s="106" t="s">
        <v>24</v>
      </c>
      <c r="J722" s="106">
        <v>2704</v>
      </c>
      <c r="K722" s="106">
        <v>9012</v>
      </c>
      <c r="L722" s="106">
        <v>8378</v>
      </c>
      <c r="M722" s="106">
        <v>0.63</v>
      </c>
      <c r="N722" s="106">
        <v>0</v>
      </c>
      <c r="O722" s="106">
        <v>0.02</v>
      </c>
      <c r="P722" s="106">
        <v>871</v>
      </c>
      <c r="Q722" s="106">
        <v>54.957620211898941</v>
      </c>
      <c r="R722" s="106">
        <v>2.1448639584418096E-2</v>
      </c>
      <c r="S722" s="106">
        <v>13475.955446889433</v>
      </c>
      <c r="T722" s="106">
        <v>14078.138549307254</v>
      </c>
      <c r="U722" s="106">
        <v>10525.645748437924</v>
      </c>
      <c r="V722" s="106">
        <v>0.23821167491919323</v>
      </c>
      <c r="W722" s="106">
        <v>63046.716484926241</v>
      </c>
      <c r="X722" s="110">
        <v>0.63223171992975602</v>
      </c>
      <c r="Y722" s="106">
        <v>451.96862210095503</v>
      </c>
      <c r="Z722" s="106">
        <v>15.065484311050479</v>
      </c>
      <c r="AA722" s="106">
        <v>26776.020732550103</v>
      </c>
      <c r="AB722" s="106">
        <v>350.85168114025953</v>
      </c>
      <c r="AC722" s="106">
        <v>3.7346848883499564</v>
      </c>
      <c r="AD722" s="106">
        <v>52.906764168190122</v>
      </c>
      <c r="AE722" s="106">
        <v>76.317208016586036</v>
      </c>
      <c r="AF722" s="106">
        <v>4.0386174086503961E-3</v>
      </c>
      <c r="AG722" s="106">
        <v>2432</v>
      </c>
      <c r="AH722" s="106">
        <v>12542.629448519425</v>
      </c>
      <c r="AI722" s="106">
        <v>12653.160554197229</v>
      </c>
      <c r="AJ722" s="106">
        <v>13613.258897038848</v>
      </c>
      <c r="AK722" s="104">
        <v>11437.347731594675</v>
      </c>
      <c r="AL722" s="118">
        <v>29767766</v>
      </c>
      <c r="AM722" s="118">
        <v>5172</v>
      </c>
      <c r="AN722" s="118">
        <v>110431</v>
      </c>
      <c r="AO722" s="118">
        <v>806</v>
      </c>
      <c r="AP722" s="118">
        <f t="shared" si="11"/>
        <v>272</v>
      </c>
    </row>
    <row r="723" spans="1:42" ht="12.75">
      <c r="A723" s="106">
        <v>2018</v>
      </c>
      <c r="B723" s="106">
        <v>-157438</v>
      </c>
      <c r="C723" s="106">
        <v>0</v>
      </c>
      <c r="D723" s="106">
        <v>157438</v>
      </c>
      <c r="E723" s="106" t="s">
        <v>4090</v>
      </c>
      <c r="F723" s="106" t="s">
        <v>1237</v>
      </c>
      <c r="G723" s="106" t="s">
        <v>118</v>
      </c>
      <c r="H723" s="106">
        <v>4</v>
      </c>
      <c r="I723" s="106" t="s">
        <v>24</v>
      </c>
      <c r="J723" s="106">
        <v>4160</v>
      </c>
      <c r="K723" s="106">
        <v>5918</v>
      </c>
      <c r="L723" s="106">
        <v>3935</v>
      </c>
      <c r="M723" s="106">
        <v>0.49</v>
      </c>
      <c r="N723" s="106">
        <v>0.28999999999999998</v>
      </c>
      <c r="O723" s="106">
        <v>7.0000000000000007E-2</v>
      </c>
      <c r="P723" s="106">
        <v>3087</v>
      </c>
      <c r="Q723" s="106">
        <v>3093.2878661087866</v>
      </c>
      <c r="R723" s="106">
        <v>0.5843167636081058</v>
      </c>
      <c r="S723" s="106">
        <v>11480.346443514645</v>
      </c>
      <c r="T723" s="106">
        <v>10900.43389121339</v>
      </c>
      <c r="U723" s="106">
        <v>8763.7221107898276</v>
      </c>
      <c r="V723" s="106">
        <v>0.25109953275302194</v>
      </c>
      <c r="W723" s="106">
        <v>59481.449079754595</v>
      </c>
      <c r="X723" s="110">
        <v>0.62026347498278156</v>
      </c>
      <c r="Y723" s="106">
        <v>485.6207674943567</v>
      </c>
      <c r="Z723" s="106">
        <v>16.185101580135441</v>
      </c>
      <c r="AA723" s="106">
        <v>9231.0691250716991</v>
      </c>
      <c r="AB723" s="106">
        <v>292.08333349306497</v>
      </c>
      <c r="AC723" s="106">
        <v>10.832981385482071</v>
      </c>
      <c r="AD723" s="106">
        <v>99.473914949583516</v>
      </c>
      <c r="AE723" s="106">
        <v>31.604230938739533</v>
      </c>
      <c r="AF723" s="106"/>
      <c r="AG723" s="106">
        <v>3888</v>
      </c>
      <c r="AH723" s="106">
        <v>11071.374476987448</v>
      </c>
      <c r="AI723" s="106">
        <v>10942.932217573221</v>
      </c>
      <c r="AJ723" s="106">
        <v>11510.202092050209</v>
      </c>
      <c r="AK723" s="104">
        <v>9924.8117154811716</v>
      </c>
      <c r="AL723" s="119">
        <v>8904600</v>
      </c>
      <c r="AM723" s="118">
        <v>4201</v>
      </c>
      <c r="AN723" s="118">
        <v>71710</v>
      </c>
      <c r="AO723" s="118">
        <v>431</v>
      </c>
      <c r="AP723" s="118">
        <f t="shared" si="11"/>
        <v>272</v>
      </c>
    </row>
    <row r="724" spans="1:42" ht="12.75">
      <c r="A724" s="106">
        <v>2018</v>
      </c>
      <c r="B724" s="106">
        <v>2409</v>
      </c>
      <c r="C724" s="106">
        <v>1</v>
      </c>
      <c r="D724" s="106">
        <v>105145</v>
      </c>
      <c r="E724" s="106" t="s">
        <v>3903</v>
      </c>
      <c r="F724" s="106" t="s">
        <v>146</v>
      </c>
      <c r="G724" s="106" t="s">
        <v>147</v>
      </c>
      <c r="H724" s="106">
        <v>4</v>
      </c>
      <c r="I724" s="106" t="s">
        <v>24</v>
      </c>
      <c r="J724" s="106">
        <v>2094</v>
      </c>
      <c r="K724" s="106">
        <v>7194</v>
      </c>
      <c r="L724" s="106">
        <v>6550</v>
      </c>
      <c r="M724" s="106">
        <v>0.56999999999999995</v>
      </c>
      <c r="N724" s="106">
        <v>0.11</v>
      </c>
      <c r="O724" s="106">
        <v>0.2</v>
      </c>
      <c r="P724" s="106">
        <v>1445</v>
      </c>
      <c r="Q724" s="106">
        <v>307.47219821377126</v>
      </c>
      <c r="R724" s="106">
        <v>8.0919472600561149E-2</v>
      </c>
      <c r="S724" s="106">
        <v>16394.579948141745</v>
      </c>
      <c r="T724" s="106">
        <v>16394.632094497261</v>
      </c>
      <c r="U724" s="106">
        <v>11304.614296567785</v>
      </c>
      <c r="V724" s="106">
        <v>0.30892327109528922</v>
      </c>
      <c r="W724" s="106">
        <v>80772.977935943069</v>
      </c>
      <c r="X724" s="110">
        <v>0.66475999410112518</v>
      </c>
      <c r="Y724" s="106">
        <v>458.84194662480382</v>
      </c>
      <c r="Z724" s="106">
        <v>16.346938775510207</v>
      </c>
      <c r="AA724" s="106">
        <v>20586.734639762213</v>
      </c>
      <c r="AB724" s="106">
        <v>402.74399310283405</v>
      </c>
      <c r="AC724" s="106">
        <v>4.8574969148752309</v>
      </c>
      <c r="AD724" s="106">
        <v>66.994727592267139</v>
      </c>
      <c r="AE724" s="106">
        <v>51.116180482686254</v>
      </c>
      <c r="AF724" s="106"/>
      <c r="AG724" s="106">
        <v>2064</v>
      </c>
      <c r="AH724" s="106">
        <v>15170.660040334198</v>
      </c>
      <c r="AI724" s="106">
        <v>15262.97118985883</v>
      </c>
      <c r="AJ724" s="106">
        <v>16394.632094497261</v>
      </c>
      <c r="AK724" s="104">
        <v>12565.198501872659</v>
      </c>
      <c r="AL724" s="118">
        <v>34967082</v>
      </c>
      <c r="AM724" s="118">
        <v>5575</v>
      </c>
      <c r="AN724" s="118">
        <v>97427.44</v>
      </c>
      <c r="AO724" s="118">
        <v>607</v>
      </c>
      <c r="AP724" s="118">
        <f t="shared" si="11"/>
        <v>30</v>
      </c>
    </row>
    <row r="725" spans="1:42" ht="12.75">
      <c r="A725" s="106">
        <v>2018</v>
      </c>
      <c r="B725" s="106">
        <v>-130396</v>
      </c>
      <c r="C725" s="106">
        <v>0</v>
      </c>
      <c r="D725" s="106">
        <v>130396</v>
      </c>
      <c r="E725" s="106" t="s">
        <v>3904</v>
      </c>
      <c r="F725" s="106" t="s">
        <v>98</v>
      </c>
      <c r="G725" s="106" t="s">
        <v>99</v>
      </c>
      <c r="H725" s="106">
        <v>4</v>
      </c>
      <c r="I725" s="106" t="s">
        <v>24</v>
      </c>
      <c r="J725" s="106">
        <v>4316</v>
      </c>
      <c r="K725" s="106">
        <v>6831</v>
      </c>
      <c r="L725" s="106">
        <v>6655</v>
      </c>
      <c r="M725" s="106">
        <v>0.63</v>
      </c>
      <c r="N725" s="106">
        <v>0.05</v>
      </c>
      <c r="O725" s="106">
        <v>0.52</v>
      </c>
      <c r="P725" s="106">
        <v>685</v>
      </c>
      <c r="Q725" s="106">
        <v>774.79391560353292</v>
      </c>
      <c r="R725" s="106">
        <v>0.12335649537339903</v>
      </c>
      <c r="S725" s="106">
        <v>15103.378802747791</v>
      </c>
      <c r="T725" s="106">
        <v>16605.914376840039</v>
      </c>
      <c r="U725" s="106">
        <v>12430.774642074539</v>
      </c>
      <c r="V725" s="106">
        <v>0.44294418576856104</v>
      </c>
      <c r="W725" s="106">
        <v>126224.79840848806</v>
      </c>
      <c r="X725" s="110">
        <v>0.70305461978848804</v>
      </c>
      <c r="Y725" s="106">
        <v>513.76050420168065</v>
      </c>
      <c r="Z725" s="106">
        <v>17.126050420168067</v>
      </c>
      <c r="AA725" s="106">
        <v>53787.513207108088</v>
      </c>
      <c r="AB725" s="106">
        <v>414.37609847553318</v>
      </c>
      <c r="AC725" s="106">
        <v>1.8591675658056799</v>
      </c>
      <c r="AD725" s="106">
        <v>24.769918485406258</v>
      </c>
      <c r="AE725" s="106">
        <v>129.8036093418259</v>
      </c>
      <c r="AF725" s="106">
        <v>-3.1017365397444631E-2</v>
      </c>
      <c r="AG725" s="106">
        <v>3816</v>
      </c>
      <c r="AH725" s="106">
        <v>14622.827526987243</v>
      </c>
      <c r="AI725" s="106">
        <v>14622.827526987243</v>
      </c>
      <c r="AJ725" s="106">
        <v>15113.943572129539</v>
      </c>
      <c r="AK725" s="104">
        <v>13372.401128557409</v>
      </c>
      <c r="AL725" s="118">
        <v>33112082</v>
      </c>
      <c r="AM725" s="118">
        <v>7015</v>
      </c>
      <c r="AN725" s="118">
        <v>122275</v>
      </c>
      <c r="AO725" s="118">
        <v>679</v>
      </c>
      <c r="AP725" s="118">
        <f t="shared" si="11"/>
        <v>500</v>
      </c>
    </row>
    <row r="726" spans="1:42" ht="12.75">
      <c r="A726" s="106">
        <v>2018</v>
      </c>
      <c r="B726" s="106">
        <v>-238759</v>
      </c>
      <c r="C726" s="106">
        <v>0</v>
      </c>
      <c r="D726" s="106">
        <v>238759</v>
      </c>
      <c r="E726" s="106" t="s">
        <v>3905</v>
      </c>
      <c r="F726" s="106" t="s">
        <v>618</v>
      </c>
      <c r="G726" s="106" t="s">
        <v>139</v>
      </c>
      <c r="H726" s="106">
        <v>4</v>
      </c>
      <c r="I726" s="106" t="s">
        <v>24</v>
      </c>
      <c r="J726" s="106">
        <v>4369</v>
      </c>
      <c r="K726" s="106">
        <v>7311</v>
      </c>
      <c r="L726" s="106">
        <v>6581</v>
      </c>
      <c r="M726" s="106">
        <v>0.56999999999999995</v>
      </c>
      <c r="N726" s="106">
        <v>0.37</v>
      </c>
      <c r="O726" s="106">
        <v>0.12</v>
      </c>
      <c r="P726" s="106">
        <v>1411</v>
      </c>
      <c r="Q726" s="106">
        <v>58.270622999261263</v>
      </c>
      <c r="R726" s="106">
        <v>1.2441331548496965E-2</v>
      </c>
      <c r="S726" s="106">
        <v>26674.777887219898</v>
      </c>
      <c r="T726" s="106">
        <v>27931.000738734303</v>
      </c>
      <c r="U726" s="106">
        <v>23890.938214005178</v>
      </c>
      <c r="V726" s="106">
        <v>0.19360318511274349</v>
      </c>
      <c r="W726" s="106">
        <v>90791.868867082958</v>
      </c>
      <c r="X726" s="110">
        <v>0.59819368434512621</v>
      </c>
      <c r="Y726" s="106">
        <v>329.29459459459457</v>
      </c>
      <c r="Z726" s="106">
        <v>10.975675675675676</v>
      </c>
      <c r="AA726" s="106">
        <v>54475.631716493554</v>
      </c>
      <c r="AB726" s="106">
        <v>796.3057812939619</v>
      </c>
      <c r="AC726" s="106">
        <v>1.8356831641793159</v>
      </c>
      <c r="AD726" s="106">
        <v>44.029666254635352</v>
      </c>
      <c r="AE726" s="106">
        <v>68.410443571027514</v>
      </c>
      <c r="AF726" s="106">
        <v>-6.4536153675853455E-2</v>
      </c>
      <c r="AG726" s="106">
        <v>3966</v>
      </c>
      <c r="AH726" s="106">
        <v>25049.083230731347</v>
      </c>
      <c r="AI726" s="106">
        <v>25137.659197242057</v>
      </c>
      <c r="AJ726" s="106">
        <v>26723.637773947303</v>
      </c>
      <c r="AK726" s="104">
        <v>26093.200443240581</v>
      </c>
      <c r="AL726" s="118">
        <v>71849272</v>
      </c>
      <c r="AM726" s="118">
        <v>9166</v>
      </c>
      <c r="AN726" s="118">
        <v>121839</v>
      </c>
      <c r="AO726" s="118">
        <v>642</v>
      </c>
      <c r="AP726" s="118">
        <f t="shared" si="11"/>
        <v>403</v>
      </c>
    </row>
    <row r="727" spans="1:42" ht="12.75">
      <c r="A727" s="106">
        <v>2018</v>
      </c>
      <c r="B727" s="106">
        <v>-114938</v>
      </c>
      <c r="C727" s="106">
        <v>0</v>
      </c>
      <c r="D727" s="106">
        <v>114938</v>
      </c>
      <c r="E727" s="106" t="s">
        <v>1309</v>
      </c>
      <c r="F727" s="106" t="s">
        <v>1310</v>
      </c>
      <c r="G727" s="106" t="s">
        <v>121</v>
      </c>
      <c r="H727" s="106">
        <v>4</v>
      </c>
      <c r="I727" s="106" t="s">
        <v>24</v>
      </c>
      <c r="J727" s="106">
        <v>1166</v>
      </c>
      <c r="K727" s="106">
        <v>10040</v>
      </c>
      <c r="L727" s="106">
        <v>4639</v>
      </c>
      <c r="M727" s="106">
        <v>0.42</v>
      </c>
      <c r="N727" s="106">
        <v>0.01</v>
      </c>
      <c r="O727" s="106">
        <v>0</v>
      </c>
      <c r="P727" s="106"/>
      <c r="Q727" s="106"/>
      <c r="R727" s="106"/>
      <c r="S727" s="106">
        <v>16131.490543735224</v>
      </c>
      <c r="T727" s="106">
        <v>18564.123226950356</v>
      </c>
      <c r="U727" s="106">
        <v>12084.076727176085</v>
      </c>
      <c r="V727" s="106">
        <v>0.12584175658703756</v>
      </c>
      <c r="W727" s="106">
        <v>124889.83881578948</v>
      </c>
      <c r="X727" s="110">
        <v>0.60436024944718714</v>
      </c>
      <c r="Y727" s="106">
        <v>646.70063694267515</v>
      </c>
      <c r="Z727" s="106">
        <v>21.554140127388536</v>
      </c>
      <c r="AA727" s="106">
        <v>31847.753617417347</v>
      </c>
      <c r="AB727" s="106">
        <v>402.75495060437964</v>
      </c>
      <c r="AC727" s="106">
        <v>3.1399388855266261</v>
      </c>
      <c r="AD727" s="106">
        <v>39.434889434889435</v>
      </c>
      <c r="AE727" s="106">
        <v>79.074766355140184</v>
      </c>
      <c r="AF727" s="106">
        <v>-2.1819813744150436E-2</v>
      </c>
      <c r="AG727" s="106">
        <v>1104</v>
      </c>
      <c r="AH727" s="106">
        <v>15121.519208037826</v>
      </c>
      <c r="AI727" s="106">
        <v>15121.519208037826</v>
      </c>
      <c r="AJ727" s="106">
        <v>16153.793735224586</v>
      </c>
      <c r="AK727" s="104">
        <v>14570.26329787234</v>
      </c>
      <c r="AL727" s="119">
        <v>30571248</v>
      </c>
      <c r="AM727" s="118">
        <v>5995</v>
      </c>
      <c r="AN727" s="118">
        <v>101532</v>
      </c>
      <c r="AO727" s="118">
        <v>593</v>
      </c>
      <c r="AP727" s="118">
        <f t="shared" si="11"/>
        <v>62</v>
      </c>
    </row>
    <row r="728" spans="1:42" ht="12.75">
      <c r="A728" s="106">
        <v>2018</v>
      </c>
      <c r="B728" s="106">
        <v>-456542</v>
      </c>
      <c r="C728" s="106">
        <v>0</v>
      </c>
      <c r="D728" s="106">
        <v>456542</v>
      </c>
      <c r="E728" s="106" t="s">
        <v>4091</v>
      </c>
      <c r="F728" s="106" t="s">
        <v>1911</v>
      </c>
      <c r="G728" s="106" t="s">
        <v>104</v>
      </c>
      <c r="H728" s="106">
        <v>6</v>
      </c>
      <c r="I728" s="106" t="s">
        <v>3640</v>
      </c>
      <c r="J728" s="106"/>
      <c r="K728" s="106"/>
      <c r="L728" s="106"/>
      <c r="M728" s="106"/>
      <c r="N728" s="106"/>
      <c r="O728" s="106"/>
      <c r="P728" s="106"/>
      <c r="Q728" s="106">
        <v>4172.056363636364</v>
      </c>
      <c r="R728" s="106">
        <v>8.1859482992964305E-2</v>
      </c>
      <c r="S728" s="106">
        <v>72823.594545454544</v>
      </c>
      <c r="T728" s="106">
        <v>63164.88</v>
      </c>
      <c r="U728" s="106">
        <v>53987.673294690132</v>
      </c>
      <c r="V728" s="106">
        <v>0.86675371446760818</v>
      </c>
      <c r="W728" s="106">
        <v>125099</v>
      </c>
      <c r="X728" s="110">
        <v>0.61215921943275498</v>
      </c>
      <c r="Y728" s="106">
        <v>60.588235294117645</v>
      </c>
      <c r="Z728" s="106">
        <v>10.784313725490197</v>
      </c>
      <c r="AA728" s="106">
        <v>145555.00152980181</v>
      </c>
      <c r="AB728" s="106">
        <v>9609.4564116762358</v>
      </c>
      <c r="AC728" s="106">
        <v>0.68702551577745263</v>
      </c>
      <c r="AD728" s="106">
        <v>39.688715953307394</v>
      </c>
      <c r="AE728" s="106">
        <v>15.147058823529411</v>
      </c>
      <c r="AF728" s="106">
        <v>0.106332486611132</v>
      </c>
      <c r="AG728" s="106"/>
      <c r="AH728" s="106">
        <v>61948.276363636367</v>
      </c>
      <c r="AI728" s="106">
        <v>72823.594545454544</v>
      </c>
      <c r="AJ728" s="106">
        <v>79673.114545454548</v>
      </c>
      <c r="AK728" s="104">
        <v>62818.365454545456</v>
      </c>
      <c r="AL728" s="118">
        <v>3713326</v>
      </c>
      <c r="AM728" s="118"/>
      <c r="AN728" s="118">
        <v>3090</v>
      </c>
      <c r="AO728" s="118"/>
      <c r="AP728" s="118">
        <f t="shared" si="11"/>
        <v>0</v>
      </c>
    </row>
    <row r="729" spans="1:42" ht="12.75">
      <c r="A729" s="106">
        <v>2018</v>
      </c>
      <c r="B729" s="106">
        <v>-191339</v>
      </c>
      <c r="C729" s="106">
        <v>0</v>
      </c>
      <c r="D729" s="106">
        <v>191339</v>
      </c>
      <c r="E729" s="106" t="s">
        <v>1311</v>
      </c>
      <c r="F729" s="106" t="s">
        <v>1312</v>
      </c>
      <c r="G729" s="106" t="s">
        <v>69</v>
      </c>
      <c r="H729" s="106">
        <v>4</v>
      </c>
      <c r="I729" s="106" t="s">
        <v>24</v>
      </c>
      <c r="J729" s="106">
        <v>4580</v>
      </c>
      <c r="K729" s="106">
        <v>5753</v>
      </c>
      <c r="L729" s="106">
        <v>3472</v>
      </c>
      <c r="M729" s="106">
        <v>0.63</v>
      </c>
      <c r="N729" s="106">
        <v>0.41</v>
      </c>
      <c r="O729" s="106">
        <v>0.18</v>
      </c>
      <c r="P729" s="106">
        <v>1144</v>
      </c>
      <c r="Q729" s="106">
        <v>516.61842882457177</v>
      </c>
      <c r="R729" s="106">
        <v>0.11651892783962223</v>
      </c>
      <c r="S729" s="106">
        <v>13254.346426461902</v>
      </c>
      <c r="T729" s="106">
        <v>13433.165386887182</v>
      </c>
      <c r="U729" s="106">
        <v>12172.227719262935</v>
      </c>
      <c r="V729" s="106">
        <v>0.32181078554803338</v>
      </c>
      <c r="W729" s="106">
        <v>63021.985678180281</v>
      </c>
      <c r="X729" s="110">
        <v>0.54822171183812196</v>
      </c>
      <c r="Y729" s="106">
        <v>665.37117903930118</v>
      </c>
      <c r="Z729" s="106">
        <v>22.179039301310041</v>
      </c>
      <c r="AA729" s="106">
        <v>49597.067457790974</v>
      </c>
      <c r="AB729" s="106">
        <v>405.7409239754312</v>
      </c>
      <c r="AC729" s="106">
        <v>2.0162482405860764</v>
      </c>
      <c r="AD729" s="106">
        <v>23.434856175972925</v>
      </c>
      <c r="AE729" s="106">
        <v>122.23826714801444</v>
      </c>
      <c r="AF729" s="106">
        <v>2.741117683359779E-2</v>
      </c>
      <c r="AG729" s="106">
        <v>4050</v>
      </c>
      <c r="AH729" s="106">
        <v>12996.375664500885</v>
      </c>
      <c r="AI729" s="106">
        <v>12996.375664500885</v>
      </c>
      <c r="AJ729" s="106">
        <v>13262.862374483166</v>
      </c>
      <c r="AK729" s="104">
        <v>13361.144713526284</v>
      </c>
      <c r="AL729" s="119">
        <v>23613688</v>
      </c>
      <c r="AM729" s="118">
        <v>5906</v>
      </c>
      <c r="AN729" s="118">
        <v>101580</v>
      </c>
      <c r="AO729" s="118">
        <v>796</v>
      </c>
      <c r="AP729" s="118">
        <f t="shared" si="11"/>
        <v>530</v>
      </c>
    </row>
    <row r="730" spans="1:42" ht="12.75">
      <c r="A730" s="106">
        <v>2018</v>
      </c>
      <c r="B730" s="106">
        <v>-212656</v>
      </c>
      <c r="C730" s="106">
        <v>0</v>
      </c>
      <c r="D730" s="106">
        <v>212656</v>
      </c>
      <c r="E730" s="106" t="s">
        <v>1313</v>
      </c>
      <c r="F730" s="106" t="s">
        <v>1314</v>
      </c>
      <c r="G730" s="106" t="s">
        <v>104</v>
      </c>
      <c r="H730" s="106">
        <v>6</v>
      </c>
      <c r="I730" s="106" t="s">
        <v>3640</v>
      </c>
      <c r="J730" s="106">
        <v>26070</v>
      </c>
      <c r="K730" s="106">
        <v>20303</v>
      </c>
      <c r="L730" s="106">
        <v>14889</v>
      </c>
      <c r="M730" s="106">
        <v>0.36</v>
      </c>
      <c r="N730" s="106">
        <v>0.79</v>
      </c>
      <c r="O730" s="106">
        <v>0.98</v>
      </c>
      <c r="P730" s="106">
        <v>13725</v>
      </c>
      <c r="Q730" s="106">
        <v>9754.4914502849897</v>
      </c>
      <c r="R730" s="106">
        <v>0.44419555971766955</v>
      </c>
      <c r="S730" s="106">
        <v>21841.792906903102</v>
      </c>
      <c r="T730" s="106">
        <v>21439.53704876504</v>
      </c>
      <c r="U730" s="106">
        <v>16815.48955034832</v>
      </c>
      <c r="V730" s="106">
        <v>0.72584337294492118</v>
      </c>
      <c r="W730" s="106">
        <v>65721.706293706287</v>
      </c>
      <c r="X730" s="110">
        <v>0.55523563341998139</v>
      </c>
      <c r="Y730" s="106">
        <v>406.2</v>
      </c>
      <c r="Z730" s="106">
        <v>13.730434782608695</v>
      </c>
      <c r="AA730" s="106">
        <v>60620.223744292234</v>
      </c>
      <c r="AB730" s="106">
        <v>568.39976023804934</v>
      </c>
      <c r="AC730" s="106">
        <v>1.6496144986501409</v>
      </c>
      <c r="AD730" s="106">
        <v>29.775662814411962</v>
      </c>
      <c r="AE730" s="106">
        <v>106.65068493150685</v>
      </c>
      <c r="AF730" s="106">
        <v>5.4092979048888983E-2</v>
      </c>
      <c r="AG730" s="106">
        <v>26070</v>
      </c>
      <c r="AH730" s="106">
        <v>18333.056998100063</v>
      </c>
      <c r="AI730" s="106">
        <v>21057.641545281826</v>
      </c>
      <c r="AJ730" s="106">
        <v>23082.353388220392</v>
      </c>
      <c r="AK730" s="104">
        <v>16815.48955034832</v>
      </c>
      <c r="AM730" s="118">
        <v>1417</v>
      </c>
      <c r="AN730" s="118">
        <v>46713</v>
      </c>
      <c r="AO730" s="118">
        <v>377</v>
      </c>
      <c r="AP730" s="118">
        <f t="shared" si="11"/>
        <v>0</v>
      </c>
    </row>
    <row r="731" spans="1:42" ht="12.75">
      <c r="A731" s="106">
        <v>2018</v>
      </c>
      <c r="B731" s="106">
        <v>-101286</v>
      </c>
      <c r="C731" s="106">
        <v>0</v>
      </c>
      <c r="D731" s="106">
        <v>101286</v>
      </c>
      <c r="E731" s="106" t="s">
        <v>4092</v>
      </c>
      <c r="F731" s="106" t="s">
        <v>1315</v>
      </c>
      <c r="G731" s="106" t="s">
        <v>85</v>
      </c>
      <c r="H731" s="106">
        <v>4</v>
      </c>
      <c r="I731" s="106" t="s">
        <v>24</v>
      </c>
      <c r="J731" s="106">
        <v>4380</v>
      </c>
      <c r="K731" s="106">
        <v>2031</v>
      </c>
      <c r="L731" s="106">
        <v>875</v>
      </c>
      <c r="M731" s="106">
        <v>0.63</v>
      </c>
      <c r="N731" s="106">
        <v>0.03</v>
      </c>
      <c r="O731" s="106">
        <v>0.23</v>
      </c>
      <c r="P731" s="106">
        <v>4776</v>
      </c>
      <c r="Q731" s="106">
        <v>576.02269938650306</v>
      </c>
      <c r="R731" s="106">
        <v>0.1233834063690126</v>
      </c>
      <c r="S731" s="106">
        <v>11796.862883435582</v>
      </c>
      <c r="T731" s="106">
        <v>12095.539877300613</v>
      </c>
      <c r="U731" s="106">
        <v>8904.3555214723929</v>
      </c>
      <c r="V731" s="106">
        <v>0.45961060140176108</v>
      </c>
      <c r="W731" s="106">
        <v>73816.933859822311</v>
      </c>
      <c r="X731" s="110">
        <v>0.6321226249294345</v>
      </c>
      <c r="Y731" s="106">
        <v>601.24795081967216</v>
      </c>
      <c r="Z731" s="106">
        <v>20.040983606557379</v>
      </c>
      <c r="AA731" s="106">
        <v>30620.463080168778</v>
      </c>
      <c r="AB731" s="106">
        <v>296.80274633702442</v>
      </c>
      <c r="AC731" s="106">
        <v>3.2657899306808527</v>
      </c>
      <c r="AD731" s="106">
        <v>33.368532206969377</v>
      </c>
      <c r="AE731" s="106">
        <v>103.16772151898734</v>
      </c>
      <c r="AF731" s="106">
        <v>-1.7360691482805744E-2</v>
      </c>
      <c r="AG731" s="106">
        <v>3570</v>
      </c>
      <c r="AH731" s="106">
        <v>10810.619325153375</v>
      </c>
      <c r="AI731" s="106">
        <v>10816.036503067484</v>
      </c>
      <c r="AJ731" s="106">
        <v>11882.442331288343</v>
      </c>
      <c r="AK731" s="104">
        <v>10026.836809815952</v>
      </c>
      <c r="AL731" s="119">
        <v>16029385</v>
      </c>
      <c r="AM731" s="118">
        <v>4645</v>
      </c>
      <c r="AN731" s="118">
        <v>97803</v>
      </c>
      <c r="AO731" s="118">
        <v>543</v>
      </c>
      <c r="AP731" s="118">
        <f t="shared" si="11"/>
        <v>810</v>
      </c>
    </row>
    <row r="732" spans="1:42" ht="12.75">
      <c r="A732" s="106">
        <v>2018</v>
      </c>
      <c r="B732" s="106">
        <v>-101295</v>
      </c>
      <c r="C732" s="106">
        <v>0</v>
      </c>
      <c r="D732" s="106">
        <v>101295</v>
      </c>
      <c r="E732" s="106" t="s">
        <v>1316</v>
      </c>
      <c r="F732" s="106" t="s">
        <v>1317</v>
      </c>
      <c r="G732" s="106" t="s">
        <v>85</v>
      </c>
      <c r="H732" s="106">
        <v>4</v>
      </c>
      <c r="I732" s="106" t="s">
        <v>24</v>
      </c>
      <c r="J732" s="106">
        <v>3726</v>
      </c>
      <c r="K732" s="106">
        <v>5143</v>
      </c>
      <c r="L732" s="106">
        <v>5327</v>
      </c>
      <c r="M732" s="106">
        <v>0.57999999999999996</v>
      </c>
      <c r="N732" s="106">
        <v>0.31</v>
      </c>
      <c r="O732" s="106">
        <v>0.24</v>
      </c>
      <c r="P732" s="106">
        <v>3291</v>
      </c>
      <c r="Q732" s="106">
        <v>484.92922484352431</v>
      </c>
      <c r="R732" s="106">
        <v>0.10506569539817182</v>
      </c>
      <c r="S732" s="106">
        <v>11511.619402985074</v>
      </c>
      <c r="T732" s="106">
        <v>12208.467982667309</v>
      </c>
      <c r="U732" s="106">
        <v>9838.7308618199331</v>
      </c>
      <c r="V732" s="106">
        <v>0.4198261574577476</v>
      </c>
      <c r="W732" s="106">
        <v>62560.81578947368</v>
      </c>
      <c r="X732" s="110">
        <v>0.48439402582041685</v>
      </c>
      <c r="Y732" s="106">
        <v>604.90291262135918</v>
      </c>
      <c r="Z732" s="106">
        <v>20.16504854368932</v>
      </c>
      <c r="AA732" s="106">
        <v>22705.604444444445</v>
      </c>
      <c r="AB732" s="106">
        <v>327.98401412406707</v>
      </c>
      <c r="AC732" s="106">
        <v>4.4041989828845001</v>
      </c>
      <c r="AD732" s="106">
        <v>51.783659378596091</v>
      </c>
      <c r="AE732" s="106">
        <v>69.227777777777774</v>
      </c>
      <c r="AF732" s="106">
        <v>-3.6229101922128623E-2</v>
      </c>
      <c r="AG732" s="106">
        <v>2856</v>
      </c>
      <c r="AH732" s="106">
        <v>10319.930669234473</v>
      </c>
      <c r="AI732" s="106">
        <v>10330.696918632642</v>
      </c>
      <c r="AJ732" s="106">
        <v>11535.231102551757</v>
      </c>
      <c r="AK732" s="104">
        <v>11097</v>
      </c>
      <c r="AL732" s="119">
        <v>18048645</v>
      </c>
      <c r="AM732" s="118">
        <v>5301</v>
      </c>
      <c r="AN732" s="118">
        <v>124610</v>
      </c>
      <c r="AO732" s="118">
        <v>925</v>
      </c>
      <c r="AP732" s="118">
        <f t="shared" si="11"/>
        <v>870</v>
      </c>
    </row>
    <row r="733" spans="1:42" ht="12.75">
      <c r="A733" s="106">
        <v>2018</v>
      </c>
      <c r="B733" s="106">
        <v>-101301</v>
      </c>
      <c r="C733" s="106">
        <v>0</v>
      </c>
      <c r="D733" s="106">
        <v>101301</v>
      </c>
      <c r="E733" s="106" t="s">
        <v>1318</v>
      </c>
      <c r="F733" s="106" t="s">
        <v>917</v>
      </c>
      <c r="G733" s="106" t="s">
        <v>85</v>
      </c>
      <c r="H733" s="106">
        <v>4</v>
      </c>
      <c r="I733" s="106" t="s">
        <v>24</v>
      </c>
      <c r="J733" s="106">
        <v>4140</v>
      </c>
      <c r="K733" s="106">
        <v>7190</v>
      </c>
      <c r="L733" s="106">
        <v>7060</v>
      </c>
      <c r="M733" s="106">
        <v>0.89</v>
      </c>
      <c r="N733" s="106">
        <v>0</v>
      </c>
      <c r="O733" s="106">
        <v>0.23</v>
      </c>
      <c r="P733" s="106">
        <v>3842</v>
      </c>
      <c r="Q733" s="106">
        <v>399.61277906081602</v>
      </c>
      <c r="R733" s="106">
        <v>9.0516671659556291E-2</v>
      </c>
      <c r="S733" s="106">
        <v>15396.184757505775</v>
      </c>
      <c r="T733" s="106">
        <v>16523.974595842956</v>
      </c>
      <c r="U733" s="106">
        <v>9340.6550435627505</v>
      </c>
      <c r="V733" s="106">
        <v>0.42986115414602499</v>
      </c>
      <c r="W733" s="106">
        <v>65748.99260628465</v>
      </c>
      <c r="X733" s="110">
        <v>0.55238444916134877</v>
      </c>
      <c r="Y733" s="106">
        <v>515.00881057268714</v>
      </c>
      <c r="Z733" s="106">
        <v>17.167400881057269</v>
      </c>
      <c r="AA733" s="106">
        <v>25598.124264953614</v>
      </c>
      <c r="AB733" s="106">
        <v>311.36315793548755</v>
      </c>
      <c r="AC733" s="106">
        <v>3.9065362354268269</v>
      </c>
      <c r="AD733" s="106">
        <v>45.620789220404234</v>
      </c>
      <c r="AE733" s="106">
        <v>82.213080168776372</v>
      </c>
      <c r="AF733" s="106">
        <v>-6.084794838023954E-2</v>
      </c>
      <c r="AG733" s="106">
        <v>3570</v>
      </c>
      <c r="AH733" s="106">
        <v>13761.42648190916</v>
      </c>
      <c r="AI733" s="106">
        <v>13763.813702848345</v>
      </c>
      <c r="AJ733" s="106">
        <v>15418.313317936874</v>
      </c>
      <c r="AK733" s="104">
        <v>11528.685142417244</v>
      </c>
      <c r="AL733" s="118">
        <v>8080315</v>
      </c>
      <c r="AM733" s="118">
        <v>1471</v>
      </c>
      <c r="AN733" s="118">
        <v>38969</v>
      </c>
      <c r="AO733" s="118">
        <v>259</v>
      </c>
      <c r="AP733" s="118">
        <f t="shared" si="11"/>
        <v>570</v>
      </c>
    </row>
    <row r="734" spans="1:42" ht="12.75">
      <c r="A734" s="106">
        <v>2018</v>
      </c>
      <c r="B734" s="106">
        <v>-208822</v>
      </c>
      <c r="C734" s="106">
        <v>0</v>
      </c>
      <c r="D734" s="106">
        <v>208822</v>
      </c>
      <c r="E734" s="106" t="s">
        <v>1319</v>
      </c>
      <c r="F734" s="106" t="s">
        <v>1320</v>
      </c>
      <c r="G734" s="106" t="s">
        <v>405</v>
      </c>
      <c r="H734" s="106">
        <v>6</v>
      </c>
      <c r="I734" s="106" t="s">
        <v>3640</v>
      </c>
      <c r="J734" s="106">
        <v>35016</v>
      </c>
      <c r="K734" s="106">
        <v>29925</v>
      </c>
      <c r="L734" s="106">
        <v>22870</v>
      </c>
      <c r="M734" s="106">
        <v>0.3</v>
      </c>
      <c r="N734" s="106">
        <v>0.7</v>
      </c>
      <c r="O734" s="106">
        <v>0.96</v>
      </c>
      <c r="P734" s="106">
        <v>16968</v>
      </c>
      <c r="Q734" s="107">
        <v>9330.2902564102569</v>
      </c>
      <c r="R734" s="106">
        <v>0.33646561079281007</v>
      </c>
      <c r="S734" s="106">
        <v>23381.818205128206</v>
      </c>
      <c r="T734" s="106">
        <v>21802.966923076921</v>
      </c>
      <c r="U734" s="106">
        <v>19366.517179487179</v>
      </c>
      <c r="V734" s="106">
        <v>0.95009357744678469</v>
      </c>
      <c r="W734" s="106">
        <v>89098.331559340062</v>
      </c>
      <c r="X734" s="110">
        <v>0.65628865071774345</v>
      </c>
      <c r="Y734" s="106">
        <v>324.05987394957987</v>
      </c>
      <c r="Z734" s="106">
        <v>12.289915966386555</v>
      </c>
      <c r="AA734" s="106">
        <v>65906.995636998254</v>
      </c>
      <c r="AB734" s="106">
        <v>734.4718918656099</v>
      </c>
      <c r="AC734" s="106">
        <v>1.5172896144557821</v>
      </c>
      <c r="AD734" s="106">
        <v>32.855504587155963</v>
      </c>
      <c r="AE734" s="106">
        <v>89.733856893542765</v>
      </c>
      <c r="AF734" s="106">
        <v>9.6691645044772762E-2</v>
      </c>
      <c r="AG734" s="106">
        <v>34500</v>
      </c>
      <c r="AH734" s="106">
        <v>22203.595897435898</v>
      </c>
      <c r="AI734" s="106">
        <v>23438.84794871795</v>
      </c>
      <c r="AJ734" s="106">
        <v>24660.588974358976</v>
      </c>
      <c r="AK734" s="104">
        <v>19366.517179487179</v>
      </c>
      <c r="AL734" s="118"/>
      <c r="AM734" s="118">
        <v>2698</v>
      </c>
      <c r="AN734" s="118">
        <v>102835</v>
      </c>
      <c r="AO734" s="118">
        <v>631</v>
      </c>
      <c r="AP734" s="118">
        <f t="shared" si="11"/>
        <v>516</v>
      </c>
    </row>
    <row r="735" spans="1:42" ht="12.75">
      <c r="A735" s="106">
        <v>2018</v>
      </c>
      <c r="B735" s="106">
        <v>-232186</v>
      </c>
      <c r="C735" s="106">
        <v>0</v>
      </c>
      <c r="D735" s="106">
        <v>232186</v>
      </c>
      <c r="E735" s="106" t="s">
        <v>1321</v>
      </c>
      <c r="F735" s="106" t="s">
        <v>1322</v>
      </c>
      <c r="G735" s="106" t="s">
        <v>261</v>
      </c>
      <c r="H735" s="106">
        <v>1</v>
      </c>
      <c r="I735" s="106" t="s">
        <v>23</v>
      </c>
      <c r="J735" s="106">
        <v>11924</v>
      </c>
      <c r="K735" s="106">
        <v>19064</v>
      </c>
      <c r="L735" s="106">
        <v>15428</v>
      </c>
      <c r="M735" s="106">
        <v>0.3</v>
      </c>
      <c r="N735" s="106">
        <v>0.53</v>
      </c>
      <c r="O735" s="106">
        <v>0.33</v>
      </c>
      <c r="P735" s="106">
        <v>8740</v>
      </c>
      <c r="Q735" s="106">
        <v>2369.2430576291431</v>
      </c>
      <c r="R735" s="106">
        <v>0.15912884375882536</v>
      </c>
      <c r="S735" s="106">
        <v>30547.320560034503</v>
      </c>
      <c r="T735" s="106">
        <v>28514.139842739125</v>
      </c>
      <c r="U735" s="106">
        <v>17394.878987164677</v>
      </c>
      <c r="V735" s="106">
        <v>0.71972858764821646</v>
      </c>
      <c r="W735" s="106">
        <v>115307.8663377609</v>
      </c>
      <c r="X735" s="110">
        <v>0.58921035813160982</v>
      </c>
      <c r="Y735" s="106">
        <v>449.85155837295298</v>
      </c>
      <c r="Z735" s="106">
        <v>15.922345483359747</v>
      </c>
      <c r="AA735" s="106">
        <v>54791.414730079479</v>
      </c>
      <c r="AB735" s="106">
        <v>615.68592510076166</v>
      </c>
      <c r="AC735" s="106">
        <v>1.8251034490099018</v>
      </c>
      <c r="AD735" s="106">
        <v>33.054682372448099</v>
      </c>
      <c r="AE735" s="106">
        <v>88.992475702790259</v>
      </c>
      <c r="AF735" s="106">
        <v>0.13963324930138529</v>
      </c>
      <c r="AG735" s="106">
        <v>8672</v>
      </c>
      <c r="AH735" s="106">
        <v>30304.657708768787</v>
      </c>
      <c r="AI735" s="106">
        <v>30363.136425466972</v>
      </c>
      <c r="AJ735" s="106">
        <v>30670.704455724761</v>
      </c>
      <c r="AK735" s="104">
        <v>23441.482565276532</v>
      </c>
      <c r="AL735" s="118">
        <v>137851617</v>
      </c>
      <c r="AM735" s="118">
        <v>25010</v>
      </c>
      <c r="AN735" s="118">
        <v>851569</v>
      </c>
      <c r="AO735" s="118">
        <v>5545</v>
      </c>
      <c r="AP735" s="118">
        <f t="shared" si="11"/>
        <v>3252</v>
      </c>
    </row>
    <row r="736" spans="1:42" ht="12.75">
      <c r="A736" s="106">
        <v>2018</v>
      </c>
      <c r="B736" s="106">
        <v>-131469</v>
      </c>
      <c r="C736" s="106">
        <v>0</v>
      </c>
      <c r="D736" s="106">
        <v>131469</v>
      </c>
      <c r="E736" s="106" t="s">
        <v>1323</v>
      </c>
      <c r="F736" s="106" t="s">
        <v>155</v>
      </c>
      <c r="G736" s="106" t="s">
        <v>156</v>
      </c>
      <c r="H736" s="106">
        <v>5</v>
      </c>
      <c r="I736" s="106" t="s">
        <v>3639</v>
      </c>
      <c r="J736" s="106">
        <v>51346</v>
      </c>
      <c r="K736" s="106">
        <v>39600</v>
      </c>
      <c r="L736" s="106">
        <v>16156</v>
      </c>
      <c r="M736" s="106">
        <v>0.13</v>
      </c>
      <c r="N736" s="106">
        <v>0.43</v>
      </c>
      <c r="O736" s="106">
        <v>0.8</v>
      </c>
      <c r="P736" s="106">
        <v>28463</v>
      </c>
      <c r="Q736" s="107">
        <v>13574.265390803625</v>
      </c>
      <c r="R736" s="106">
        <v>0.30027498927579288</v>
      </c>
      <c r="S736" s="106">
        <v>56611.567448556183</v>
      </c>
      <c r="T736" s="106">
        <v>56226.056397662796</v>
      </c>
      <c r="U736" s="106">
        <v>37991.790775091067</v>
      </c>
      <c r="V736" s="106">
        <v>0.83259693593589523</v>
      </c>
      <c r="W736" s="106">
        <v>119703.39837494811</v>
      </c>
      <c r="X736" s="110">
        <v>0.50662639397506071</v>
      </c>
      <c r="Y736" s="106">
        <v>323.75388404698754</v>
      </c>
      <c r="Z736" s="106">
        <v>13.424403183023873</v>
      </c>
      <c r="AA736" s="106">
        <v>91317.943672511785</v>
      </c>
      <c r="AB736" s="106">
        <v>1575.3235471173189</v>
      </c>
      <c r="AC736" s="106">
        <v>1.09507503102155</v>
      </c>
      <c r="AD736" s="106">
        <v>44.19158983584439</v>
      </c>
      <c r="AE736" s="106">
        <v>57.967738652554445</v>
      </c>
      <c r="AF736" s="106">
        <v>3.1557662117841632E-2</v>
      </c>
      <c r="AG736" s="106">
        <v>51274</v>
      </c>
      <c r="AH736" s="106">
        <v>53065.754932678465</v>
      </c>
      <c r="AI736" s="106">
        <v>56135.532221187234</v>
      </c>
      <c r="AJ736" s="106">
        <v>59400.584300110087</v>
      </c>
      <c r="AK736" s="104">
        <v>50709.289524938606</v>
      </c>
      <c r="AL736" s="118"/>
      <c r="AM736" s="118">
        <v>11999</v>
      </c>
      <c r="AN736" s="118">
        <v>569591</v>
      </c>
      <c r="AO736" s="118">
        <v>2921</v>
      </c>
      <c r="AP736" s="118">
        <f t="shared" si="11"/>
        <v>72</v>
      </c>
    </row>
    <row r="737" spans="1:42" ht="12.75">
      <c r="A737" s="106">
        <v>2018</v>
      </c>
      <c r="B737" s="106">
        <v>-156745</v>
      </c>
      <c r="C737" s="106">
        <v>0</v>
      </c>
      <c r="D737" s="106">
        <v>156745</v>
      </c>
      <c r="E737" s="106" t="s">
        <v>1324</v>
      </c>
      <c r="F737" s="106" t="s">
        <v>1026</v>
      </c>
      <c r="G737" s="106" t="s">
        <v>118</v>
      </c>
      <c r="H737" s="106">
        <v>7</v>
      </c>
      <c r="I737" s="106" t="s">
        <v>3641</v>
      </c>
      <c r="J737" s="106">
        <v>37160</v>
      </c>
      <c r="K737" s="106">
        <v>19852</v>
      </c>
      <c r="L737" s="106">
        <v>16259</v>
      </c>
      <c r="M737" s="106">
        <v>0.43</v>
      </c>
      <c r="N737" s="106">
        <v>0.77</v>
      </c>
      <c r="O737" s="106">
        <v>1</v>
      </c>
      <c r="P737" s="106">
        <v>24653</v>
      </c>
      <c r="Q737" s="106">
        <v>16076.214440433214</v>
      </c>
      <c r="R737" s="106">
        <v>0.57646465415070192</v>
      </c>
      <c r="S737" s="106">
        <v>22193.280144404333</v>
      </c>
      <c r="T737" s="106">
        <v>22870.516967509026</v>
      </c>
      <c r="U737" s="106">
        <v>17213.484476534297</v>
      </c>
      <c r="V737" s="106">
        <v>0.68617039214827635</v>
      </c>
      <c r="W737" s="106">
        <v>51664.402209944747</v>
      </c>
      <c r="X737" s="110">
        <v>0.49203158033046568</v>
      </c>
      <c r="Y737" s="106">
        <v>354.42857142857139</v>
      </c>
      <c r="Z737" s="106">
        <v>12.62917933130699</v>
      </c>
      <c r="AA737" s="106">
        <v>55314.793503480279</v>
      </c>
      <c r="AB737" s="106">
        <v>613.35964393218251</v>
      </c>
      <c r="AC737" s="106">
        <v>1.8078346436149715</v>
      </c>
      <c r="AD737" s="106">
        <v>33.69820172009382</v>
      </c>
      <c r="AE737" s="106">
        <v>90.183294663573079</v>
      </c>
      <c r="AF737" s="106">
        <v>0.25468163097198215</v>
      </c>
      <c r="AG737" s="106">
        <v>37160</v>
      </c>
      <c r="AH737" s="106">
        <v>21017.383393501805</v>
      </c>
      <c r="AI737" s="106">
        <v>23643.01227436823</v>
      </c>
      <c r="AJ737" s="106">
        <v>23688.911913357402</v>
      </c>
      <c r="AK737" s="104">
        <v>17213.484476534297</v>
      </c>
      <c r="AM737" s="118">
        <v>1061</v>
      </c>
      <c r="AN737" s="118">
        <v>38869</v>
      </c>
      <c r="AO737" s="118">
        <v>185</v>
      </c>
      <c r="AP737" s="118">
        <f t="shared" si="11"/>
        <v>0</v>
      </c>
    </row>
    <row r="738" spans="1:42" ht="12.75">
      <c r="A738" s="106">
        <v>2018</v>
      </c>
      <c r="B738" s="106">
        <v>-131496</v>
      </c>
      <c r="C738" s="106">
        <v>0</v>
      </c>
      <c r="D738" s="106">
        <v>131496</v>
      </c>
      <c r="E738" s="106" t="s">
        <v>1325</v>
      </c>
      <c r="F738" s="106" t="s">
        <v>155</v>
      </c>
      <c r="G738" s="106" t="s">
        <v>156</v>
      </c>
      <c r="H738" s="106">
        <v>5</v>
      </c>
      <c r="I738" s="106" t="s">
        <v>3639</v>
      </c>
      <c r="J738" s="106">
        <v>52300</v>
      </c>
      <c r="K738" s="106">
        <v>28509</v>
      </c>
      <c r="L738" s="106">
        <v>6024</v>
      </c>
      <c r="M738" s="106">
        <v>0.14000000000000001</v>
      </c>
      <c r="N738" s="106">
        <v>0.28999999999999998</v>
      </c>
      <c r="O738" s="106">
        <v>0.43</v>
      </c>
      <c r="P738" s="108">
        <v>41373</v>
      </c>
      <c r="Q738" s="108">
        <v>12187.910484067137</v>
      </c>
      <c r="R738" s="106">
        <v>0.25897746684895112</v>
      </c>
      <c r="S738" s="106">
        <v>81326.076380442712</v>
      </c>
      <c r="T738" s="106">
        <v>82749.452687910481</v>
      </c>
      <c r="U738" s="106">
        <v>53943.988445035095</v>
      </c>
      <c r="V738" s="106">
        <v>0.64648081000200319</v>
      </c>
      <c r="W738" s="106">
        <v>125461.49635036496</v>
      </c>
      <c r="X738" s="110">
        <v>0.50526407845189203</v>
      </c>
      <c r="Y738" s="106">
        <v>190.00942264862087</v>
      </c>
      <c r="Z738" s="106">
        <v>8.451601850265547</v>
      </c>
      <c r="AA738" s="106">
        <v>133572.49600815497</v>
      </c>
      <c r="AB738" s="106">
        <v>2399.4237032963852</v>
      </c>
      <c r="AC738" s="106">
        <v>0.74865711870724294</v>
      </c>
      <c r="AD738" s="106">
        <v>40.794889120953378</v>
      </c>
      <c r="AE738" s="106">
        <v>55.668574009938261</v>
      </c>
      <c r="AF738" s="106">
        <v>7.7884088766516521E-2</v>
      </c>
      <c r="AG738" s="106">
        <v>51720</v>
      </c>
      <c r="AH738" s="106">
        <v>65189.005108246172</v>
      </c>
      <c r="AI738" s="106">
        <v>81051.264899051326</v>
      </c>
      <c r="AJ738" s="106">
        <v>90662.308440768669</v>
      </c>
      <c r="AK738" s="104">
        <v>72095.962053028459</v>
      </c>
      <c r="AL738" s="118"/>
      <c r="AM738" s="118">
        <v>7463</v>
      </c>
      <c r="AN738" s="118">
        <v>369695</v>
      </c>
      <c r="AO738" s="118">
        <v>1765</v>
      </c>
      <c r="AP738" s="118">
        <f t="shared" si="11"/>
        <v>580</v>
      </c>
    </row>
    <row r="739" spans="1:42" ht="12.75">
      <c r="A739" s="106">
        <v>2018</v>
      </c>
      <c r="B739" s="106">
        <v>-139861</v>
      </c>
      <c r="C739" s="106">
        <v>0</v>
      </c>
      <c r="D739" s="106">
        <v>139861</v>
      </c>
      <c r="E739" s="106" t="s">
        <v>4093</v>
      </c>
      <c r="F739" s="106" t="s">
        <v>1326</v>
      </c>
      <c r="G739" s="106" t="s">
        <v>63</v>
      </c>
      <c r="H739" s="106">
        <v>2</v>
      </c>
      <c r="I739" s="106" t="s">
        <v>25</v>
      </c>
      <c r="J739" s="106">
        <v>9346</v>
      </c>
      <c r="K739" s="106">
        <v>20478</v>
      </c>
      <c r="L739" s="106">
        <v>15854</v>
      </c>
      <c r="M739" s="106">
        <v>0.18</v>
      </c>
      <c r="N739" s="106">
        <v>0.44</v>
      </c>
      <c r="O739" s="106">
        <v>0.12</v>
      </c>
      <c r="P739" s="106">
        <v>3507</v>
      </c>
      <c r="Q739" s="106">
        <v>380.60751104565537</v>
      </c>
      <c r="R739" s="106">
        <v>4.0806015136559327E-2</v>
      </c>
      <c r="S739" s="106">
        <v>20623.231369661265</v>
      </c>
      <c r="T739" s="106">
        <v>25054.835787923417</v>
      </c>
      <c r="U739" s="106">
        <v>13567.5137648118</v>
      </c>
      <c r="V739" s="106">
        <v>0.659415792569083</v>
      </c>
      <c r="W739" s="106">
        <v>84211.756170780514</v>
      </c>
      <c r="X739" s="110">
        <v>0.49467705107621524</v>
      </c>
      <c r="Y739" s="106">
        <v>562.50852272727275</v>
      </c>
      <c r="Z739" s="106">
        <v>19.289772727272727</v>
      </c>
      <c r="AA739" s="106">
        <v>54575.484871488225</v>
      </c>
      <c r="AB739" s="106">
        <v>465.26274078206956</v>
      </c>
      <c r="AC739" s="106">
        <v>1.832324536107655</v>
      </c>
      <c r="AD739" s="106">
        <v>27.195102303850494</v>
      </c>
      <c r="AE739" s="106">
        <v>117.30035545023696</v>
      </c>
      <c r="AF739" s="106">
        <v>2.5771423866567948E-2</v>
      </c>
      <c r="AG739" s="106">
        <v>7324</v>
      </c>
      <c r="AH739" s="106">
        <v>21107.954491899854</v>
      </c>
      <c r="AI739" s="106">
        <v>21486.533136966125</v>
      </c>
      <c r="AJ739" s="106">
        <v>20736.656111929307</v>
      </c>
      <c r="AK739" s="104">
        <v>18238.353755522829</v>
      </c>
      <c r="AL739" s="118">
        <v>40028859</v>
      </c>
      <c r="AM739" s="118">
        <v>5987</v>
      </c>
      <c r="AN739" s="118">
        <v>198003</v>
      </c>
      <c r="AO739" s="118">
        <v>1201</v>
      </c>
      <c r="AP739" s="118">
        <f t="shared" si="11"/>
        <v>2022</v>
      </c>
    </row>
    <row r="740" spans="1:42" ht="12.75">
      <c r="A740" s="106">
        <v>2018</v>
      </c>
      <c r="B740" s="106">
        <v>-447689</v>
      </c>
      <c r="C740" s="106">
        <v>0</v>
      </c>
      <c r="D740" s="106">
        <v>447689</v>
      </c>
      <c r="E740" s="106" t="s">
        <v>1327</v>
      </c>
      <c r="F740" s="106" t="s">
        <v>1328</v>
      </c>
      <c r="G740" s="106" t="s">
        <v>63</v>
      </c>
      <c r="H740" s="106">
        <v>3</v>
      </c>
      <c r="I740" s="104" t="s">
        <v>26</v>
      </c>
      <c r="J740" s="106">
        <v>4850</v>
      </c>
      <c r="K740" s="106">
        <v>11735</v>
      </c>
      <c r="L740" s="106">
        <v>11092</v>
      </c>
      <c r="M740" s="106">
        <v>0.62</v>
      </c>
      <c r="N740" s="106">
        <v>0.38</v>
      </c>
      <c r="O740" s="106">
        <v>0.03</v>
      </c>
      <c r="P740" s="108">
        <v>6051</v>
      </c>
      <c r="Q740" s="108">
        <v>114.88656420426376</v>
      </c>
      <c r="R740" s="106">
        <v>1.9376803743432761E-2</v>
      </c>
      <c r="S740" s="106">
        <v>14998.224293505205</v>
      </c>
      <c r="T740" s="106">
        <v>14522.642637580566</v>
      </c>
      <c r="U740" s="106">
        <v>11316.020480834082</v>
      </c>
      <c r="V740" s="106">
        <v>0.51380170174814477</v>
      </c>
      <c r="W740" s="106">
        <v>92335.865853658528</v>
      </c>
      <c r="X740" s="110">
        <v>0.58589580365062877</v>
      </c>
      <c r="Y740" s="106">
        <v>581.42729019859064</v>
      </c>
      <c r="Z740" s="106">
        <v>19.381806534272901</v>
      </c>
      <c r="AA740" s="106">
        <v>100548.07625481208</v>
      </c>
      <c r="AB740" s="106">
        <v>377.21813783884136</v>
      </c>
      <c r="AC740" s="106">
        <v>0.99454911247209621</v>
      </c>
      <c r="AD740" s="106">
        <v>11.46233084225409</v>
      </c>
      <c r="AE740" s="106">
        <v>266.55154185022025</v>
      </c>
      <c r="AF740" s="106">
        <v>7.7957712539960797E-2</v>
      </c>
      <c r="AG740" s="106">
        <v>3136</v>
      </c>
      <c r="AH740" s="106">
        <v>14149.375309866138</v>
      </c>
      <c r="AI740" s="106">
        <v>14165.294100148736</v>
      </c>
      <c r="AJ740" s="106">
        <v>15013.500743678731</v>
      </c>
      <c r="AK740" s="104">
        <v>13088.612196331185</v>
      </c>
      <c r="AL740" s="118">
        <v>56374528</v>
      </c>
      <c r="AM740" s="118">
        <v>12287</v>
      </c>
      <c r="AN740" s="118">
        <v>302536</v>
      </c>
      <c r="AO740" s="118">
        <v>1135</v>
      </c>
      <c r="AP740" s="118">
        <f t="shared" si="11"/>
        <v>1714</v>
      </c>
    </row>
    <row r="741" spans="1:42" ht="12.75">
      <c r="A741" s="106">
        <v>2018</v>
      </c>
      <c r="B741" s="106">
        <v>-139700</v>
      </c>
      <c r="C741" s="106">
        <v>0</v>
      </c>
      <c r="D741" s="106">
        <v>139700</v>
      </c>
      <c r="E741" s="106" t="s">
        <v>1329</v>
      </c>
      <c r="F741" s="106" t="s">
        <v>1330</v>
      </c>
      <c r="G741" s="106" t="s">
        <v>63</v>
      </c>
      <c r="H741" s="106">
        <v>4</v>
      </c>
      <c r="I741" s="106" t="s">
        <v>24</v>
      </c>
      <c r="J741" s="106">
        <v>3288</v>
      </c>
      <c r="K741" s="106">
        <v>6610</v>
      </c>
      <c r="L741" s="106">
        <v>5103</v>
      </c>
      <c r="M741" s="106">
        <v>0.5</v>
      </c>
      <c r="N741" s="106">
        <v>0.18</v>
      </c>
      <c r="O741" s="106">
        <v>0.01</v>
      </c>
      <c r="P741" s="107">
        <v>792</v>
      </c>
      <c r="Q741" s="107">
        <v>86.556295955882348</v>
      </c>
      <c r="R741" s="106">
        <v>2.0643330921155206E-2</v>
      </c>
      <c r="S741" s="106">
        <v>10575.839384191177</v>
      </c>
      <c r="T741" s="106">
        <v>10781.34627757353</v>
      </c>
      <c r="U741" s="106">
        <v>7521.8864889705883</v>
      </c>
      <c r="V741" s="106">
        <v>0.54592501966534546</v>
      </c>
      <c r="W741" s="106">
        <v>67570.19256198348</v>
      </c>
      <c r="X741" s="110">
        <v>0.58084116853261691</v>
      </c>
      <c r="Y741" s="106">
        <v>709.52173913043475</v>
      </c>
      <c r="Z741" s="106">
        <v>23.652173913043477</v>
      </c>
      <c r="AA741" s="106">
        <v>42847.185863874343</v>
      </c>
      <c r="AB741" s="106">
        <v>250.74491390403824</v>
      </c>
      <c r="AC741" s="106">
        <v>2.3338755622761393</v>
      </c>
      <c r="AD741" s="106">
        <v>18.534691897137311</v>
      </c>
      <c r="AE741" s="106">
        <v>170.87958115183247</v>
      </c>
      <c r="AF741" s="106">
        <v>-2.2900709366956633E-2</v>
      </c>
      <c r="AG741" s="106">
        <v>2224</v>
      </c>
      <c r="AH741" s="106">
        <v>9781.6275275735297</v>
      </c>
      <c r="AI741" s="106">
        <v>9843.68359375</v>
      </c>
      <c r="AJ741" s="106">
        <v>10576.425551470587</v>
      </c>
      <c r="AK741" s="104">
        <v>9071.7736672794126</v>
      </c>
      <c r="AL741" s="118">
        <v>17528243</v>
      </c>
      <c r="AM741" s="118">
        <v>6013</v>
      </c>
      <c r="AN741" s="118">
        <v>130552</v>
      </c>
      <c r="AO741" s="118">
        <v>764</v>
      </c>
      <c r="AP741" s="118">
        <f t="shared" si="11"/>
        <v>1064</v>
      </c>
    </row>
    <row r="742" spans="1:42" ht="12.75">
      <c r="A742" s="106">
        <v>2018</v>
      </c>
      <c r="B742" s="106">
        <v>-139755</v>
      </c>
      <c r="C742" s="106">
        <v>0</v>
      </c>
      <c r="D742" s="106">
        <v>139755</v>
      </c>
      <c r="E742" s="106" t="s">
        <v>1331</v>
      </c>
      <c r="F742" s="106" t="s">
        <v>230</v>
      </c>
      <c r="G742" s="106" t="s">
        <v>63</v>
      </c>
      <c r="H742" s="106">
        <v>1</v>
      </c>
      <c r="I742" s="106" t="s">
        <v>23</v>
      </c>
      <c r="J742" s="106">
        <v>12418</v>
      </c>
      <c r="K742" s="106">
        <v>16950</v>
      </c>
      <c r="L742" s="106">
        <v>9115</v>
      </c>
      <c r="M742" s="106">
        <v>0.13</v>
      </c>
      <c r="N742" s="106">
        <v>0.26</v>
      </c>
      <c r="O742" s="106">
        <v>0.26</v>
      </c>
      <c r="P742" s="107">
        <v>11939</v>
      </c>
      <c r="Q742" s="107">
        <v>1039.2139169713917</v>
      </c>
      <c r="R742" s="106">
        <v>6.8575695094067746E-2</v>
      </c>
      <c r="S742" s="106">
        <v>61617.459023445903</v>
      </c>
      <c r="T742" s="106">
        <v>61170.436688893671</v>
      </c>
      <c r="U742" s="106">
        <v>15850.334030298542</v>
      </c>
      <c r="V742" s="106">
        <v>0.89052042133453746</v>
      </c>
      <c r="W742" s="106">
        <v>139052.47758081334</v>
      </c>
      <c r="X742" s="110">
        <v>0.59917204453955064</v>
      </c>
      <c r="Y742" s="106">
        <v>607.0972481966337</v>
      </c>
      <c r="Z742" s="106">
        <v>22.356932941490783</v>
      </c>
      <c r="AA742" s="106">
        <v>62368.347784052406</v>
      </c>
      <c r="AB742" s="106">
        <v>583.70360937764951</v>
      </c>
      <c r="AC742" s="106">
        <v>1.6033774110265913</v>
      </c>
      <c r="AD742" s="106">
        <v>29.827071149072243</v>
      </c>
      <c r="AE742" s="106">
        <v>106.84934405416843</v>
      </c>
      <c r="AF742" s="106">
        <v>2.92542283661626E-2</v>
      </c>
      <c r="AG742" s="106">
        <v>10008</v>
      </c>
      <c r="AH742" s="106">
        <v>62007.76582777658</v>
      </c>
      <c r="AI742" s="106">
        <v>62061.489961998996</v>
      </c>
      <c r="AJ742" s="106">
        <v>62351.269735426977</v>
      </c>
      <c r="AK742" s="104">
        <v>55651.394027389404</v>
      </c>
      <c r="AL742" s="118">
        <v>291283120</v>
      </c>
      <c r="AM742" s="118">
        <v>15573</v>
      </c>
      <c r="AN742" s="118">
        <v>757455</v>
      </c>
      <c r="AO742" s="118">
        <v>3516</v>
      </c>
      <c r="AP742" s="118">
        <f t="shared" si="11"/>
        <v>2410</v>
      </c>
    </row>
    <row r="743" spans="1:42" ht="12.75">
      <c r="A743" s="106">
        <v>2018</v>
      </c>
      <c r="B743" s="106">
        <v>-485111</v>
      </c>
      <c r="C743" s="106">
        <v>0</v>
      </c>
      <c r="D743" s="106">
        <v>485111</v>
      </c>
      <c r="E743" s="106" t="s">
        <v>1332</v>
      </c>
      <c r="F743" s="106" t="s">
        <v>1326</v>
      </c>
      <c r="G743" s="106" t="s">
        <v>63</v>
      </c>
      <c r="H743" s="106">
        <v>4</v>
      </c>
      <c r="I743" s="106" t="s">
        <v>24</v>
      </c>
      <c r="J743" s="106">
        <v>6124</v>
      </c>
      <c r="K743" s="106">
        <v>6870</v>
      </c>
      <c r="L743" s="106">
        <v>7679</v>
      </c>
      <c r="M743" s="106">
        <v>0.57999999999999996</v>
      </c>
      <c r="N743" s="106">
        <v>0.5</v>
      </c>
      <c r="O743" s="106">
        <v>0.13</v>
      </c>
      <c r="P743" s="106">
        <v>4466</v>
      </c>
      <c r="Q743" s="106">
        <v>383.89082297217288</v>
      </c>
      <c r="R743" s="106">
        <v>5.7080349150335143E-2</v>
      </c>
      <c r="S743" s="106">
        <v>9407.6215512137351</v>
      </c>
      <c r="T743" s="106">
        <v>9538.4481941977501</v>
      </c>
      <c r="U743" s="106">
        <v>6315.1475429248076</v>
      </c>
      <c r="V743" s="106">
        <v>1.0041816811894062</v>
      </c>
      <c r="W743" s="106">
        <v>61019.505949547834</v>
      </c>
      <c r="X743" s="110">
        <v>0.53051309154269477</v>
      </c>
      <c r="Y743" s="106">
        <v>1452.2980891719747</v>
      </c>
      <c r="Z743" s="106">
        <v>32.273885350318473</v>
      </c>
      <c r="AA743" s="106">
        <v>29399.901323042999</v>
      </c>
      <c r="AB743" s="106">
        <v>140.33919709066413</v>
      </c>
      <c r="AC743" s="106">
        <v>3.4013719604433565</v>
      </c>
      <c r="AD743" s="106">
        <v>30.157938487115544</v>
      </c>
      <c r="AE743" s="106">
        <v>209.49173098125689</v>
      </c>
      <c r="AF743" s="106">
        <v>3.7221432859599744E-2</v>
      </c>
      <c r="AG743" s="106">
        <v>5445</v>
      </c>
      <c r="AH743" s="106">
        <v>10519.891533451746</v>
      </c>
      <c r="AI743" s="106">
        <v>10561.178922439312</v>
      </c>
      <c r="AJ743" s="106">
        <v>9476.9178211959734</v>
      </c>
      <c r="AK743" s="104">
        <v>7461.7155713439906</v>
      </c>
      <c r="AL743" s="118"/>
      <c r="AM743" s="118">
        <v>8595</v>
      </c>
      <c r="AN743" s="118">
        <v>380018</v>
      </c>
      <c r="AO743" s="118">
        <v>1814</v>
      </c>
      <c r="AP743" s="118">
        <f t="shared" si="11"/>
        <v>679</v>
      </c>
    </row>
    <row r="744" spans="1:42" ht="12.75">
      <c r="A744" s="106">
        <v>2018</v>
      </c>
      <c r="B744" s="106">
        <v>3003</v>
      </c>
      <c r="C744" s="106">
        <v>1</v>
      </c>
      <c r="D744" s="106">
        <v>139384</v>
      </c>
      <c r="E744" s="106" t="s">
        <v>3851</v>
      </c>
      <c r="F744" s="106" t="s">
        <v>1330</v>
      </c>
      <c r="G744" s="106" t="s">
        <v>63</v>
      </c>
      <c r="H744" s="106">
        <v>4</v>
      </c>
      <c r="I744" s="106" t="s">
        <v>24</v>
      </c>
      <c r="J744" s="106">
        <v>2774</v>
      </c>
      <c r="K744" s="106">
        <v>2587</v>
      </c>
      <c r="L744" s="106">
        <v>1624</v>
      </c>
      <c r="M744" s="106">
        <v>0.75</v>
      </c>
      <c r="N744" s="106">
        <v>0.06</v>
      </c>
      <c r="O744" s="106">
        <v>0</v>
      </c>
      <c r="P744" s="106"/>
      <c r="Q744" s="106"/>
      <c r="R744" s="106"/>
      <c r="S744" s="106">
        <v>11281.440121412803</v>
      </c>
      <c r="T744" s="106">
        <v>10694.031732891832</v>
      </c>
      <c r="U744" s="106">
        <v>9943.2428256070634</v>
      </c>
      <c r="V744" s="106">
        <v>0.34155171326706613</v>
      </c>
      <c r="W744" s="106">
        <v>62010.807272727267</v>
      </c>
      <c r="X744" s="110">
        <v>0.58669063800544186</v>
      </c>
      <c r="Y744" s="106">
        <v>616.59924385633281</v>
      </c>
      <c r="Z744" s="106">
        <v>20.551984877126657</v>
      </c>
      <c r="AA744" s="106">
        <v>11183.833643699565</v>
      </c>
      <c r="AB744" s="106">
        <v>331.4200888463767</v>
      </c>
      <c r="AC744" s="106">
        <v>8.9414777781798644</v>
      </c>
      <c r="AD744" s="106">
        <v>108.88813788442042</v>
      </c>
      <c r="AE744" s="106">
        <v>33.745189323401611</v>
      </c>
      <c r="AF744" s="106">
        <v>8.2448206729644827E-2</v>
      </c>
      <c r="AG744" s="106">
        <v>2136</v>
      </c>
      <c r="AH744" s="106">
        <v>9559.1098233995581</v>
      </c>
      <c r="AI744" s="106">
        <v>9739.5463576158945</v>
      </c>
      <c r="AJ744" s="106">
        <v>11294.0896799117</v>
      </c>
      <c r="AK744" s="104">
        <v>11536.378311258279</v>
      </c>
      <c r="AL744" s="118">
        <v>17886233</v>
      </c>
      <c r="AM744" s="118">
        <v>5643</v>
      </c>
      <c r="AN744" s="118">
        <v>108727</v>
      </c>
      <c r="AO744" s="118">
        <v>420</v>
      </c>
      <c r="AP744" s="118">
        <f t="shared" si="11"/>
        <v>638</v>
      </c>
    </row>
    <row r="745" spans="1:42" ht="12.75">
      <c r="A745" s="106">
        <v>2018</v>
      </c>
      <c r="B745" s="106">
        <v>-244446</v>
      </c>
      <c r="C745" s="106">
        <v>0</v>
      </c>
      <c r="D745" s="106">
        <v>244446</v>
      </c>
      <c r="E745" s="106" t="s">
        <v>1333</v>
      </c>
      <c r="F745" s="106" t="s">
        <v>1334</v>
      </c>
      <c r="G745" s="106" t="s">
        <v>63</v>
      </c>
      <c r="H745" s="106">
        <v>4</v>
      </c>
      <c r="I745" s="106" t="s">
        <v>24</v>
      </c>
      <c r="J745" s="106">
        <v>2920</v>
      </c>
      <c r="K745" s="106">
        <v>6259</v>
      </c>
      <c r="L745" s="106">
        <v>5838</v>
      </c>
      <c r="M745" s="106">
        <v>0.75</v>
      </c>
      <c r="N745" s="106">
        <v>0.34</v>
      </c>
      <c r="O745" s="106">
        <v>0</v>
      </c>
      <c r="P745" s="107"/>
      <c r="Q745" s="107"/>
      <c r="R745" s="106"/>
      <c r="S745" s="106">
        <v>13953.834716229672</v>
      </c>
      <c r="T745" s="106">
        <v>12723.92731496847</v>
      </c>
      <c r="U745" s="106">
        <v>11180.952207102555</v>
      </c>
      <c r="V745" s="106">
        <v>0.26595438778000929</v>
      </c>
      <c r="W745" s="106">
        <v>53445.775862068971</v>
      </c>
      <c r="X745" s="110">
        <v>0.61990858329142673</v>
      </c>
      <c r="Y745" s="106">
        <v>406.51124437781107</v>
      </c>
      <c r="Z745" s="106">
        <v>13.551724137931034</v>
      </c>
      <c r="AA745" s="106">
        <v>15264.254191209788</v>
      </c>
      <c r="AB745" s="106">
        <v>372.73551963355129</v>
      </c>
      <c r="AC745" s="106">
        <v>6.551253585490401</v>
      </c>
      <c r="AD745" s="106">
        <v>104.15290231241153</v>
      </c>
      <c r="AE745" s="106">
        <v>40.951971001359311</v>
      </c>
      <c r="AF745" s="106">
        <v>0.44619011669530284</v>
      </c>
      <c r="AG745" s="106">
        <v>2136</v>
      </c>
      <c r="AH745" s="106">
        <v>12225.181214736143</v>
      </c>
      <c r="AI745" s="106">
        <v>12434.6624626618</v>
      </c>
      <c r="AJ745" s="106">
        <v>13953.891138400266</v>
      </c>
      <c r="AK745" s="104">
        <v>12723.92731496847</v>
      </c>
      <c r="AL745" s="118">
        <v>20515856</v>
      </c>
      <c r="AM745" s="118">
        <v>4115</v>
      </c>
      <c r="AN745" s="118">
        <v>90381</v>
      </c>
      <c r="AO745" s="118">
        <v>395</v>
      </c>
      <c r="AP745" s="118">
        <f t="shared" si="11"/>
        <v>784</v>
      </c>
    </row>
    <row r="746" spans="1:42" ht="12.75">
      <c r="A746" s="106">
        <v>2018</v>
      </c>
      <c r="B746" s="106">
        <v>3073</v>
      </c>
      <c r="C746" s="106">
        <v>1</v>
      </c>
      <c r="D746" s="106">
        <v>139931</v>
      </c>
      <c r="E746" s="106" t="s">
        <v>4249</v>
      </c>
      <c r="F746" s="106" t="s">
        <v>1335</v>
      </c>
      <c r="G746" s="106" t="s">
        <v>63</v>
      </c>
      <c r="H746" s="106">
        <v>1</v>
      </c>
      <c r="I746" s="106" t="s">
        <v>23</v>
      </c>
      <c r="J746" s="106">
        <v>6356</v>
      </c>
      <c r="K746" s="106">
        <v>15435</v>
      </c>
      <c r="L746" s="106">
        <v>12940</v>
      </c>
      <c r="M746" s="106">
        <v>0.37</v>
      </c>
      <c r="N746" s="106">
        <v>0.56999999999999995</v>
      </c>
      <c r="O746" s="106">
        <v>0.16</v>
      </c>
      <c r="P746" s="107">
        <v>6056</v>
      </c>
      <c r="Q746" s="107">
        <v>679.31490076824582</v>
      </c>
      <c r="R746" s="106">
        <v>8.740949589545853E-2</v>
      </c>
      <c r="S746" s="106">
        <v>18547.032170294493</v>
      </c>
      <c r="T746" s="106">
        <v>19535.435859475034</v>
      </c>
      <c r="U746" s="106">
        <v>12896.937003997487</v>
      </c>
      <c r="V746" s="106">
        <v>0.54992301047737968</v>
      </c>
      <c r="W746" s="106">
        <v>85395.027840852999</v>
      </c>
      <c r="X746" s="110">
        <v>0.59054606956010269</v>
      </c>
      <c r="Y746" s="106">
        <v>601.39350081922441</v>
      </c>
      <c r="Z746" s="106">
        <v>20.474057891862369</v>
      </c>
      <c r="AA746" s="106">
        <v>55391.00354079828</v>
      </c>
      <c r="AB746" s="106">
        <v>439.0679887425643</v>
      </c>
      <c r="AC746" s="106">
        <v>1.8053473237101569</v>
      </c>
      <c r="AD746" s="106">
        <v>24.300509479662573</v>
      </c>
      <c r="AE746" s="106">
        <v>126.15586870596323</v>
      </c>
      <c r="AF746" s="106">
        <v>-4.7048116234794851E-2</v>
      </c>
      <c r="AG746" s="106">
        <v>4264</v>
      </c>
      <c r="AH746" s="106">
        <v>17600.233714788734</v>
      </c>
      <c r="AI746" s="106">
        <v>17891.622119078103</v>
      </c>
      <c r="AJ746" s="106">
        <v>18587.367357554416</v>
      </c>
      <c r="AK746" s="104">
        <v>14865.365637003841</v>
      </c>
      <c r="AL746" s="119">
        <v>133567038</v>
      </c>
      <c r="AM746" s="118">
        <v>24040</v>
      </c>
      <c r="AN746" s="118">
        <v>734101</v>
      </c>
      <c r="AO746" s="118">
        <v>4431</v>
      </c>
      <c r="AP746" s="118">
        <f t="shared" si="11"/>
        <v>2092</v>
      </c>
    </row>
    <row r="747" spans="1:42" ht="12.75">
      <c r="A747" s="106">
        <v>2018</v>
      </c>
      <c r="B747" s="106">
        <v>-139764</v>
      </c>
      <c r="C747" s="106">
        <v>0</v>
      </c>
      <c r="D747" s="106">
        <v>139764</v>
      </c>
      <c r="E747" s="106" t="s">
        <v>1336</v>
      </c>
      <c r="F747" s="106" t="s">
        <v>1337</v>
      </c>
      <c r="G747" s="106" t="s">
        <v>63</v>
      </c>
      <c r="H747" s="106">
        <v>2</v>
      </c>
      <c r="I747" s="106" t="s">
        <v>25</v>
      </c>
      <c r="J747" s="106">
        <v>5341</v>
      </c>
      <c r="K747" s="106">
        <v>12653</v>
      </c>
      <c r="L747" s="106">
        <v>10844</v>
      </c>
      <c r="M747" s="106">
        <v>0.48</v>
      </c>
      <c r="N747" s="106">
        <v>0.57999999999999996</v>
      </c>
      <c r="O747" s="106">
        <v>0.32</v>
      </c>
      <c r="P747" s="107">
        <v>4228</v>
      </c>
      <c r="Q747" s="107">
        <v>388.22268747620859</v>
      </c>
      <c r="R747" s="106">
        <v>6.1399707998576539E-2</v>
      </c>
      <c r="S747" s="106">
        <v>17189.095165588122</v>
      </c>
      <c r="T747" s="106">
        <v>18551.92653216597</v>
      </c>
      <c r="U747" s="106">
        <v>12278.171734714344</v>
      </c>
      <c r="V747" s="106">
        <v>0.48334984910603596</v>
      </c>
      <c r="W747" s="106">
        <v>81760.670168067227</v>
      </c>
      <c r="X747" s="110">
        <v>0.53236690291887634</v>
      </c>
      <c r="Y747" s="106">
        <v>586.13846153846157</v>
      </c>
      <c r="Z747" s="106">
        <v>20.207692307692309</v>
      </c>
      <c r="AA747" s="106">
        <v>42496.386228056101</v>
      </c>
      <c r="AB747" s="106">
        <v>423.30188649432506</v>
      </c>
      <c r="AC747" s="106">
        <v>2.3531412639030478</v>
      </c>
      <c r="AD747" s="106">
        <v>31.132075471698112</v>
      </c>
      <c r="AE747" s="106">
        <v>100.39262187088273</v>
      </c>
      <c r="AF747" s="106">
        <v>-7.4943640883632964E-2</v>
      </c>
      <c r="AG747" s="106">
        <v>3965</v>
      </c>
      <c r="AH747" s="106">
        <v>15870.765892653217</v>
      </c>
      <c r="AI747" s="106">
        <v>16285.159497525694</v>
      </c>
      <c r="AJ747" s="106">
        <v>17232.870574800152</v>
      </c>
      <c r="AK747" s="104">
        <v>14084.591168633422</v>
      </c>
      <c r="AL747" s="118">
        <v>12879048</v>
      </c>
      <c r="AM747" s="118">
        <v>2606</v>
      </c>
      <c r="AN747" s="118">
        <v>76198</v>
      </c>
      <c r="AO747" s="118">
        <v>473</v>
      </c>
      <c r="AP747" s="118">
        <f t="shared" si="11"/>
        <v>1376</v>
      </c>
    </row>
    <row r="748" spans="1:42" ht="12.75">
      <c r="A748" s="106">
        <v>2018</v>
      </c>
      <c r="B748" s="106">
        <v>-139940</v>
      </c>
      <c r="C748" s="106">
        <v>0</v>
      </c>
      <c r="D748" s="106">
        <v>139940</v>
      </c>
      <c r="E748" s="106" t="s">
        <v>1338</v>
      </c>
      <c r="F748" s="106" t="s">
        <v>230</v>
      </c>
      <c r="G748" s="106" t="s">
        <v>63</v>
      </c>
      <c r="H748" s="106">
        <v>1</v>
      </c>
      <c r="I748" s="106" t="s">
        <v>23</v>
      </c>
      <c r="J748" s="106">
        <v>9112</v>
      </c>
      <c r="K748" s="106">
        <v>14501</v>
      </c>
      <c r="L748" s="106">
        <v>12511</v>
      </c>
      <c r="M748" s="106">
        <v>0.53</v>
      </c>
      <c r="N748" s="106">
        <v>0.52</v>
      </c>
      <c r="O748" s="106">
        <v>0.25</v>
      </c>
      <c r="P748" s="107">
        <v>4986</v>
      </c>
      <c r="Q748" s="106">
        <v>1449.9502745576572</v>
      </c>
      <c r="R748" s="106">
        <v>0.14718903675690631</v>
      </c>
      <c r="S748" s="106">
        <v>23393.261866992067</v>
      </c>
      <c r="T748" s="106">
        <v>24462.243868212325</v>
      </c>
      <c r="U748" s="106">
        <v>12008.028715463501</v>
      </c>
      <c r="V748" s="106">
        <v>0.69961433952002816</v>
      </c>
      <c r="W748" s="106">
        <v>95981.495835468988</v>
      </c>
      <c r="X748" s="110">
        <v>0.62274216901110424</v>
      </c>
      <c r="Y748" s="106">
        <v>584.41894197952217</v>
      </c>
      <c r="Z748" s="106">
        <v>20.976962457337883</v>
      </c>
      <c r="AA748" s="106">
        <v>50574.737413965508</v>
      </c>
      <c r="AB748" s="106">
        <v>431.01266823712791</v>
      </c>
      <c r="AC748" s="106">
        <v>1.9772717588522051</v>
      </c>
      <c r="AD748" s="106">
        <v>27.731062495546212</v>
      </c>
      <c r="AE748" s="106">
        <v>117.33932930746499</v>
      </c>
      <c r="AF748" s="106">
        <v>1.9656147942895136E-2</v>
      </c>
      <c r="AG748" s="106">
        <v>6984</v>
      </c>
      <c r="AH748" s="106">
        <v>22304.35491153142</v>
      </c>
      <c r="AI748" s="106">
        <v>22338.263849908482</v>
      </c>
      <c r="AJ748" s="106">
        <v>23468.47654057352</v>
      </c>
      <c r="AK748" s="104">
        <v>21467.697528981087</v>
      </c>
      <c r="AL748" s="118">
        <v>216118450</v>
      </c>
      <c r="AM748" s="118">
        <v>25770</v>
      </c>
      <c r="AN748" s="118">
        <v>913252</v>
      </c>
      <c r="AO748" s="118">
        <v>4972</v>
      </c>
      <c r="AP748" s="118">
        <f t="shared" si="11"/>
        <v>2128</v>
      </c>
    </row>
    <row r="749" spans="1:42">
      <c r="A749" s="106">
        <v>2018</v>
      </c>
      <c r="B749" s="106">
        <v>-244437</v>
      </c>
      <c r="C749" s="106">
        <v>0</v>
      </c>
      <c r="D749" s="106">
        <v>244437</v>
      </c>
      <c r="E749" s="106" t="s">
        <v>4094</v>
      </c>
      <c r="F749" s="106" t="s">
        <v>230</v>
      </c>
      <c r="G749" s="106" t="s">
        <v>63</v>
      </c>
      <c r="H749" s="106">
        <v>4</v>
      </c>
      <c r="I749" s="106" t="s">
        <v>24</v>
      </c>
      <c r="J749" s="107">
        <v>3304</v>
      </c>
      <c r="K749" s="107">
        <v>6355</v>
      </c>
      <c r="L749" s="107">
        <v>5557</v>
      </c>
      <c r="M749" s="107">
        <v>0.57999999999999996</v>
      </c>
      <c r="N749" s="107">
        <v>0.34</v>
      </c>
      <c r="O749" s="107">
        <v>0.05</v>
      </c>
      <c r="P749" s="108">
        <v>3667</v>
      </c>
      <c r="Q749" s="108">
        <v>36.911919871549813</v>
      </c>
      <c r="R749" s="107">
        <v>7.2180754336585084E-3</v>
      </c>
      <c r="S749" s="107">
        <v>12270.149552718098</v>
      </c>
      <c r="T749" s="107">
        <v>10821.918495297805</v>
      </c>
      <c r="U749" s="107">
        <v>7858.8541139402514</v>
      </c>
      <c r="V749" s="107">
        <v>0.64601090995653287</v>
      </c>
      <c r="W749" s="107">
        <v>150288.28228228228</v>
      </c>
      <c r="X749" s="111">
        <v>0.70716466381995879</v>
      </c>
      <c r="Y749" s="107">
        <v>737.07013149655597</v>
      </c>
      <c r="Z749" s="107">
        <v>24.569192235441452</v>
      </c>
      <c r="AA749" s="107">
        <v>52441.812732767627</v>
      </c>
      <c r="AB749" s="107">
        <v>261.96380673253498</v>
      </c>
      <c r="AC749" s="107">
        <v>1.906875349820168</v>
      </c>
      <c r="AD749" s="107">
        <v>17.83926458541913</v>
      </c>
      <c r="AE749" s="107">
        <v>200.18724489795918</v>
      </c>
      <c r="AF749" s="107"/>
      <c r="AG749" s="107">
        <v>2224</v>
      </c>
      <c r="AH749" s="107">
        <v>10511.997018120652</v>
      </c>
      <c r="AI749" s="107">
        <v>10537.86512730331</v>
      </c>
      <c r="AJ749" s="107">
        <v>12285.71664500344</v>
      </c>
      <c r="AK749" s="104">
        <v>9769.1230980961845</v>
      </c>
      <c r="AL749" s="118">
        <v>51786323</v>
      </c>
      <c r="AM749" s="118">
        <v>18732</v>
      </c>
      <c r="AN749" s="118">
        <v>392367</v>
      </c>
      <c r="AO749" s="118">
        <v>1960</v>
      </c>
      <c r="AP749" s="118">
        <f t="shared" si="11"/>
        <v>1080</v>
      </c>
    </row>
    <row r="750" spans="1:42" ht="12.75">
      <c r="A750" s="106">
        <v>2018</v>
      </c>
      <c r="B750" s="106">
        <v>-184773</v>
      </c>
      <c r="C750" s="106">
        <v>0</v>
      </c>
      <c r="D750" s="106">
        <v>184773</v>
      </c>
      <c r="E750" s="106" t="s">
        <v>1339</v>
      </c>
      <c r="F750" s="106" t="s">
        <v>784</v>
      </c>
      <c r="G750" s="106" t="s">
        <v>234</v>
      </c>
      <c r="H750" s="106">
        <v>6</v>
      </c>
      <c r="I750" s="106" t="s">
        <v>3640</v>
      </c>
      <c r="J750" s="106">
        <v>32260</v>
      </c>
      <c r="K750" s="106">
        <v>22757</v>
      </c>
      <c r="L750" s="106">
        <v>17087</v>
      </c>
      <c r="M750" s="106">
        <v>0.52</v>
      </c>
      <c r="N750" s="106">
        <v>0.84</v>
      </c>
      <c r="O750" s="106">
        <v>1</v>
      </c>
      <c r="P750" s="107">
        <v>17715</v>
      </c>
      <c r="Q750" s="107">
        <v>10107.485817431665</v>
      </c>
      <c r="R750" s="106">
        <v>0.36687029926963505</v>
      </c>
      <c r="S750" s="106">
        <v>21284.344507478083</v>
      </c>
      <c r="T750" s="106">
        <v>23996.394533264571</v>
      </c>
      <c r="U750" s="106">
        <v>22157.435791645177</v>
      </c>
      <c r="V750" s="106">
        <v>0.78723387615672069</v>
      </c>
      <c r="W750" s="106">
        <v>61579.685393258427</v>
      </c>
      <c r="X750" s="110">
        <v>0.51041774820521113</v>
      </c>
      <c r="Y750" s="106">
        <v>360.41921397379906</v>
      </c>
      <c r="Z750" s="106">
        <v>12.700873362445414</v>
      </c>
      <c r="AA750" s="106">
        <v>63181.276470588236</v>
      </c>
      <c r="AB750" s="106">
        <v>780.80961035184646</v>
      </c>
      <c r="AC750" s="106">
        <v>1.5827473831832344</v>
      </c>
      <c r="AD750" s="106">
        <v>36.637931034482754</v>
      </c>
      <c r="AE750" s="106">
        <v>80.917647058823533</v>
      </c>
      <c r="AF750" s="106">
        <v>-1.5866647758917746E-2</v>
      </c>
      <c r="AG750" s="106">
        <v>30800</v>
      </c>
      <c r="AH750" s="106">
        <v>20740.46570397112</v>
      </c>
      <c r="AI750" s="106">
        <v>21284.344507478083</v>
      </c>
      <c r="AJ750" s="106">
        <v>23314.867973182052</v>
      </c>
      <c r="AK750" s="104">
        <v>22157.435791645177</v>
      </c>
      <c r="AL750" s="118">
        <v>50358</v>
      </c>
      <c r="AM750" s="118">
        <v>1613</v>
      </c>
      <c r="AN750" s="118">
        <v>55024</v>
      </c>
      <c r="AO750" s="118">
        <v>390</v>
      </c>
      <c r="AP750" s="118">
        <f t="shared" si="11"/>
        <v>1460</v>
      </c>
    </row>
    <row r="751" spans="1:42" ht="12.75">
      <c r="A751" s="106">
        <v>2018</v>
      </c>
      <c r="B751" s="106">
        <v>-232195</v>
      </c>
      <c r="C751" s="106">
        <v>0</v>
      </c>
      <c r="D751" s="106">
        <v>232195</v>
      </c>
      <c r="E751" s="106" t="s">
        <v>1340</v>
      </c>
      <c r="F751" s="106" t="s">
        <v>1341</v>
      </c>
      <c r="G751" s="106" t="s">
        <v>261</v>
      </c>
      <c r="H751" s="106">
        <v>4</v>
      </c>
      <c r="I751" s="106" t="s">
        <v>24</v>
      </c>
      <c r="J751" s="106">
        <v>4801</v>
      </c>
      <c r="K751" s="106">
        <v>7426</v>
      </c>
      <c r="L751" s="106">
        <v>6353</v>
      </c>
      <c r="M751" s="106">
        <v>0.3</v>
      </c>
      <c r="N751" s="106">
        <v>0.14000000000000001</v>
      </c>
      <c r="O751" s="106">
        <v>0.06</v>
      </c>
      <c r="P751" s="107">
        <v>1345</v>
      </c>
      <c r="Q751" s="107">
        <v>212.25316455696202</v>
      </c>
      <c r="R751" s="106">
        <v>4.1438878680489261E-2</v>
      </c>
      <c r="S751" s="106">
        <v>9418.2020447906525</v>
      </c>
      <c r="T751" s="106">
        <v>9579.5199610516065</v>
      </c>
      <c r="U751" s="106">
        <v>8348.498152301856</v>
      </c>
      <c r="V751" s="106">
        <v>0.58810874035781557</v>
      </c>
      <c r="W751" s="106">
        <v>69131.407932011338</v>
      </c>
      <c r="X751" s="110">
        <v>0.62012026732215464</v>
      </c>
      <c r="Y751" s="106">
        <v>739.34999999999991</v>
      </c>
      <c r="Z751" s="106">
        <v>24.647999999999996</v>
      </c>
      <c r="AA751" s="106">
        <v>14891.719674188462</v>
      </c>
      <c r="AB751" s="106">
        <v>278.31714676125807</v>
      </c>
      <c r="AC751" s="106">
        <v>6.7151411783105299</v>
      </c>
      <c r="AD751" s="106">
        <v>63.321418751718447</v>
      </c>
      <c r="AE751" s="106">
        <v>53.506296135475466</v>
      </c>
      <c r="AF751" s="106">
        <v>2.0887097474308499E-2</v>
      </c>
      <c r="AG751" s="106">
        <v>4283</v>
      </c>
      <c r="AH751" s="106">
        <v>9287.1682083739051</v>
      </c>
      <c r="AI751" s="106">
        <v>9382.443281402142</v>
      </c>
      <c r="AJ751" s="106">
        <v>9430.5296981499505</v>
      </c>
      <c r="AK751" s="104">
        <v>8996.5311587147025</v>
      </c>
      <c r="AL751" s="119">
        <v>15200762</v>
      </c>
      <c r="AM751" s="118">
        <v>6688</v>
      </c>
      <c r="AN751" s="118">
        <v>123225</v>
      </c>
      <c r="AO751" s="118">
        <v>911</v>
      </c>
      <c r="AP751" s="118">
        <f t="shared" si="11"/>
        <v>518</v>
      </c>
    </row>
    <row r="752" spans="1:42" ht="12.75">
      <c r="A752" s="106">
        <v>2018</v>
      </c>
      <c r="B752" s="106">
        <v>-212674</v>
      </c>
      <c r="C752" s="106">
        <v>0</v>
      </c>
      <c r="D752" s="106">
        <v>212674</v>
      </c>
      <c r="E752" s="106" t="s">
        <v>1342</v>
      </c>
      <c r="F752" s="106" t="s">
        <v>1343</v>
      </c>
      <c r="G752" s="106" t="s">
        <v>104</v>
      </c>
      <c r="H752" s="106">
        <v>7</v>
      </c>
      <c r="I752" s="106" t="s">
        <v>3641</v>
      </c>
      <c r="J752" s="106">
        <v>52640</v>
      </c>
      <c r="K752" s="106">
        <v>35197</v>
      </c>
      <c r="L752" s="106">
        <v>12203</v>
      </c>
      <c r="M752" s="106">
        <v>0.14000000000000001</v>
      </c>
      <c r="N752" s="106">
        <v>0.56000000000000005</v>
      </c>
      <c r="O752" s="106">
        <v>0.82</v>
      </c>
      <c r="P752" s="106">
        <v>30581</v>
      </c>
      <c r="Q752" s="106">
        <v>21652.892925430209</v>
      </c>
      <c r="R752" s="106">
        <v>0.41996995653911434</v>
      </c>
      <c r="S752" s="106">
        <v>51970.507074569789</v>
      </c>
      <c r="T752" s="106">
        <v>50195.461185468448</v>
      </c>
      <c r="U752" s="106">
        <v>40421.60828245731</v>
      </c>
      <c r="V752" s="106">
        <v>0.73983454330364107</v>
      </c>
      <c r="W752" s="106">
        <v>88856.75294117647</v>
      </c>
      <c r="X752" s="110">
        <v>0.55622430984538751</v>
      </c>
      <c r="Y752" s="106">
        <v>323.33590733590734</v>
      </c>
      <c r="Z752" s="106">
        <v>10.096525096525097</v>
      </c>
      <c r="AA752" s="106">
        <v>175004.14844143353</v>
      </c>
      <c r="AB752" s="106">
        <v>1262.2098975284898</v>
      </c>
      <c r="AC752" s="106">
        <v>0.57141502581846371</v>
      </c>
      <c r="AD752" s="106">
        <v>25.093477357706689</v>
      </c>
      <c r="AE752" s="106">
        <v>138.64900662251657</v>
      </c>
      <c r="AF752" s="106">
        <v>6.2881933815911756E-2</v>
      </c>
      <c r="AG752" s="106">
        <v>52640</v>
      </c>
      <c r="AH752" s="106">
        <v>46024.808030592736</v>
      </c>
      <c r="AI752" s="106">
        <v>52071.855449330782</v>
      </c>
      <c r="AJ752" s="106">
        <v>60443.775908221796</v>
      </c>
      <c r="AK752" s="104">
        <v>42893.098661567878</v>
      </c>
      <c r="AL752" s="118"/>
      <c r="AM752" s="118">
        <v>2411</v>
      </c>
      <c r="AN752" s="118">
        <v>83744</v>
      </c>
      <c r="AO752" s="118">
        <v>604</v>
      </c>
      <c r="AP752" s="118">
        <f t="shared" si="11"/>
        <v>0</v>
      </c>
    </row>
    <row r="753" spans="1:42">
      <c r="A753" s="106">
        <v>2018</v>
      </c>
      <c r="B753" s="106">
        <v>-169974</v>
      </c>
      <c r="C753" s="106">
        <v>0</v>
      </c>
      <c r="D753" s="106">
        <v>169974</v>
      </c>
      <c r="E753" s="106" t="s">
        <v>1344</v>
      </c>
      <c r="F753" s="106" t="s">
        <v>1345</v>
      </c>
      <c r="G753" s="106" t="s">
        <v>74</v>
      </c>
      <c r="H753" s="106">
        <v>4</v>
      </c>
      <c r="I753" s="106" t="s">
        <v>24</v>
      </c>
      <c r="J753" s="107">
        <v>3384</v>
      </c>
      <c r="K753" s="108">
        <v>6900</v>
      </c>
      <c r="L753" s="108">
        <v>5516</v>
      </c>
      <c r="M753" s="108">
        <v>0.5</v>
      </c>
      <c r="N753" s="108">
        <v>0.28999999999999998</v>
      </c>
      <c r="O753" s="108">
        <v>0.46</v>
      </c>
      <c r="P753" s="108">
        <v>1823</v>
      </c>
      <c r="Q753" s="107">
        <v>313.65983606557376</v>
      </c>
      <c r="R753" s="107">
        <v>6.8975617493686719E-2</v>
      </c>
      <c r="S753" s="107">
        <v>20658.601092896173</v>
      </c>
      <c r="T753" s="107">
        <v>18366.012295081968</v>
      </c>
      <c r="U753" s="107">
        <v>14624.860791607873</v>
      </c>
      <c r="V753" s="107">
        <v>0.28948937453873891</v>
      </c>
      <c r="W753" s="107">
        <v>79836.919014084502</v>
      </c>
      <c r="X753" s="111">
        <v>0.56217936716527861</v>
      </c>
      <c r="Y753" s="107">
        <v>693.63157894736844</v>
      </c>
      <c r="Z753" s="107">
        <v>23.11578947368421</v>
      </c>
      <c r="AA753" s="107">
        <v>64881.200602769466</v>
      </c>
      <c r="AB753" s="107">
        <v>487.38438877564136</v>
      </c>
      <c r="AC753" s="107">
        <v>1.5412785070400112</v>
      </c>
      <c r="AD753" s="107">
        <v>25.345622119815669</v>
      </c>
      <c r="AE753" s="107">
        <v>133.12121212121212</v>
      </c>
      <c r="AF753" s="107">
        <v>0.19893677501368315</v>
      </c>
      <c r="AG753" s="107">
        <v>2688</v>
      </c>
      <c r="AH753" s="107">
        <v>20002.997267759562</v>
      </c>
      <c r="AI753" s="107">
        <v>20002.997267759562</v>
      </c>
      <c r="AJ753" s="107">
        <v>20674.942622950821</v>
      </c>
      <c r="AK753" s="104">
        <v>16305.203551912567</v>
      </c>
      <c r="AL753" s="119">
        <v>9082961</v>
      </c>
      <c r="AM753" s="118">
        <v>1207</v>
      </c>
      <c r="AN753" s="118">
        <v>21965</v>
      </c>
      <c r="AO753" s="118">
        <v>105</v>
      </c>
      <c r="AP753" s="118">
        <f t="shared" si="11"/>
        <v>696</v>
      </c>
    </row>
    <row r="754" spans="1:42" ht="12.75">
      <c r="A754" s="106">
        <v>2018</v>
      </c>
      <c r="B754" s="106">
        <v>-104708</v>
      </c>
      <c r="C754" s="106">
        <v>0</v>
      </c>
      <c r="D754" s="106">
        <v>104708</v>
      </c>
      <c r="E754" s="106" t="s">
        <v>3927</v>
      </c>
      <c r="F754" s="106" t="s">
        <v>195</v>
      </c>
      <c r="G754" s="106" t="s">
        <v>147</v>
      </c>
      <c r="H754" s="106">
        <v>4</v>
      </c>
      <c r="I754" s="106" t="s">
        <v>24</v>
      </c>
      <c r="J754" s="106">
        <v>2094</v>
      </c>
      <c r="K754" s="106">
        <v>7464</v>
      </c>
      <c r="L754" s="106">
        <v>6432</v>
      </c>
      <c r="M754" s="106">
        <v>0.56000000000000005</v>
      </c>
      <c r="N754" s="106">
        <v>0.1</v>
      </c>
      <c r="O754" s="106">
        <v>0.33</v>
      </c>
      <c r="P754" s="108">
        <v>1754</v>
      </c>
      <c r="Q754" s="106">
        <v>412.66034958601654</v>
      </c>
      <c r="R754" s="106">
        <v>0.13178550813559833</v>
      </c>
      <c r="S754" s="106">
        <v>10363.934498620056</v>
      </c>
      <c r="T754" s="106">
        <v>9450.9556577736894</v>
      </c>
      <c r="U754" s="106">
        <v>7710.1992844202205</v>
      </c>
      <c r="V754" s="106">
        <v>0.35260341451740573</v>
      </c>
      <c r="W754" s="106">
        <v>72502.468108504399</v>
      </c>
      <c r="X754" s="110">
        <v>0.64175702679580848</v>
      </c>
      <c r="Y754" s="106">
        <v>674.19460953697296</v>
      </c>
      <c r="Z754" s="106">
        <v>22.536281962681407</v>
      </c>
      <c r="AA754" s="106">
        <v>16798.930892292603</v>
      </c>
      <c r="AB754" s="106">
        <v>257.72858845829961</v>
      </c>
      <c r="AC754" s="106">
        <v>5.9527597703184956</v>
      </c>
      <c r="AD754" s="106">
        <v>47.727924997608341</v>
      </c>
      <c r="AE754" s="106">
        <v>65.180704215941731</v>
      </c>
      <c r="AF754" s="106"/>
      <c r="AG754" s="106">
        <v>2064</v>
      </c>
      <c r="AH754" s="106">
        <v>8846.2900643974244</v>
      </c>
      <c r="AI754" s="106">
        <v>8919.4759889604411</v>
      </c>
      <c r="AJ754" s="106">
        <v>10364.089420423183</v>
      </c>
      <c r="AK754" s="104">
        <v>9299.995952161913</v>
      </c>
      <c r="AL754" s="118">
        <v>63432709</v>
      </c>
      <c r="AM754" s="118">
        <v>19033</v>
      </c>
      <c r="AN754" s="118">
        <v>325186.53333333333</v>
      </c>
      <c r="AO754" s="118">
        <v>2450</v>
      </c>
      <c r="AP754" s="118">
        <f t="shared" si="11"/>
        <v>30</v>
      </c>
    </row>
    <row r="755" spans="1:42" ht="12.75">
      <c r="A755" s="106">
        <v>2018</v>
      </c>
      <c r="B755" s="106">
        <v>-115001</v>
      </c>
      <c r="C755" s="106">
        <v>0</v>
      </c>
      <c r="D755" s="106">
        <v>115001</v>
      </c>
      <c r="E755" s="106" t="s">
        <v>3928</v>
      </c>
      <c r="F755" s="106" t="s">
        <v>195</v>
      </c>
      <c r="G755" s="106" t="s">
        <v>121</v>
      </c>
      <c r="H755" s="106">
        <v>4</v>
      </c>
      <c r="I755" s="106" t="s">
        <v>24</v>
      </c>
      <c r="J755" s="106">
        <v>1175</v>
      </c>
      <c r="K755" s="106">
        <v>5122</v>
      </c>
      <c r="L755" s="106">
        <v>3559</v>
      </c>
      <c r="M755" s="106">
        <v>0.54</v>
      </c>
      <c r="N755" s="106">
        <v>0.01</v>
      </c>
      <c r="O755" s="106">
        <v>0</v>
      </c>
      <c r="P755" s="106"/>
      <c r="Q755" s="106"/>
      <c r="R755" s="106"/>
      <c r="S755" s="106">
        <v>13771.958551409758</v>
      </c>
      <c r="T755" s="106">
        <v>14250.044403174068</v>
      </c>
      <c r="U755" s="106">
        <v>9176.2659897302565</v>
      </c>
      <c r="V755" s="106">
        <v>0.17661549662563455</v>
      </c>
      <c r="W755" s="106">
        <v>179832</v>
      </c>
      <c r="X755" s="110">
        <v>0.80644528649705904</v>
      </c>
      <c r="Y755" s="106">
        <v>850.18181818181813</v>
      </c>
      <c r="Z755" s="106">
        <v>28.339712918660286</v>
      </c>
      <c r="AA755" s="106">
        <v>88808.861858124685</v>
      </c>
      <c r="AB755" s="106">
        <v>305.87897582938803</v>
      </c>
      <c r="AC755" s="106">
        <v>1.1260137547957045</v>
      </c>
      <c r="AD755" s="106">
        <v>13.149978513107005</v>
      </c>
      <c r="AE755" s="106">
        <v>290.33986928104576</v>
      </c>
      <c r="AF755" s="106">
        <v>-8.7041650259230177E-2</v>
      </c>
      <c r="AG755" s="106">
        <v>1104</v>
      </c>
      <c r="AH755" s="106">
        <v>12450.427317237887</v>
      </c>
      <c r="AI755" s="106">
        <v>12450.427317237887</v>
      </c>
      <c r="AJ755" s="106">
        <v>13956.841043390174</v>
      </c>
      <c r="AK755" s="104">
        <v>11142.314874219146</v>
      </c>
      <c r="AL755" s="119">
        <v>91480560</v>
      </c>
      <c r="AM755" s="118">
        <v>14598</v>
      </c>
      <c r="AN755" s="118">
        <v>355376</v>
      </c>
      <c r="AO755" s="118">
        <v>936</v>
      </c>
      <c r="AP755" s="118">
        <f t="shared" si="11"/>
        <v>71</v>
      </c>
    </row>
    <row r="756" spans="1:42" ht="12.75">
      <c r="A756" s="106">
        <v>2018</v>
      </c>
      <c r="B756" s="106">
        <v>-237385</v>
      </c>
      <c r="C756" s="106">
        <v>0</v>
      </c>
      <c r="D756" s="106">
        <v>237385</v>
      </c>
      <c r="E756" s="106" t="s">
        <v>1346</v>
      </c>
      <c r="F756" s="106" t="s">
        <v>1347</v>
      </c>
      <c r="G756" s="106" t="s">
        <v>110</v>
      </c>
      <c r="H756" s="106">
        <v>3</v>
      </c>
      <c r="I756" s="104" t="s">
        <v>26</v>
      </c>
      <c r="J756" s="106">
        <v>7342</v>
      </c>
      <c r="K756" s="106">
        <v>16556</v>
      </c>
      <c r="L756" s="106">
        <v>15034</v>
      </c>
      <c r="M756" s="106">
        <v>0.62</v>
      </c>
      <c r="N756" s="106">
        <v>0.74</v>
      </c>
      <c r="O756" s="106">
        <v>0.44</v>
      </c>
      <c r="P756" s="106">
        <v>4442</v>
      </c>
      <c r="Q756" s="106">
        <v>3247.8066390041495</v>
      </c>
      <c r="R756" s="106">
        <v>0.3843118443076316</v>
      </c>
      <c r="S756" s="106">
        <v>20767.809128630706</v>
      </c>
      <c r="T756" s="106">
        <v>22811.731120331951</v>
      </c>
      <c r="U756" s="106">
        <v>9683.0215767634854</v>
      </c>
      <c r="V756" s="106">
        <v>0.537348814595355</v>
      </c>
      <c r="W756" s="106">
        <v>60592.458265139117</v>
      </c>
      <c r="X756" s="110">
        <v>0.44894510126114046</v>
      </c>
      <c r="Y756" s="106">
        <v>539.46268656716416</v>
      </c>
      <c r="Z756" s="106">
        <v>17.985074626865671</v>
      </c>
      <c r="AA756" s="106">
        <v>32143.363636363636</v>
      </c>
      <c r="AB756" s="106">
        <v>322.82096613545815</v>
      </c>
      <c r="AC756" s="106">
        <v>3.1110620883145677</v>
      </c>
      <c r="AD756" s="106">
        <v>28.227060653188179</v>
      </c>
      <c r="AE756" s="106">
        <v>99.570247933884303</v>
      </c>
      <c r="AF756" s="106">
        <v>-6.1630842885092137E-2</v>
      </c>
      <c r="AG756" s="106">
        <v>5590</v>
      </c>
      <c r="AH756" s="106">
        <v>21296.957676348549</v>
      </c>
      <c r="AI756" s="106">
        <v>21296.957676348549</v>
      </c>
      <c r="AJ756" s="106">
        <v>20803.249792531122</v>
      </c>
      <c r="AK756" s="104">
        <v>11795.888796680498</v>
      </c>
      <c r="AL756" s="119">
        <v>5622099</v>
      </c>
      <c r="AM756" s="118">
        <v>1655</v>
      </c>
      <c r="AN756" s="118">
        <v>36144</v>
      </c>
      <c r="AO756" s="118">
        <v>363</v>
      </c>
      <c r="AP756" s="118">
        <f t="shared" si="11"/>
        <v>1752</v>
      </c>
    </row>
    <row r="757" spans="1:42" ht="12.75">
      <c r="A757" s="106">
        <v>2018</v>
      </c>
      <c r="B757" s="106">
        <v>-230889</v>
      </c>
      <c r="C757" s="106">
        <v>0</v>
      </c>
      <c r="D757" s="106">
        <v>230889</v>
      </c>
      <c r="E757" s="106" t="s">
        <v>1348</v>
      </c>
      <c r="F757" s="106" t="s">
        <v>1349</v>
      </c>
      <c r="G757" s="106" t="s">
        <v>345</v>
      </c>
      <c r="H757" s="106">
        <v>6</v>
      </c>
      <c r="I757" s="106" t="s">
        <v>3640</v>
      </c>
      <c r="J757" s="106">
        <v>16260</v>
      </c>
      <c r="K757" s="106">
        <v>23187</v>
      </c>
      <c r="L757" s="106">
        <v>21545</v>
      </c>
      <c r="M757" s="106">
        <v>0.75</v>
      </c>
      <c r="N757" s="106">
        <v>0.75</v>
      </c>
      <c r="O757" s="106">
        <v>0.5</v>
      </c>
      <c r="P757" s="106">
        <v>750</v>
      </c>
      <c r="Q757" s="106">
        <v>465.39911308203989</v>
      </c>
      <c r="R757" s="106">
        <v>2.8252469760791855E-2</v>
      </c>
      <c r="S757" s="106">
        <v>20961.28824833703</v>
      </c>
      <c r="T757" s="106">
        <v>22640.452328159645</v>
      </c>
      <c r="U757" s="106">
        <v>20188.565200791425</v>
      </c>
      <c r="V757" s="106">
        <v>0.79289763649481781</v>
      </c>
      <c r="W757" s="106">
        <v>48791.717121588088</v>
      </c>
      <c r="X757" s="110">
        <v>0.64190129630812109</v>
      </c>
      <c r="Y757" s="106">
        <v>278.50781249999994</v>
      </c>
      <c r="Z757" s="106">
        <v>10.570312499999998</v>
      </c>
      <c r="AA757" s="106">
        <v>46454.300538555777</v>
      </c>
      <c r="AB757" s="106">
        <v>766.22426201775079</v>
      </c>
      <c r="AC757" s="106">
        <v>2.1526532278104753</v>
      </c>
      <c r="AD757" s="106">
        <v>41.17647058823529</v>
      </c>
      <c r="AE757" s="106">
        <v>60.627551020408163</v>
      </c>
      <c r="AF757" s="106">
        <v>-0.10530118360174237</v>
      </c>
      <c r="AG757" s="106">
        <v>16260</v>
      </c>
      <c r="AH757" s="106">
        <v>19788.177383592018</v>
      </c>
      <c r="AI757" s="106">
        <v>20616.554323725057</v>
      </c>
      <c r="AJ757" s="106">
        <v>21205.917960088693</v>
      </c>
      <c r="AK757" s="104">
        <v>21060.9889135255</v>
      </c>
      <c r="AL757" s="118"/>
      <c r="AM757" s="118">
        <v>189</v>
      </c>
      <c r="AN757" s="118">
        <v>11883</v>
      </c>
      <c r="AO757" s="118">
        <v>61</v>
      </c>
      <c r="AP757" s="118">
        <f t="shared" si="11"/>
        <v>0</v>
      </c>
    </row>
    <row r="758" spans="1:42" ht="12.75">
      <c r="A758" s="106">
        <v>2018</v>
      </c>
      <c r="B758" s="106">
        <v>-169992</v>
      </c>
      <c r="C758" s="106">
        <v>0</v>
      </c>
      <c r="D758" s="106">
        <v>169992</v>
      </c>
      <c r="E758" s="106" t="s">
        <v>1350</v>
      </c>
      <c r="F758" s="106" t="s">
        <v>1351</v>
      </c>
      <c r="G758" s="106" t="s">
        <v>74</v>
      </c>
      <c r="H758" s="106">
        <v>4</v>
      </c>
      <c r="I758" s="106" t="s">
        <v>24</v>
      </c>
      <c r="J758" s="106">
        <v>4739</v>
      </c>
      <c r="K758" s="106">
        <v>7235</v>
      </c>
      <c r="L758" s="106">
        <v>5683</v>
      </c>
      <c r="M758" s="106">
        <v>0.59</v>
      </c>
      <c r="N758" s="106">
        <v>0.36</v>
      </c>
      <c r="O758" s="106">
        <v>0.25</v>
      </c>
      <c r="P758" s="106">
        <v>1078</v>
      </c>
      <c r="Q758" s="106">
        <v>138.2450851900393</v>
      </c>
      <c r="R758" s="106">
        <v>2.3275129145070773E-2</v>
      </c>
      <c r="S758" s="106">
        <v>17293.794233289645</v>
      </c>
      <c r="T758" s="106">
        <v>16850.693315858454</v>
      </c>
      <c r="U758" s="106">
        <v>14533.087770294842</v>
      </c>
      <c r="V758" s="106">
        <v>0.39918292045651221</v>
      </c>
      <c r="W758" s="106">
        <v>85245.69624573378</v>
      </c>
      <c r="X758" s="110">
        <v>0.64755478285542156</v>
      </c>
      <c r="Y758" s="106">
        <v>442.76129032258058</v>
      </c>
      <c r="Z758" s="106">
        <v>14.767741935483869</v>
      </c>
      <c r="AA758" s="106">
        <v>45260.187627489649</v>
      </c>
      <c r="AB758" s="106">
        <v>484.73273162856117</v>
      </c>
      <c r="AC758" s="106">
        <v>2.2094473143381994</v>
      </c>
      <c r="AD758" s="106">
        <v>33.793103448275865</v>
      </c>
      <c r="AE758" s="106">
        <v>93.371428571428567</v>
      </c>
      <c r="AF758" s="106">
        <v>5.3598525971345126</v>
      </c>
      <c r="AG758" s="106">
        <v>3565</v>
      </c>
      <c r="AH758" s="106">
        <v>16869.152031454785</v>
      </c>
      <c r="AI758" s="106">
        <v>17106.908256880735</v>
      </c>
      <c r="AJ758" s="106">
        <v>17310.102228047181</v>
      </c>
      <c r="AK758" s="104">
        <v>15317.695937090433</v>
      </c>
      <c r="AL758" s="119">
        <v>6329702</v>
      </c>
      <c r="AM758" s="118">
        <v>1042</v>
      </c>
      <c r="AN758" s="118">
        <v>22876</v>
      </c>
      <c r="AO758" s="118">
        <v>168</v>
      </c>
      <c r="AP758" s="118">
        <f t="shared" si="11"/>
        <v>1174</v>
      </c>
    </row>
    <row r="759" spans="1:42" ht="12.75">
      <c r="A759" s="106">
        <v>2018</v>
      </c>
      <c r="B759" s="106">
        <v>-115083</v>
      </c>
      <c r="C759" s="106">
        <v>0</v>
      </c>
      <c r="D759" s="106">
        <v>115083</v>
      </c>
      <c r="E759" s="106" t="s">
        <v>1352</v>
      </c>
      <c r="F759" s="106" t="s">
        <v>530</v>
      </c>
      <c r="G759" s="106" t="s">
        <v>121</v>
      </c>
      <c r="H759" s="106">
        <v>6</v>
      </c>
      <c r="I759" s="106" t="s">
        <v>3640</v>
      </c>
      <c r="J759" s="106">
        <v>16095</v>
      </c>
      <c r="K759" s="106"/>
      <c r="L759" s="106"/>
      <c r="M759" s="106"/>
      <c r="N759" s="106"/>
      <c r="O759" s="106"/>
      <c r="P759" s="106"/>
      <c r="Q759" s="106">
        <v>5995.6629392971245</v>
      </c>
      <c r="R759" s="106">
        <v>0.20925215679774514</v>
      </c>
      <c r="S759" s="106">
        <v>26032.060702875398</v>
      </c>
      <c r="T759" s="106">
        <v>28194.294994675187</v>
      </c>
      <c r="U759" s="106">
        <v>26707.760915867944</v>
      </c>
      <c r="V759" s="106">
        <v>0.84833581636126831</v>
      </c>
      <c r="W759" s="106">
        <v>92550.71894273127</v>
      </c>
      <c r="X759" s="110">
        <v>0.66129855876476795</v>
      </c>
      <c r="Y759" s="106">
        <v>262.4299754299754</v>
      </c>
      <c r="Z759" s="106">
        <v>13.842751842751841</v>
      </c>
      <c r="AA759" s="106">
        <v>55178.410341034105</v>
      </c>
      <c r="AB759" s="106">
        <v>1408.7906917956352</v>
      </c>
      <c r="AC759" s="106">
        <v>1.8123030254395309</v>
      </c>
      <c r="AD759" s="106">
        <v>55.69852941176471</v>
      </c>
      <c r="AE759" s="106">
        <v>39.167216721672169</v>
      </c>
      <c r="AF759" s="106">
        <v>-1.5008360209390897E-2</v>
      </c>
      <c r="AG759" s="106">
        <v>15840</v>
      </c>
      <c r="AH759" s="106">
        <v>24348.357827476037</v>
      </c>
      <c r="AI759" s="106">
        <v>26032.060702875398</v>
      </c>
      <c r="AJ759" s="106">
        <v>27455.97284345048</v>
      </c>
      <c r="AK759" s="104">
        <v>26707.760915867944</v>
      </c>
      <c r="AL759" s="118"/>
      <c r="AM759" s="118">
        <v>429</v>
      </c>
      <c r="AN759" s="118">
        <v>35603</v>
      </c>
      <c r="AO759" s="118">
        <v>127</v>
      </c>
      <c r="AP759" s="118">
        <f t="shared" si="11"/>
        <v>255</v>
      </c>
    </row>
    <row r="760" spans="1:42" ht="12.75">
      <c r="A760" s="106">
        <v>2018</v>
      </c>
      <c r="B760" s="106">
        <v>-115126</v>
      </c>
      <c r="C760" s="106">
        <v>0</v>
      </c>
      <c r="D760" s="106">
        <v>115126</v>
      </c>
      <c r="E760" s="106" t="s">
        <v>1353</v>
      </c>
      <c r="F760" s="106" t="s">
        <v>1354</v>
      </c>
      <c r="G760" s="106" t="s">
        <v>121</v>
      </c>
      <c r="H760" s="106">
        <v>4</v>
      </c>
      <c r="I760" s="106" t="s">
        <v>24</v>
      </c>
      <c r="J760" s="106">
        <v>1178</v>
      </c>
      <c r="K760" s="106">
        <v>6546</v>
      </c>
      <c r="L760" s="106">
        <v>3930</v>
      </c>
      <c r="M760" s="106">
        <v>0.4</v>
      </c>
      <c r="N760" s="106">
        <v>0.01</v>
      </c>
      <c r="O760" s="106">
        <v>0.01</v>
      </c>
      <c r="P760" s="106">
        <v>777</v>
      </c>
      <c r="Q760" s="106"/>
      <c r="R760" s="106"/>
      <c r="S760" s="106">
        <v>12064.451143168209</v>
      </c>
      <c r="T760" s="106">
        <v>15190.858328796952</v>
      </c>
      <c r="U760" s="106">
        <v>9067.2154327708213</v>
      </c>
      <c r="V760" s="106">
        <v>0.2503202545904859</v>
      </c>
      <c r="W760" s="106">
        <v>141851.76565798733</v>
      </c>
      <c r="X760" s="110">
        <v>0.60194402510169398</v>
      </c>
      <c r="Y760" s="106">
        <v>874.75396825396831</v>
      </c>
      <c r="Z760" s="106">
        <v>29.158730158730158</v>
      </c>
      <c r="AA760" s="106">
        <v>24888.270078446021</v>
      </c>
      <c r="AB760" s="106">
        <v>302.2432566073</v>
      </c>
      <c r="AC760" s="106">
        <v>4.017957040999927</v>
      </c>
      <c r="AD760" s="106">
        <v>42.404562014889905</v>
      </c>
      <c r="AE760" s="106">
        <v>82.345162495330598</v>
      </c>
      <c r="AF760" s="106">
        <v>0.54996304856108025</v>
      </c>
      <c r="AG760" s="106">
        <v>1104</v>
      </c>
      <c r="AH760" s="106">
        <v>11398.98149156233</v>
      </c>
      <c r="AI760" s="106">
        <v>11398.98149156233</v>
      </c>
      <c r="AJ760" s="106">
        <v>12108.342814371257</v>
      </c>
      <c r="AK760" s="104">
        <v>10976.401741970605</v>
      </c>
      <c r="AL760" s="118">
        <v>43435698</v>
      </c>
      <c r="AM760" s="118">
        <v>11610</v>
      </c>
      <c r="AN760" s="118">
        <v>220438</v>
      </c>
      <c r="AO760" s="118">
        <v>1396</v>
      </c>
      <c r="AP760" s="118">
        <f t="shared" si="11"/>
        <v>74</v>
      </c>
    </row>
    <row r="761" spans="1:42" ht="12.75">
      <c r="A761" s="106">
        <v>2018</v>
      </c>
      <c r="B761" s="106">
        <v>-235316</v>
      </c>
      <c r="C761" s="106">
        <v>0</v>
      </c>
      <c r="D761" s="106">
        <v>235316</v>
      </c>
      <c r="E761" s="106" t="s">
        <v>1355</v>
      </c>
      <c r="F761" s="106" t="s">
        <v>1356</v>
      </c>
      <c r="G761" s="106" t="s">
        <v>182</v>
      </c>
      <c r="H761" s="106">
        <v>6</v>
      </c>
      <c r="I761" s="106" t="s">
        <v>3640</v>
      </c>
      <c r="J761" s="106">
        <v>41330</v>
      </c>
      <c r="K761" s="106">
        <v>35612</v>
      </c>
      <c r="L761" s="106">
        <v>24865</v>
      </c>
      <c r="M761" s="106">
        <v>0.12</v>
      </c>
      <c r="N761" s="106">
        <v>0.51</v>
      </c>
      <c r="O761" s="106">
        <v>1</v>
      </c>
      <c r="P761" s="106">
        <v>20491</v>
      </c>
      <c r="Q761" s="106">
        <v>14850.631890293089</v>
      </c>
      <c r="R761" s="106">
        <v>0.41828330373338074</v>
      </c>
      <c r="S761" s="106">
        <v>31114.68136595859</v>
      </c>
      <c r="T761" s="106">
        <v>30320.650712557141</v>
      </c>
      <c r="U761" s="106">
        <v>26489.109975799947</v>
      </c>
      <c r="V761" s="106">
        <v>0.77968389958685658</v>
      </c>
      <c r="W761" s="106">
        <v>94303.731695795941</v>
      </c>
      <c r="X761" s="110">
        <v>0.59015186786387319</v>
      </c>
      <c r="Y761" s="106">
        <v>362.21518987341773</v>
      </c>
      <c r="Z761" s="106">
        <v>13.450271247739602</v>
      </c>
      <c r="AA761" s="106">
        <v>98414.58541458541</v>
      </c>
      <c r="AB761" s="106">
        <v>983.6299643044357</v>
      </c>
      <c r="AC761" s="106">
        <v>1.0161095489935339</v>
      </c>
      <c r="AD761" s="106">
        <v>31.310603690960274</v>
      </c>
      <c r="AE761" s="106">
        <v>100.05244755244755</v>
      </c>
      <c r="AF761" s="106">
        <v>5.7102851467758682E-2</v>
      </c>
      <c r="AG761" s="106">
        <v>40540</v>
      </c>
      <c r="AH761" s="106">
        <v>26702.204893788654</v>
      </c>
      <c r="AI761" s="106">
        <v>30084.969077709062</v>
      </c>
      <c r="AJ761" s="106">
        <v>34040.602312449584</v>
      </c>
      <c r="AK761" s="104">
        <v>26489.109975799947</v>
      </c>
      <c r="AM761" s="118">
        <v>5192</v>
      </c>
      <c r="AN761" s="118">
        <v>200305</v>
      </c>
      <c r="AO761" s="118">
        <v>1110</v>
      </c>
      <c r="AP761" s="118">
        <f t="shared" si="11"/>
        <v>790</v>
      </c>
    </row>
    <row r="762" spans="1:42" ht="12.75">
      <c r="A762" s="106">
        <v>2018</v>
      </c>
      <c r="B762" s="106">
        <v>-165936</v>
      </c>
      <c r="C762" s="106">
        <v>0</v>
      </c>
      <c r="D762" s="106">
        <v>165936</v>
      </c>
      <c r="E762" s="106" t="s">
        <v>1357</v>
      </c>
      <c r="F762" s="106" t="s">
        <v>1358</v>
      </c>
      <c r="G762" s="106" t="s">
        <v>150</v>
      </c>
      <c r="H762" s="106">
        <v>7</v>
      </c>
      <c r="I762" s="106" t="s">
        <v>3641</v>
      </c>
      <c r="J762" s="106">
        <v>36740</v>
      </c>
      <c r="K762" s="106">
        <v>28773</v>
      </c>
      <c r="L762" s="106">
        <v>22824</v>
      </c>
      <c r="M762" s="106">
        <v>0.25</v>
      </c>
      <c r="N762" s="106">
        <v>0.8</v>
      </c>
      <c r="O762" s="106">
        <v>0.97</v>
      </c>
      <c r="P762" s="106">
        <v>19689</v>
      </c>
      <c r="Q762" s="106">
        <v>14559.951089845827</v>
      </c>
      <c r="R762" s="106">
        <v>0.45630255594075136</v>
      </c>
      <c r="S762" s="106">
        <v>33772.172248803829</v>
      </c>
      <c r="T762" s="106">
        <v>35442.049973418398</v>
      </c>
      <c r="U762" s="106">
        <v>25420.729230356774</v>
      </c>
      <c r="V762" s="106">
        <v>0.68245858484714506</v>
      </c>
      <c r="W762" s="106">
        <v>71467.386811692733</v>
      </c>
      <c r="X762" s="110">
        <v>0.52564397564857768</v>
      </c>
      <c r="Y762" s="106">
        <v>410.28712871287132</v>
      </c>
      <c r="Z762" s="106">
        <v>13.967821782178218</v>
      </c>
      <c r="AA762" s="106">
        <v>102171.77709893395</v>
      </c>
      <c r="AB762" s="106">
        <v>865.42372551764799</v>
      </c>
      <c r="AC762" s="106">
        <v>0.97874386488520215</v>
      </c>
      <c r="AD762" s="106">
        <v>26.366197183098596</v>
      </c>
      <c r="AE762" s="106">
        <v>118.05982905982906</v>
      </c>
      <c r="AF762" s="106">
        <v>1.8225905273814551E-2</v>
      </c>
      <c r="AG762" s="106">
        <v>35180</v>
      </c>
      <c r="AH762" s="106">
        <v>27855.188729399255</v>
      </c>
      <c r="AI762" s="106">
        <v>33772.172248803829</v>
      </c>
      <c r="AJ762" s="106">
        <v>35655.275385433277</v>
      </c>
      <c r="AK762" s="104">
        <v>25844.36523125997</v>
      </c>
      <c r="AM762" s="118">
        <v>1591</v>
      </c>
      <c r="AN762" s="118">
        <v>55252</v>
      </c>
      <c r="AO762" s="118">
        <v>374</v>
      </c>
      <c r="AP762" s="118">
        <f t="shared" si="11"/>
        <v>1560</v>
      </c>
    </row>
    <row r="763" spans="1:42" ht="12.75">
      <c r="A763" s="106">
        <v>2018</v>
      </c>
      <c r="B763" s="106">
        <v>-139968</v>
      </c>
      <c r="C763" s="106">
        <v>0</v>
      </c>
      <c r="D763" s="106">
        <v>139968</v>
      </c>
      <c r="E763" s="106" t="s">
        <v>1359</v>
      </c>
      <c r="F763" s="106" t="s">
        <v>1360</v>
      </c>
      <c r="G763" s="106" t="s">
        <v>63</v>
      </c>
      <c r="H763" s="106">
        <v>3</v>
      </c>
      <c r="I763" s="104" t="s">
        <v>26</v>
      </c>
      <c r="J763" s="106">
        <v>3601</v>
      </c>
      <c r="K763" s="106">
        <v>10101</v>
      </c>
      <c r="L763" s="106">
        <v>9704</v>
      </c>
      <c r="M763" s="106">
        <v>0.68</v>
      </c>
      <c r="N763" s="106">
        <v>0.67</v>
      </c>
      <c r="O763" s="106">
        <v>0.08</v>
      </c>
      <c r="P763" s="106">
        <v>2458</v>
      </c>
      <c r="Q763" s="106">
        <v>70.060841423948219</v>
      </c>
      <c r="R763" s="106">
        <v>1.6896582189999603E-2</v>
      </c>
      <c r="S763" s="106">
        <v>13294.621035598706</v>
      </c>
      <c r="T763" s="106">
        <v>13897.382200647249</v>
      </c>
      <c r="U763" s="106">
        <v>8057.3383859037031</v>
      </c>
      <c r="V763" s="106">
        <v>0.50592260728984406</v>
      </c>
      <c r="W763" s="106">
        <v>63537.705705705703</v>
      </c>
      <c r="X763" s="110">
        <v>0.49270195027067448</v>
      </c>
      <c r="Y763" s="106">
        <v>630.57823129251699</v>
      </c>
      <c r="Z763" s="106">
        <v>21.020408163265305</v>
      </c>
      <c r="AA763" s="106">
        <v>41843.992625953681</v>
      </c>
      <c r="AB763" s="106">
        <v>268.59243338305669</v>
      </c>
      <c r="AC763" s="106">
        <v>2.3898293094042637</v>
      </c>
      <c r="AD763" s="106">
        <v>18.53005294300841</v>
      </c>
      <c r="AE763" s="106">
        <v>155.78991596638656</v>
      </c>
      <c r="AF763" s="106">
        <v>-4.1255506441303554E-2</v>
      </c>
      <c r="AG763" s="106">
        <v>2501</v>
      </c>
      <c r="AH763" s="106">
        <v>13130.673139158576</v>
      </c>
      <c r="AI763" s="106">
        <v>13238.291585760519</v>
      </c>
      <c r="AJ763" s="106">
        <v>13328.382847896441</v>
      </c>
      <c r="AK763" s="104">
        <v>9099.2466019417479</v>
      </c>
      <c r="AL763" s="119">
        <v>13278209</v>
      </c>
      <c r="AM763" s="118">
        <v>3986</v>
      </c>
      <c r="AN763" s="118">
        <v>92695</v>
      </c>
      <c r="AO763" s="118">
        <v>595</v>
      </c>
      <c r="AP763" s="118">
        <f t="shared" si="11"/>
        <v>1100</v>
      </c>
    </row>
    <row r="764" spans="1:42" ht="12.75">
      <c r="A764" s="106">
        <v>2018</v>
      </c>
      <c r="B764" s="106">
        <v>-150668</v>
      </c>
      <c r="C764" s="106">
        <v>0</v>
      </c>
      <c r="D764" s="106">
        <v>150668</v>
      </c>
      <c r="E764" s="106" t="s">
        <v>1361</v>
      </c>
      <c r="F764" s="106" t="s">
        <v>1362</v>
      </c>
      <c r="G764" s="106" t="s">
        <v>161</v>
      </c>
      <c r="H764" s="106">
        <v>7</v>
      </c>
      <c r="I764" s="106" t="s">
        <v>3641</v>
      </c>
      <c r="J764" s="106">
        <v>33200</v>
      </c>
      <c r="K764" s="106">
        <v>18519</v>
      </c>
      <c r="L764" s="106">
        <v>15991</v>
      </c>
      <c r="M764" s="106">
        <v>0.43</v>
      </c>
      <c r="N764" s="106">
        <v>0.69</v>
      </c>
      <c r="O764" s="106">
        <v>1</v>
      </c>
      <c r="P764" s="106">
        <v>21006</v>
      </c>
      <c r="Q764" s="106">
        <v>14828.356257046224</v>
      </c>
      <c r="R764" s="106">
        <v>0.48930906679676467</v>
      </c>
      <c r="S764" s="106">
        <v>29515.624577226605</v>
      </c>
      <c r="T764" s="106">
        <v>32926.219842164603</v>
      </c>
      <c r="U764" s="106">
        <v>23868.698450534317</v>
      </c>
      <c r="V764" s="106">
        <v>0.64839425479486756</v>
      </c>
      <c r="W764" s="106">
        <v>61723.478448275862</v>
      </c>
      <c r="X764" s="110">
        <v>0.4903124086967422</v>
      </c>
      <c r="Y764" s="106">
        <v>330.40167364016736</v>
      </c>
      <c r="Z764" s="106">
        <v>11.13389121338912</v>
      </c>
      <c r="AA764" s="106">
        <v>93266.676324334534</v>
      </c>
      <c r="AB764" s="106">
        <v>804.32852844099762</v>
      </c>
      <c r="AC764" s="106">
        <v>1.0721943135643683</v>
      </c>
      <c r="AD764" s="106">
        <v>25.942857142857147</v>
      </c>
      <c r="AE764" s="106">
        <v>115.95594713656388</v>
      </c>
      <c r="AF764" s="106">
        <v>5.4595761360233114E-2</v>
      </c>
      <c r="AG764" s="106">
        <v>33200</v>
      </c>
      <c r="AH764" s="106">
        <v>23907.234498308906</v>
      </c>
      <c r="AI764" s="106">
        <v>30264.370913190531</v>
      </c>
      <c r="AJ764" s="106">
        <v>40714.257046223225</v>
      </c>
      <c r="AK764" s="104">
        <v>25217.639233370912</v>
      </c>
      <c r="AM764" s="118">
        <v>883</v>
      </c>
      <c r="AN764" s="118">
        <v>26322</v>
      </c>
      <c r="AO764" s="118">
        <v>199</v>
      </c>
      <c r="AP764" s="118">
        <f t="shared" si="11"/>
        <v>0</v>
      </c>
    </row>
    <row r="765" spans="1:42" ht="12.75">
      <c r="A765" s="106">
        <v>2018</v>
      </c>
      <c r="B765" s="106">
        <v>-162654</v>
      </c>
      <c r="C765" s="106">
        <v>0</v>
      </c>
      <c r="D765" s="106">
        <v>162654</v>
      </c>
      <c r="E765" s="106" t="s">
        <v>1363</v>
      </c>
      <c r="F765" s="106" t="s">
        <v>284</v>
      </c>
      <c r="G765" s="106" t="s">
        <v>124</v>
      </c>
      <c r="H765" s="106">
        <v>7</v>
      </c>
      <c r="I765" s="106" t="s">
        <v>3641</v>
      </c>
      <c r="J765" s="106">
        <v>43440</v>
      </c>
      <c r="K765" s="106">
        <v>29009</v>
      </c>
      <c r="L765" s="106">
        <v>15527</v>
      </c>
      <c r="M765" s="106">
        <v>0.28999999999999998</v>
      </c>
      <c r="N765" s="106">
        <v>0.6</v>
      </c>
      <c r="O765" s="106">
        <v>0.99</v>
      </c>
      <c r="P765" s="106">
        <v>27316</v>
      </c>
      <c r="Q765" s="106">
        <v>17596.039748953976</v>
      </c>
      <c r="R765" s="106">
        <v>0.50164205943310425</v>
      </c>
      <c r="S765" s="106">
        <v>33693.514644351468</v>
      </c>
      <c r="T765" s="106">
        <v>36999.476987447699</v>
      </c>
      <c r="U765" s="106">
        <v>29145.324905284513</v>
      </c>
      <c r="V765" s="106">
        <v>0.59978206292237124</v>
      </c>
      <c r="W765" s="106">
        <v>84570.746879334256</v>
      </c>
      <c r="X765" s="110">
        <v>0.57461994826343243</v>
      </c>
      <c r="Y765" s="106">
        <v>337.11656441717793</v>
      </c>
      <c r="Z765" s="106">
        <v>11.730061349693251</v>
      </c>
      <c r="AA765" s="106">
        <v>116337.91486201251</v>
      </c>
      <c r="AB765" s="106">
        <v>1014.1194034377432</v>
      </c>
      <c r="AC765" s="106">
        <v>0.85956500181913365</v>
      </c>
      <c r="AD765" s="106">
        <v>26.289791437980242</v>
      </c>
      <c r="AE765" s="106">
        <v>114.71816283924844</v>
      </c>
      <c r="AF765" s="106">
        <v>4.3014546737623997E-2</v>
      </c>
      <c r="AG765" s="106">
        <v>42600</v>
      </c>
      <c r="AH765" s="106">
        <v>28392.976987447699</v>
      </c>
      <c r="AI765" s="106">
        <v>35233.981171548119</v>
      </c>
      <c r="AJ765" s="106">
        <v>42569.037656903769</v>
      </c>
      <c r="AK765" s="104">
        <v>29256.798640167362</v>
      </c>
      <c r="AL765" s="118">
        <v>2027835</v>
      </c>
      <c r="AM765" s="118">
        <v>1538</v>
      </c>
      <c r="AN765" s="118">
        <v>54950</v>
      </c>
      <c r="AO765" s="118">
        <v>300</v>
      </c>
      <c r="AP765" s="118">
        <f t="shared" si="11"/>
        <v>840</v>
      </c>
    </row>
    <row r="766" spans="1:42" ht="12.75">
      <c r="A766" s="106">
        <v>2018</v>
      </c>
      <c r="B766" s="106">
        <v>-145336</v>
      </c>
      <c r="C766" s="106">
        <v>0</v>
      </c>
      <c r="D766" s="106">
        <v>145336</v>
      </c>
      <c r="E766" s="106" t="s">
        <v>1364</v>
      </c>
      <c r="F766" s="106" t="s">
        <v>1365</v>
      </c>
      <c r="G766" s="106" t="s">
        <v>243</v>
      </c>
      <c r="H766" s="106">
        <v>2</v>
      </c>
      <c r="I766" s="106" t="s">
        <v>25</v>
      </c>
      <c r="J766" s="106">
        <v>11746</v>
      </c>
      <c r="K766" s="106">
        <v>15304</v>
      </c>
      <c r="L766" s="106">
        <v>16721</v>
      </c>
      <c r="M766" s="106">
        <v>0.7</v>
      </c>
      <c r="N766" s="106">
        <v>0.78</v>
      </c>
      <c r="O766" s="106">
        <v>0.08</v>
      </c>
      <c r="P766" s="106">
        <v>4871</v>
      </c>
      <c r="Q766" s="106">
        <v>228.95799086757989</v>
      </c>
      <c r="R766" s="106">
        <v>2.1786421567939498E-2</v>
      </c>
      <c r="S766" s="106">
        <v>30958.058219178081</v>
      </c>
      <c r="T766" s="106">
        <v>26642.235159817352</v>
      </c>
      <c r="U766" s="106">
        <v>19035.583543430617</v>
      </c>
      <c r="V766" s="106">
        <v>0.54005425795067385</v>
      </c>
      <c r="W766" s="106">
        <v>119048.35515258736</v>
      </c>
      <c r="X766" s="110">
        <v>0.76887889323943104</v>
      </c>
      <c r="Y766" s="106">
        <v>335.93110047846892</v>
      </c>
      <c r="Z766" s="106">
        <v>12.574162679425838</v>
      </c>
      <c r="AA766" s="106">
        <v>53756.193372163827</v>
      </c>
      <c r="AB766" s="106">
        <v>712.51671498108033</v>
      </c>
      <c r="AC766" s="106">
        <v>1.8602507679009552</v>
      </c>
      <c r="AD766" s="106">
        <v>42.963988919667592</v>
      </c>
      <c r="AE766" s="106">
        <v>75.445519019987103</v>
      </c>
      <c r="AF766" s="106">
        <v>0.19505942784940811</v>
      </c>
      <c r="AG766" s="106">
        <v>9390</v>
      </c>
      <c r="AH766" s="106">
        <v>31164.181050228312</v>
      </c>
      <c r="AI766" s="106">
        <v>31164.181050228312</v>
      </c>
      <c r="AJ766" s="106">
        <v>31061.462328767124</v>
      </c>
      <c r="AK766" s="104">
        <v>22532.386529680367</v>
      </c>
      <c r="AL766" s="118">
        <v>32961100</v>
      </c>
      <c r="AM766" s="118">
        <v>3326</v>
      </c>
      <c r="AN766" s="118">
        <v>117016</v>
      </c>
      <c r="AO766" s="118">
        <v>891</v>
      </c>
      <c r="AP766" s="118">
        <f t="shared" si="11"/>
        <v>2356</v>
      </c>
    </row>
    <row r="767" spans="1:42" ht="12.75">
      <c r="A767" s="106">
        <v>2018</v>
      </c>
      <c r="B767" s="106">
        <v>-170000</v>
      </c>
      <c r="C767" s="106">
        <v>0</v>
      </c>
      <c r="D767" s="106">
        <v>170000</v>
      </c>
      <c r="E767" s="106" t="s">
        <v>1366</v>
      </c>
      <c r="F767" s="106" t="s">
        <v>1367</v>
      </c>
      <c r="G767" s="106" t="s">
        <v>74</v>
      </c>
      <c r="H767" s="106">
        <v>7</v>
      </c>
      <c r="I767" s="106" t="s">
        <v>3641</v>
      </c>
      <c r="J767" s="106">
        <v>11569</v>
      </c>
      <c r="K767" s="106">
        <v>13041</v>
      </c>
      <c r="L767" s="106">
        <v>13877</v>
      </c>
      <c r="M767" s="106">
        <v>0.65</v>
      </c>
      <c r="N767" s="106">
        <v>0.83</v>
      </c>
      <c r="O767" s="106">
        <v>0.57999999999999996</v>
      </c>
      <c r="P767" s="106">
        <v>4855</v>
      </c>
      <c r="Q767" s="106">
        <v>2486.3133903133903</v>
      </c>
      <c r="R767" s="106">
        <v>0.2484134287899589</v>
      </c>
      <c r="S767" s="106">
        <v>18048.182336182337</v>
      </c>
      <c r="T767" s="106">
        <v>17400.374643874642</v>
      </c>
      <c r="U767" s="106">
        <v>15084.388888888889</v>
      </c>
      <c r="V767" s="106">
        <v>0.49869164371648544</v>
      </c>
      <c r="W767" s="106">
        <v>49050.291105121294</v>
      </c>
      <c r="X767" s="110">
        <v>0.4965906438632367</v>
      </c>
      <c r="Y767" s="106">
        <v>378.54216867469876</v>
      </c>
      <c r="Z767" s="106">
        <v>12.686746987951807</v>
      </c>
      <c r="AA767" s="106">
        <v>49714.74647887324</v>
      </c>
      <c r="AB767" s="106">
        <v>505.54955600114579</v>
      </c>
      <c r="AC767" s="106">
        <v>2.0114756100083095</v>
      </c>
      <c r="AD767" s="106">
        <v>24.970691676436108</v>
      </c>
      <c r="AE767" s="106">
        <v>98.338028169014081</v>
      </c>
      <c r="AF767" s="106">
        <v>0.10550281890541932</v>
      </c>
      <c r="AG767" s="106">
        <v>10969</v>
      </c>
      <c r="AH767" s="106">
        <v>16373.139601139601</v>
      </c>
      <c r="AI767" s="106">
        <v>18836.027065527065</v>
      </c>
      <c r="AJ767" s="106">
        <v>18208.198005698006</v>
      </c>
      <c r="AK767" s="104">
        <v>15084.388888888889</v>
      </c>
      <c r="AL767" s="118"/>
      <c r="AM767" s="118">
        <v>896</v>
      </c>
      <c r="AN767" s="118">
        <v>20946</v>
      </c>
      <c r="AO767" s="118">
        <v>208</v>
      </c>
      <c r="AP767" s="118">
        <f t="shared" si="11"/>
        <v>600</v>
      </c>
    </row>
    <row r="768" spans="1:42" ht="12.75">
      <c r="A768" s="106">
        <v>2018</v>
      </c>
      <c r="B768" s="106">
        <v>-150677</v>
      </c>
      <c r="C768" s="106">
        <v>0</v>
      </c>
      <c r="D768" s="106">
        <v>150677</v>
      </c>
      <c r="E768" s="106" t="s">
        <v>1368</v>
      </c>
      <c r="F768" s="106" t="s">
        <v>1369</v>
      </c>
      <c r="G768" s="106" t="s">
        <v>161</v>
      </c>
      <c r="H768" s="106">
        <v>6</v>
      </c>
      <c r="I768" s="106" t="s">
        <v>3640</v>
      </c>
      <c r="J768" s="106">
        <v>22918</v>
      </c>
      <c r="K768" s="106">
        <v>20577</v>
      </c>
      <c r="L768" s="106">
        <v>14771</v>
      </c>
      <c r="M768" s="106">
        <v>0.39</v>
      </c>
      <c r="N768" s="106">
        <v>0.72</v>
      </c>
      <c r="O768" s="106">
        <v>1</v>
      </c>
      <c r="P768" s="106">
        <v>8963</v>
      </c>
      <c r="Q768" s="106">
        <v>6452.2328633932912</v>
      </c>
      <c r="R768" s="106">
        <v>0.36701455167250158</v>
      </c>
      <c r="S768" s="106">
        <v>19409.179873602334</v>
      </c>
      <c r="T768" s="106">
        <v>18752.451142440448</v>
      </c>
      <c r="U768" s="106">
        <v>15068.223140495867</v>
      </c>
      <c r="V768" s="106">
        <v>0.73851348920732751</v>
      </c>
      <c r="W768" s="106">
        <v>67128.429837518474</v>
      </c>
      <c r="X768" s="110">
        <v>0.3927186883778499</v>
      </c>
      <c r="Y768" s="106">
        <v>716.34</v>
      </c>
      <c r="Z768" s="106">
        <v>24.684000000000001</v>
      </c>
      <c r="AA768" s="106">
        <v>54569.251760563384</v>
      </c>
      <c r="AB768" s="106">
        <v>519.22832733059715</v>
      </c>
      <c r="AC768" s="106">
        <v>1.8325338313007424</v>
      </c>
      <c r="AD768" s="106">
        <v>31.838565022421523</v>
      </c>
      <c r="AE768" s="106">
        <v>105.09683098591549</v>
      </c>
      <c r="AF768" s="106">
        <v>5.3835574478915564E-2</v>
      </c>
      <c r="AG768" s="106">
        <v>22918</v>
      </c>
      <c r="AH768" s="106">
        <v>18870.263976665046</v>
      </c>
      <c r="AI768" s="106">
        <v>22058.652892561982</v>
      </c>
      <c r="AJ768" s="106">
        <v>19846.56392805056</v>
      </c>
      <c r="AK768" s="104">
        <v>15068.223140495867</v>
      </c>
      <c r="AM768" s="118">
        <v>1762</v>
      </c>
      <c r="AN768" s="118">
        <v>59695</v>
      </c>
      <c r="AO768" s="118">
        <v>423</v>
      </c>
      <c r="AP768" s="118">
        <f t="shared" si="11"/>
        <v>0</v>
      </c>
    </row>
    <row r="769" spans="1:42" ht="12.75">
      <c r="A769" s="106">
        <v>2018</v>
      </c>
      <c r="B769" s="106">
        <v>-153366</v>
      </c>
      <c r="C769" s="106">
        <v>0</v>
      </c>
      <c r="D769" s="106">
        <v>153366</v>
      </c>
      <c r="E769" s="106" t="s">
        <v>1370</v>
      </c>
      <c r="F769" s="106" t="s">
        <v>1371</v>
      </c>
      <c r="G769" s="106" t="s">
        <v>447</v>
      </c>
      <c r="H769" s="106">
        <v>6</v>
      </c>
      <c r="I769" s="106" t="s">
        <v>3640</v>
      </c>
      <c r="J769" s="106">
        <v>28110</v>
      </c>
      <c r="K769" s="106">
        <v>18923</v>
      </c>
      <c r="L769" s="106">
        <v>15673</v>
      </c>
      <c r="M769" s="106">
        <v>0.55000000000000004</v>
      </c>
      <c r="N769" s="106">
        <v>0.87</v>
      </c>
      <c r="O769" s="106">
        <v>1</v>
      </c>
      <c r="P769" s="106">
        <v>18099</v>
      </c>
      <c r="Q769" s="106">
        <v>8932.5734383792915</v>
      </c>
      <c r="R769" s="106">
        <v>0.40503025290789518</v>
      </c>
      <c r="S769" s="106">
        <v>21317.186831738887</v>
      </c>
      <c r="T769" s="106">
        <v>21954.907709622959</v>
      </c>
      <c r="U769" s="106">
        <v>17401.648207589264</v>
      </c>
      <c r="V769" s="106">
        <v>0.75403869114789623</v>
      </c>
      <c r="W769" s="106">
        <v>68037.993464052284</v>
      </c>
      <c r="X769" s="110">
        <v>0.53364676373692832</v>
      </c>
      <c r="Y769" s="106">
        <v>567.19391634980991</v>
      </c>
      <c r="Z769" s="106">
        <v>20.269961977186309</v>
      </c>
      <c r="AA769" s="106">
        <v>52322.722275611035</v>
      </c>
      <c r="AB769" s="106">
        <v>621.88739572210841</v>
      </c>
      <c r="AC769" s="106">
        <v>1.9112155417535026</v>
      </c>
      <c r="AD769" s="106">
        <v>32.63390392048592</v>
      </c>
      <c r="AE769" s="106">
        <v>84.135363790186119</v>
      </c>
      <c r="AF769" s="106">
        <v>9.6611282926127348E-2</v>
      </c>
      <c r="AG769" s="106">
        <v>27500</v>
      </c>
      <c r="AH769" s="106">
        <v>17899.301069217781</v>
      </c>
      <c r="AI769" s="106">
        <v>21438.640405177266</v>
      </c>
      <c r="AJ769" s="106">
        <v>24042.617895329207</v>
      </c>
      <c r="AK769" s="104">
        <v>18271.14969048959</v>
      </c>
      <c r="AL769" s="118"/>
      <c r="AM769" s="118">
        <v>1403</v>
      </c>
      <c r="AN769" s="118">
        <v>49724</v>
      </c>
      <c r="AO769" s="118">
        <v>333</v>
      </c>
      <c r="AP769" s="118">
        <f t="shared" si="11"/>
        <v>610</v>
      </c>
    </row>
    <row r="770" spans="1:42" ht="12.75">
      <c r="A770" s="106">
        <v>2018</v>
      </c>
      <c r="B770" s="106">
        <v>-159009</v>
      </c>
      <c r="C770" s="106">
        <v>0</v>
      </c>
      <c r="D770" s="106">
        <v>159009</v>
      </c>
      <c r="E770" s="106" t="s">
        <v>1372</v>
      </c>
      <c r="F770" s="106" t="s">
        <v>1373</v>
      </c>
      <c r="G770" s="106" t="s">
        <v>306</v>
      </c>
      <c r="H770" s="106">
        <v>2</v>
      </c>
      <c r="I770" s="106" t="s">
        <v>25</v>
      </c>
      <c r="J770" s="106">
        <v>7435</v>
      </c>
      <c r="K770" s="106">
        <v>18009</v>
      </c>
      <c r="L770" s="106">
        <v>17989</v>
      </c>
      <c r="M770" s="106">
        <v>0.86</v>
      </c>
      <c r="N770" s="106">
        <v>0.94</v>
      </c>
      <c r="O770" s="106">
        <v>0.23</v>
      </c>
      <c r="P770" s="106">
        <v>4566</v>
      </c>
      <c r="Q770" s="107">
        <v>856.10730981725453</v>
      </c>
      <c r="R770" s="106">
        <v>0.11018648780288087</v>
      </c>
      <c r="S770" s="106">
        <v>19546.745643858903</v>
      </c>
      <c r="T770" s="106">
        <v>19394.346578835528</v>
      </c>
      <c r="U770" s="106">
        <v>8881.1449319333842</v>
      </c>
      <c r="V770" s="106">
        <v>0.77844853227038058</v>
      </c>
      <c r="W770" s="106">
        <v>78574.190824468082</v>
      </c>
      <c r="X770" s="110">
        <v>0.43159800019272532</v>
      </c>
      <c r="Y770" s="106">
        <v>899.17582417582423</v>
      </c>
      <c r="Z770" s="106">
        <v>31.028571428571432</v>
      </c>
      <c r="AA770" s="106">
        <v>53720.65302015232</v>
      </c>
      <c r="AB770" s="106">
        <v>306.46869330653351</v>
      </c>
      <c r="AC770" s="106">
        <v>1.8614814671461053</v>
      </c>
      <c r="AD770" s="106">
        <v>17.373827601607861</v>
      </c>
      <c r="AE770" s="106">
        <v>175.28920308483291</v>
      </c>
      <c r="AF770" s="106">
        <v>-0.11447399648718906</v>
      </c>
      <c r="AG770" s="106">
        <v>5140</v>
      </c>
      <c r="AH770" s="106">
        <v>17963.703357416063</v>
      </c>
      <c r="AI770" s="106">
        <v>18088.509562260944</v>
      </c>
      <c r="AJ770" s="106">
        <v>19869.356141096472</v>
      </c>
      <c r="AK770" s="104">
        <v>11014.633871653208</v>
      </c>
      <c r="AL770" s="118">
        <v>13568618</v>
      </c>
      <c r="AM770" s="118">
        <v>4079</v>
      </c>
      <c r="AN770" s="118">
        <v>136375</v>
      </c>
      <c r="AO770" s="118">
        <v>552</v>
      </c>
      <c r="AP770" s="118">
        <f t="shared" si="11"/>
        <v>2295</v>
      </c>
    </row>
    <row r="771" spans="1:42" ht="12.75">
      <c r="A771" s="106">
        <v>2018</v>
      </c>
      <c r="B771" s="106">
        <v>-170055</v>
      </c>
      <c r="C771" s="106">
        <v>0</v>
      </c>
      <c r="D771" s="106">
        <v>170055</v>
      </c>
      <c r="E771" s="106" t="s">
        <v>1374</v>
      </c>
      <c r="F771" s="106" t="s">
        <v>186</v>
      </c>
      <c r="G771" s="106" t="s">
        <v>74</v>
      </c>
      <c r="H771" s="106">
        <v>4</v>
      </c>
      <c r="I771" s="106" t="s">
        <v>24</v>
      </c>
      <c r="J771" s="106">
        <v>3487</v>
      </c>
      <c r="K771" s="106">
        <v>7546</v>
      </c>
      <c r="L771" s="106">
        <v>6556</v>
      </c>
      <c r="M771" s="106">
        <v>0.48</v>
      </c>
      <c r="N771" s="106">
        <v>0.25</v>
      </c>
      <c r="O771" s="106">
        <v>7.0000000000000007E-2</v>
      </c>
      <c r="P771" s="106">
        <v>1213</v>
      </c>
      <c r="Q771" s="106"/>
      <c r="R771" s="106"/>
      <c r="S771" s="106">
        <v>16107.403524425608</v>
      </c>
      <c r="T771" s="106">
        <v>14913.356123131831</v>
      </c>
      <c r="U771" s="106">
        <v>12742.153755322641</v>
      </c>
      <c r="V771" s="106">
        <v>0.46482861553710236</v>
      </c>
      <c r="W771" s="106">
        <v>109922.12358133669</v>
      </c>
      <c r="X771" s="110">
        <v>0.65190479282026648</v>
      </c>
      <c r="Y771" s="106">
        <v>702.27415143603127</v>
      </c>
      <c r="Z771" s="106">
        <v>23.409921671018278</v>
      </c>
      <c r="AA771" s="106">
        <v>56529.515373687675</v>
      </c>
      <c r="AB771" s="106">
        <v>424.75267062331181</v>
      </c>
      <c r="AC771" s="106">
        <v>1.7689873924966668</v>
      </c>
      <c r="AD771" s="106">
        <v>26.539724228496386</v>
      </c>
      <c r="AE771" s="106">
        <v>133.08807521029195</v>
      </c>
      <c r="AF771" s="106">
        <v>1.2550016592429691</v>
      </c>
      <c r="AG771" s="106">
        <v>3028</v>
      </c>
      <c r="AH771" s="106">
        <v>15416.248828909213</v>
      </c>
      <c r="AI771" s="106">
        <v>15471.680459513718</v>
      </c>
      <c r="AJ771" s="106">
        <v>16191.407204996654</v>
      </c>
      <c r="AK771" s="104">
        <v>14457.64465759536</v>
      </c>
      <c r="AL771" s="118">
        <v>67015295</v>
      </c>
      <c r="AM771" s="118">
        <v>14269</v>
      </c>
      <c r="AN771" s="118">
        <v>268971</v>
      </c>
      <c r="AO771" s="118">
        <v>1636</v>
      </c>
      <c r="AP771" s="118">
        <f t="shared" si="11"/>
        <v>459</v>
      </c>
    </row>
    <row r="772" spans="1:42" ht="12.75">
      <c r="A772" s="106">
        <v>2018</v>
      </c>
      <c r="B772" s="106">
        <v>-170082</v>
      </c>
      <c r="C772" s="106">
        <v>0</v>
      </c>
      <c r="D772" s="106">
        <v>170082</v>
      </c>
      <c r="E772" s="106" t="s">
        <v>1375</v>
      </c>
      <c r="F772" s="106" t="s">
        <v>1376</v>
      </c>
      <c r="G772" s="106" t="s">
        <v>74</v>
      </c>
      <c r="H772" s="106">
        <v>2</v>
      </c>
      <c r="I772" s="106" t="s">
        <v>25</v>
      </c>
      <c r="J772" s="106">
        <v>12306</v>
      </c>
      <c r="K772" s="106">
        <v>17184</v>
      </c>
      <c r="L772" s="106">
        <v>12703</v>
      </c>
      <c r="M772" s="106">
        <v>0.28999999999999998</v>
      </c>
      <c r="N772" s="106">
        <v>0.62</v>
      </c>
      <c r="O772" s="106">
        <v>0.7</v>
      </c>
      <c r="P772" s="106">
        <v>4727</v>
      </c>
      <c r="Q772" s="106">
        <v>2243.0695061289748</v>
      </c>
      <c r="R772" s="106">
        <v>0.15582466746983473</v>
      </c>
      <c r="S772" s="106">
        <v>21449.846642387634</v>
      </c>
      <c r="T772" s="106">
        <v>20913.313865695505</v>
      </c>
      <c r="U772" s="106">
        <v>14275.404000308807</v>
      </c>
      <c r="V772" s="106">
        <v>0.85123754842982724</v>
      </c>
      <c r="W772" s="106">
        <v>99106.087100330755</v>
      </c>
      <c r="X772" s="110">
        <v>0.57268363924100874</v>
      </c>
      <c r="Y772" s="106">
        <v>482.85081642751118</v>
      </c>
      <c r="Z772" s="106">
        <v>16.711528946066306</v>
      </c>
      <c r="AA772" s="106">
        <v>54878.7769286244</v>
      </c>
      <c r="AB772" s="106">
        <v>494.07357107320161</v>
      </c>
      <c r="AC772" s="106">
        <v>1.8221980444290964</v>
      </c>
      <c r="AD772" s="106">
        <v>26.113513754514244</v>
      </c>
      <c r="AE772" s="107">
        <v>111.07409936827727</v>
      </c>
      <c r="AF772" s="106">
        <v>5.9612096738981761E-2</v>
      </c>
      <c r="AG772" s="106">
        <v>12306</v>
      </c>
      <c r="AH772" s="106">
        <v>20530.385947770475</v>
      </c>
      <c r="AI772" s="106">
        <v>20832.239252087405</v>
      </c>
      <c r="AJ772" s="106">
        <v>22069.418013856812</v>
      </c>
      <c r="AK772" s="104">
        <v>17297.24049564754</v>
      </c>
      <c r="AL772" s="118">
        <v>70133300</v>
      </c>
      <c r="AM772" s="118">
        <v>21937</v>
      </c>
      <c r="AN772" s="118">
        <v>650561</v>
      </c>
      <c r="AO772" s="118">
        <v>4631</v>
      </c>
      <c r="AP772" s="118">
        <f t="shared" si="11"/>
        <v>0</v>
      </c>
    </row>
    <row r="773" spans="1:42" ht="12.75">
      <c r="A773" s="106">
        <v>2018</v>
      </c>
      <c r="B773" s="106">
        <v>-153375</v>
      </c>
      <c r="C773" s="106">
        <v>0</v>
      </c>
      <c r="D773" s="106">
        <v>153375</v>
      </c>
      <c r="E773" s="106" t="s">
        <v>1377</v>
      </c>
      <c r="F773" s="106" t="s">
        <v>1064</v>
      </c>
      <c r="G773" s="106" t="s">
        <v>447</v>
      </c>
      <c r="H773" s="106">
        <v>7</v>
      </c>
      <c r="I773" s="106" t="s">
        <v>3641</v>
      </c>
      <c r="J773" s="106">
        <v>26516</v>
      </c>
      <c r="K773" s="106">
        <v>17946</v>
      </c>
      <c r="L773" s="106">
        <v>16302</v>
      </c>
      <c r="M773" s="106">
        <v>0.38</v>
      </c>
      <c r="N773" s="106">
        <v>0.73</v>
      </c>
      <c r="O773" s="106">
        <v>1</v>
      </c>
      <c r="P773" s="106">
        <v>14993</v>
      </c>
      <c r="Q773" s="106">
        <v>10633.15838150289</v>
      </c>
      <c r="R773" s="106">
        <v>0.44462274657529427</v>
      </c>
      <c r="S773" s="106">
        <v>20873.332369942196</v>
      </c>
      <c r="T773" s="106">
        <v>21041.306358381502</v>
      </c>
      <c r="U773" s="106">
        <v>17043.257225433525</v>
      </c>
      <c r="V773" s="106">
        <v>0.77930254654638564</v>
      </c>
      <c r="W773" s="106">
        <v>70212.556844547566</v>
      </c>
      <c r="X773" s="110">
        <v>0.55421974832877585</v>
      </c>
      <c r="Y773" s="106">
        <v>386.46</v>
      </c>
      <c r="Z773" s="106">
        <v>12.975</v>
      </c>
      <c r="AA773" s="106">
        <v>63819.98917748918</v>
      </c>
      <c r="AB773" s="106">
        <v>572.20996351498218</v>
      </c>
      <c r="AC773" s="106">
        <v>1.5669071914426516</v>
      </c>
      <c r="AD773" s="106">
        <v>27.369668246445499</v>
      </c>
      <c r="AE773" s="106">
        <v>111.53246753246754</v>
      </c>
      <c r="AF773" s="106">
        <v>2.8805990867316493E-2</v>
      </c>
      <c r="AG773" s="106">
        <v>25836</v>
      </c>
      <c r="AH773" s="106">
        <v>19022.633526011559</v>
      </c>
      <c r="AI773" s="106">
        <v>20935.015028901733</v>
      </c>
      <c r="AJ773" s="106">
        <v>22075.784971098266</v>
      </c>
      <c r="AK773" s="104">
        <v>17043.257225433525</v>
      </c>
      <c r="AL773" s="118"/>
      <c r="AM773" s="118">
        <v>1788</v>
      </c>
      <c r="AN773" s="118">
        <v>51528</v>
      </c>
      <c r="AO773" s="118">
        <v>429</v>
      </c>
      <c r="AP773" s="118">
        <f t="shared" si="11"/>
        <v>680</v>
      </c>
    </row>
    <row r="774" spans="1:42" ht="12.75">
      <c r="A774" s="106">
        <v>2018</v>
      </c>
      <c r="B774" s="106">
        <v>-183257</v>
      </c>
      <c r="C774" s="106">
        <v>0</v>
      </c>
      <c r="D774" s="106">
        <v>183257</v>
      </c>
      <c r="E774" s="106" t="s">
        <v>1378</v>
      </c>
      <c r="F774" s="106" t="s">
        <v>1379</v>
      </c>
      <c r="G774" s="106" t="s">
        <v>179</v>
      </c>
      <c r="H774" s="106">
        <v>3</v>
      </c>
      <c r="I774" s="104" t="s">
        <v>26</v>
      </c>
      <c r="J774" s="106">
        <v>7593</v>
      </c>
      <c r="K774" s="106">
        <v>12426</v>
      </c>
      <c r="L774" s="106">
        <v>12651</v>
      </c>
      <c r="M774" s="106">
        <v>0.65</v>
      </c>
      <c r="N774" s="106">
        <v>0.74</v>
      </c>
      <c r="O774" s="106">
        <v>7.0000000000000007E-2</v>
      </c>
      <c r="P774" s="106">
        <v>4217</v>
      </c>
      <c r="Q774" s="106">
        <v>842.89127837514934</v>
      </c>
      <c r="R774" s="106">
        <v>9.4221780843743691E-2</v>
      </c>
      <c r="S774" s="106">
        <v>10793.675627240144</v>
      </c>
      <c r="T774" s="106">
        <v>10595.278375149343</v>
      </c>
      <c r="U774" s="106">
        <v>10544.988052568699</v>
      </c>
      <c r="V774" s="106">
        <v>0.76841535187179466</v>
      </c>
      <c r="W774" s="106">
        <v>77453.674418604656</v>
      </c>
      <c r="X774" s="110">
        <v>0.75110844892925865</v>
      </c>
      <c r="Y774" s="106">
        <v>636.13705583756359</v>
      </c>
      <c r="Z774" s="106">
        <v>25.492385786802036</v>
      </c>
      <c r="AA774" s="106">
        <v>29420.516666666666</v>
      </c>
      <c r="AB774" s="106">
        <v>422.57702343619081</v>
      </c>
      <c r="AC774" s="106">
        <v>3.3989885742999078</v>
      </c>
      <c r="AD774" s="106">
        <v>45.696877380045699</v>
      </c>
      <c r="AE774" s="106">
        <v>69.62166666666667</v>
      </c>
      <c r="AF774" s="106">
        <v>5.9478149323874657E-2</v>
      </c>
      <c r="AG774" s="106">
        <v>7368</v>
      </c>
      <c r="AH774" s="106">
        <v>11417.381720430107</v>
      </c>
      <c r="AI774" s="106">
        <v>11433.020310633214</v>
      </c>
      <c r="AJ774" s="106">
        <v>11337.477897252091</v>
      </c>
      <c r="AK774" s="104">
        <v>10544.988052568699</v>
      </c>
      <c r="AL774" s="118">
        <v>3212071</v>
      </c>
      <c r="AM774" s="118">
        <v>1758</v>
      </c>
      <c r="AN774" s="118">
        <v>41773</v>
      </c>
      <c r="AO774" s="118">
        <v>496</v>
      </c>
      <c r="AP774" s="118">
        <f t="shared" ref="AP774:AP837" si="12">J774-AG774</f>
        <v>225</v>
      </c>
    </row>
    <row r="775" spans="1:42" ht="12.75">
      <c r="A775" s="106">
        <v>2018</v>
      </c>
      <c r="B775" s="106">
        <v>-235334</v>
      </c>
      <c r="C775" s="106">
        <v>0</v>
      </c>
      <c r="D775" s="106">
        <v>235334</v>
      </c>
      <c r="E775" s="106" t="s">
        <v>1380</v>
      </c>
      <c r="F775" s="106" t="s">
        <v>1381</v>
      </c>
      <c r="G775" s="106" t="s">
        <v>182</v>
      </c>
      <c r="H775" s="106">
        <v>4</v>
      </c>
      <c r="I775" s="106" t="s">
        <v>24</v>
      </c>
      <c r="J775" s="106">
        <v>3993</v>
      </c>
      <c r="K775" s="106">
        <v>6496</v>
      </c>
      <c r="L775" s="106">
        <v>4799</v>
      </c>
      <c r="M775" s="106">
        <v>0.56999999999999995</v>
      </c>
      <c r="N775" s="106">
        <v>0.14000000000000001</v>
      </c>
      <c r="O775" s="106">
        <v>0.33</v>
      </c>
      <c r="P775" s="106">
        <v>1372</v>
      </c>
      <c r="Q775" s="107">
        <v>584.79428904428903</v>
      </c>
      <c r="R775" s="106">
        <v>0.21200096672611526</v>
      </c>
      <c r="S775" s="106">
        <v>16998.164918414917</v>
      </c>
      <c r="T775" s="106">
        <v>19932.148601398603</v>
      </c>
      <c r="U775" s="106">
        <v>13775.472027972028</v>
      </c>
      <c r="V775" s="106">
        <v>0.15779181689694574</v>
      </c>
      <c r="W775" s="106">
        <v>91432.946808510635</v>
      </c>
      <c r="X775" s="110">
        <v>0.50256144337226583</v>
      </c>
      <c r="Y775" s="106">
        <v>926.5200000000001</v>
      </c>
      <c r="Z775" s="106">
        <v>20.592000000000002</v>
      </c>
      <c r="AA775" s="106">
        <v>29004.552147239265</v>
      </c>
      <c r="AB775" s="106">
        <v>306.16124854293486</v>
      </c>
      <c r="AC775" s="106">
        <v>3.4477346691084243</v>
      </c>
      <c r="AD775" s="106">
        <v>52.411575562700961</v>
      </c>
      <c r="AE775" s="106">
        <v>94.736196319018404</v>
      </c>
      <c r="AF775" s="106">
        <v>-5.4463620484539142E-2</v>
      </c>
      <c r="AG775" s="106">
        <v>3460</v>
      </c>
      <c r="AH775" s="106">
        <v>15349.25</v>
      </c>
      <c r="AI775" s="106">
        <v>15459.653263403263</v>
      </c>
      <c r="AJ775" s="106">
        <v>17080.314685314686</v>
      </c>
      <c r="AK775" s="104">
        <v>16190.658508158509</v>
      </c>
      <c r="AL775" s="119">
        <v>11140610</v>
      </c>
      <c r="AM775" s="118">
        <v>1971</v>
      </c>
      <c r="AN775" s="118">
        <v>77210</v>
      </c>
      <c r="AO775" s="118">
        <v>369</v>
      </c>
      <c r="AP775" s="118">
        <f t="shared" si="12"/>
        <v>533</v>
      </c>
    </row>
    <row r="776" spans="1:42" ht="12.75">
      <c r="A776" s="106">
        <v>2018</v>
      </c>
      <c r="B776" s="106">
        <v>-225070</v>
      </c>
      <c r="C776" s="106">
        <v>0</v>
      </c>
      <c r="D776" s="106">
        <v>225070</v>
      </c>
      <c r="E776" s="106" t="s">
        <v>1382</v>
      </c>
      <c r="F776" s="106" t="s">
        <v>1383</v>
      </c>
      <c r="G776" s="106" t="s">
        <v>60</v>
      </c>
      <c r="H776" s="106">
        <v>4</v>
      </c>
      <c r="I776" s="106" t="s">
        <v>24</v>
      </c>
      <c r="J776" s="106">
        <v>1992</v>
      </c>
      <c r="K776" s="106">
        <v>10001</v>
      </c>
      <c r="L776" s="106">
        <v>8012</v>
      </c>
      <c r="M776" s="106">
        <v>0.49</v>
      </c>
      <c r="N776" s="106">
        <v>0.14000000000000001</v>
      </c>
      <c r="O776" s="106">
        <v>0.26</v>
      </c>
      <c r="P776" s="106">
        <v>1968</v>
      </c>
      <c r="Q776" s="106">
        <v>823.40357643758762</v>
      </c>
      <c r="R776" s="106">
        <v>0.23279910462912295</v>
      </c>
      <c r="S776" s="106">
        <v>15349.12587657784</v>
      </c>
      <c r="T776" s="106">
        <v>13668.632538569425</v>
      </c>
      <c r="U776" s="106">
        <v>11272.026174017068</v>
      </c>
      <c r="V776" s="106">
        <v>0.2407346229200546</v>
      </c>
      <c r="W776" s="106">
        <v>68231.737923946566</v>
      </c>
      <c r="X776" s="110">
        <v>0.56767978505469319</v>
      </c>
      <c r="Y776" s="106">
        <v>531.39130434782612</v>
      </c>
      <c r="Z776" s="106">
        <v>17.714285714285715</v>
      </c>
      <c r="AA776" s="106">
        <v>35405.086617066823</v>
      </c>
      <c r="AB776" s="106">
        <v>375.76055647072815</v>
      </c>
      <c r="AC776" s="106">
        <v>2.8244529121359516</v>
      </c>
      <c r="AD776" s="106">
        <v>35.66378633150039</v>
      </c>
      <c r="AE776" s="106">
        <v>94.222466960352421</v>
      </c>
      <c r="AF776" s="106">
        <v>8.6737518805772018E-2</v>
      </c>
      <c r="AG776" s="106">
        <v>1200</v>
      </c>
      <c r="AH776" s="106">
        <v>14173.118513323983</v>
      </c>
      <c r="AI776" s="106">
        <v>14191.959677419354</v>
      </c>
      <c r="AJ776" s="106">
        <v>15504.327138849931</v>
      </c>
      <c r="AK776" s="104">
        <v>13207.873422159888</v>
      </c>
      <c r="AL776" s="118">
        <v>27120542</v>
      </c>
      <c r="AM776" s="118">
        <v>4389</v>
      </c>
      <c r="AN776" s="118">
        <v>85554</v>
      </c>
      <c r="AO776" s="118">
        <v>564</v>
      </c>
      <c r="AP776" s="118">
        <f t="shared" si="12"/>
        <v>792</v>
      </c>
    </row>
    <row r="777" spans="1:42" ht="12.75">
      <c r="A777" s="106">
        <v>2018</v>
      </c>
      <c r="B777" s="106">
        <v>-182306</v>
      </c>
      <c r="C777" s="106">
        <v>0</v>
      </c>
      <c r="D777" s="106">
        <v>182306</v>
      </c>
      <c r="E777" s="106" t="s">
        <v>1384</v>
      </c>
      <c r="F777" s="106" t="s">
        <v>1385</v>
      </c>
      <c r="G777" s="106" t="s">
        <v>844</v>
      </c>
      <c r="H777" s="106">
        <v>3</v>
      </c>
      <c r="I777" s="104" t="s">
        <v>26</v>
      </c>
      <c r="J777" s="106">
        <v>3015</v>
      </c>
      <c r="K777" s="106">
        <v>9848</v>
      </c>
      <c r="L777" s="106">
        <v>6386</v>
      </c>
      <c r="M777" s="106">
        <v>0.34</v>
      </c>
      <c r="N777" s="106">
        <v>0.12</v>
      </c>
      <c r="O777" s="106">
        <v>0.16</v>
      </c>
      <c r="P777" s="106">
        <v>1124</v>
      </c>
      <c r="Q777" s="106">
        <v>1073.0948678071541</v>
      </c>
      <c r="R777" s="106">
        <v>0.27490039840637448</v>
      </c>
      <c r="S777" s="106">
        <v>13813.374805598756</v>
      </c>
      <c r="T777" s="106">
        <v>14364.437532400207</v>
      </c>
      <c r="U777" s="106">
        <v>12240.332753843575</v>
      </c>
      <c r="V777" s="106">
        <v>0.2312422523151374</v>
      </c>
      <c r="W777" s="106">
        <v>75524.313157894736</v>
      </c>
      <c r="X777" s="110">
        <v>0.69049139268829618</v>
      </c>
      <c r="Y777" s="106">
        <v>551.27619047619044</v>
      </c>
      <c r="Z777" s="106">
        <v>18.37142857142857</v>
      </c>
      <c r="AA777" s="106">
        <v>27713.147749019077</v>
      </c>
      <c r="AB777" s="106">
        <v>407.91240899323225</v>
      </c>
      <c r="AC777" s="106">
        <v>3.6083955855768695</v>
      </c>
      <c r="AD777" s="106">
        <v>47.280799112097668</v>
      </c>
      <c r="AE777" s="106">
        <v>67.938967136150239</v>
      </c>
      <c r="AF777" s="106">
        <v>1.7983264785136861E-2</v>
      </c>
      <c r="AG777" s="106">
        <v>2820</v>
      </c>
      <c r="AH777" s="106">
        <v>12111.456713322965</v>
      </c>
      <c r="AI777" s="106">
        <v>12426.645930533956</v>
      </c>
      <c r="AJ777" s="106">
        <v>14080.352514256092</v>
      </c>
      <c r="AK777" s="104">
        <v>14017.885432866771</v>
      </c>
      <c r="AL777" s="118">
        <v>14040000</v>
      </c>
      <c r="AM777" s="118">
        <v>3244</v>
      </c>
      <c r="AN777" s="118">
        <v>57884</v>
      </c>
      <c r="AO777" s="118">
        <v>369</v>
      </c>
      <c r="AP777" s="118">
        <f t="shared" si="12"/>
        <v>195</v>
      </c>
    </row>
    <row r="778" spans="1:42" ht="12.75">
      <c r="A778" s="106">
        <v>2018</v>
      </c>
      <c r="B778" s="106">
        <v>-183150</v>
      </c>
      <c r="C778" s="106">
        <v>0</v>
      </c>
      <c r="D778" s="106">
        <v>183150</v>
      </c>
      <c r="E778" s="106" t="s">
        <v>1386</v>
      </c>
      <c r="F778" s="106" t="s">
        <v>1387</v>
      </c>
      <c r="G778" s="106" t="s">
        <v>179</v>
      </c>
      <c r="H778" s="106">
        <v>4</v>
      </c>
      <c r="I778" s="106" t="s">
        <v>24</v>
      </c>
      <c r="J778" s="106">
        <v>7424</v>
      </c>
      <c r="K778" s="106">
        <v>14987</v>
      </c>
      <c r="L778" s="106">
        <v>14858</v>
      </c>
      <c r="M778" s="106">
        <v>0.36</v>
      </c>
      <c r="N778" s="106">
        <v>0.46</v>
      </c>
      <c r="O778" s="106">
        <v>7.0000000000000007E-2</v>
      </c>
      <c r="P778" s="106">
        <v>1678</v>
      </c>
      <c r="Q778" s="106">
        <v>126.62481089258699</v>
      </c>
      <c r="R778" s="106">
        <v>1.4554109024446588E-2</v>
      </c>
      <c r="S778" s="106">
        <v>15810.868381240545</v>
      </c>
      <c r="T778" s="106">
        <v>16167.117246596066</v>
      </c>
      <c r="U778" s="106">
        <v>13313.147289619183</v>
      </c>
      <c r="V778" s="106">
        <v>0.64399905785871181</v>
      </c>
      <c r="W778" s="106">
        <v>74720.143689320379</v>
      </c>
      <c r="X778" s="110">
        <v>0.60014975018164329</v>
      </c>
      <c r="Y778" s="106">
        <v>410.25517241379316</v>
      </c>
      <c r="Z778" s="106">
        <v>13.675862068965518</v>
      </c>
      <c r="AA778" s="106">
        <v>49438.148081113926</v>
      </c>
      <c r="AB778" s="106">
        <v>443.79395624783297</v>
      </c>
      <c r="AC778" s="106">
        <v>2.0227294888944556</v>
      </c>
      <c r="AD778" s="106">
        <v>34.697855750487328</v>
      </c>
      <c r="AE778" s="106">
        <v>111.39887640449439</v>
      </c>
      <c r="AF778" s="106">
        <v>1.3090703073370628E-2</v>
      </c>
      <c r="AG778" s="106">
        <v>6720</v>
      </c>
      <c r="AH778" s="106">
        <v>14238.245083207261</v>
      </c>
      <c r="AI778" s="106">
        <v>14246.39258698941</v>
      </c>
      <c r="AJ778" s="106">
        <v>15980.567322239032</v>
      </c>
      <c r="AK778" s="104">
        <v>15283.530257186081</v>
      </c>
      <c r="AL778" s="119">
        <v>5840019</v>
      </c>
      <c r="AM778" s="118">
        <v>1846</v>
      </c>
      <c r="AN778" s="118">
        <v>39658</v>
      </c>
      <c r="AO778" s="118">
        <v>246</v>
      </c>
      <c r="AP778" s="118">
        <f t="shared" si="12"/>
        <v>704</v>
      </c>
    </row>
    <row r="779" spans="1:42" ht="12.75">
      <c r="A779" s="106">
        <v>2018</v>
      </c>
      <c r="B779" s="106">
        <v>-180249</v>
      </c>
      <c r="C779" s="106">
        <v>0</v>
      </c>
      <c r="D779" s="106">
        <v>180249</v>
      </c>
      <c r="E779" s="106" t="s">
        <v>1388</v>
      </c>
      <c r="F779" s="106" t="s">
        <v>1389</v>
      </c>
      <c r="G779" s="106" t="s">
        <v>608</v>
      </c>
      <c r="H779" s="106">
        <v>4</v>
      </c>
      <c r="I779" s="106" t="s">
        <v>24</v>
      </c>
      <c r="J779" s="106">
        <v>3255</v>
      </c>
      <c r="K779" s="106">
        <v>8901</v>
      </c>
      <c r="L779" s="106">
        <v>8576</v>
      </c>
      <c r="M779" s="106">
        <v>0.62</v>
      </c>
      <c r="N779" s="106">
        <v>0.49</v>
      </c>
      <c r="O779" s="106">
        <v>0.11</v>
      </c>
      <c r="P779" s="106">
        <v>2017</v>
      </c>
      <c r="Q779" s="106">
        <v>244.03518821603927</v>
      </c>
      <c r="R779" s="106">
        <v>6.1912082687574553E-2</v>
      </c>
      <c r="S779" s="106">
        <v>14308.866612111293</v>
      </c>
      <c r="T779" s="106">
        <v>15574.675941080197</v>
      </c>
      <c r="U779" s="106">
        <v>11270.17866084908</v>
      </c>
      <c r="V779" s="106">
        <v>0.32808757304735975</v>
      </c>
      <c r="W779" s="106">
        <v>67052.262180974489</v>
      </c>
      <c r="X779" s="110">
        <v>0.50614998097440267</v>
      </c>
      <c r="Y779" s="106">
        <v>546.97014925373139</v>
      </c>
      <c r="Z779" s="106">
        <v>18.238805970149254</v>
      </c>
      <c r="AA779" s="106">
        <v>32712.96513909163</v>
      </c>
      <c r="AB779" s="106">
        <v>375.80588652707115</v>
      </c>
      <c r="AC779" s="106">
        <v>3.0568919562874206</v>
      </c>
      <c r="AD779" s="106">
        <v>42.226680040120364</v>
      </c>
      <c r="AE779" s="106">
        <v>87.047505938242281</v>
      </c>
      <c r="AF779" s="106">
        <v>-6.1411798952362123E-2</v>
      </c>
      <c r="AG779" s="106">
        <v>2621</v>
      </c>
      <c r="AH779" s="106">
        <v>11934.07937806874</v>
      </c>
      <c r="AI779" s="106">
        <v>12175.164484451718</v>
      </c>
      <c r="AJ779" s="106">
        <v>14365.864975450082</v>
      </c>
      <c r="AK779" s="104">
        <v>13795.174304418986</v>
      </c>
      <c r="AL779" s="119">
        <v>7488983</v>
      </c>
      <c r="AM779" s="118">
        <v>1691</v>
      </c>
      <c r="AN779" s="118">
        <v>36647</v>
      </c>
      <c r="AO779" s="118">
        <v>279</v>
      </c>
      <c r="AP779" s="118">
        <f t="shared" si="12"/>
        <v>634</v>
      </c>
    </row>
    <row r="780" spans="1:42" ht="12.75">
      <c r="A780" s="106">
        <v>2018</v>
      </c>
      <c r="B780" s="106">
        <v>-230898</v>
      </c>
      <c r="C780" s="106">
        <v>0</v>
      </c>
      <c r="D780" s="106">
        <v>230898</v>
      </c>
      <c r="E780" s="106" t="s">
        <v>1390</v>
      </c>
      <c r="F780" s="106" t="s">
        <v>1391</v>
      </c>
      <c r="G780" s="106" t="s">
        <v>345</v>
      </c>
      <c r="H780" s="106">
        <v>6</v>
      </c>
      <c r="I780" s="106" t="s">
        <v>3640</v>
      </c>
      <c r="J780" s="106">
        <v>37002</v>
      </c>
      <c r="K780" s="106">
        <v>20947</v>
      </c>
      <c r="L780" s="106">
        <v>12790</v>
      </c>
      <c r="M780" s="106">
        <v>0.45</v>
      </c>
      <c r="N780" s="106">
        <v>0.9</v>
      </c>
      <c r="O780" s="106">
        <v>1</v>
      </c>
      <c r="P780" s="106">
        <v>25107</v>
      </c>
      <c r="Q780" s="107">
        <v>16389.655477031803</v>
      </c>
      <c r="R780" s="106">
        <v>0.51373606671087846</v>
      </c>
      <c r="S780" s="106">
        <v>26855.14664310954</v>
      </c>
      <c r="T780" s="106">
        <v>32788.213780918726</v>
      </c>
      <c r="U780" s="106">
        <v>22318.186286774162</v>
      </c>
      <c r="V780" s="106">
        <v>0.69509302182392696</v>
      </c>
      <c r="W780" s="106">
        <v>60128.482479784361</v>
      </c>
      <c r="X780" s="110">
        <v>0.40068096304320333</v>
      </c>
      <c r="Y780" s="106">
        <v>314.24025974025972</v>
      </c>
      <c r="Z780" s="106">
        <v>11.025974025974026</v>
      </c>
      <c r="AA780" s="106">
        <v>64779.966350329101</v>
      </c>
      <c r="AB780" s="106">
        <v>783.09425567628637</v>
      </c>
      <c r="AC780" s="106">
        <v>1.5436871248003043</v>
      </c>
      <c r="AD780" s="106">
        <v>27.426160337552741</v>
      </c>
      <c r="AE780" s="106">
        <v>82.723076923076917</v>
      </c>
      <c r="AF780" s="106">
        <v>-0.48701909599311993</v>
      </c>
      <c r="AG780" s="106">
        <v>35560</v>
      </c>
      <c r="AH780" s="106">
        <v>24137.106007067137</v>
      </c>
      <c r="AI780" s="106">
        <v>26855.14664310954</v>
      </c>
      <c r="AJ780" s="106">
        <v>27223.040636042402</v>
      </c>
      <c r="AK780" s="104">
        <v>23707.673144876324</v>
      </c>
      <c r="AL780" s="118"/>
      <c r="AM780" s="118">
        <v>468</v>
      </c>
      <c r="AN780" s="118">
        <v>16131</v>
      </c>
      <c r="AO780" s="118">
        <v>118</v>
      </c>
      <c r="AP780" s="118">
        <f t="shared" si="12"/>
        <v>1442</v>
      </c>
    </row>
    <row r="781" spans="1:42" ht="12.75">
      <c r="A781" s="106">
        <v>2018</v>
      </c>
      <c r="B781" s="106">
        <v>-235343</v>
      </c>
      <c r="C781" s="106">
        <v>0</v>
      </c>
      <c r="D781" s="106">
        <v>235343</v>
      </c>
      <c r="E781" s="106" t="s">
        <v>1392</v>
      </c>
      <c r="F781" s="106" t="s">
        <v>236</v>
      </c>
      <c r="G781" s="106" t="s">
        <v>182</v>
      </c>
      <c r="H781" s="106">
        <v>4</v>
      </c>
      <c r="I781" s="106" t="s">
        <v>24</v>
      </c>
      <c r="J781" s="106">
        <v>3975</v>
      </c>
      <c r="K781" s="106">
        <v>7746</v>
      </c>
      <c r="L781" s="106">
        <v>7025</v>
      </c>
      <c r="M781" s="106">
        <v>0.3</v>
      </c>
      <c r="N781" s="106">
        <v>0.14000000000000001</v>
      </c>
      <c r="O781" s="106">
        <v>7.0000000000000007E-2</v>
      </c>
      <c r="P781" s="106">
        <v>1371</v>
      </c>
      <c r="Q781" s="106">
        <v>387.81522302904563</v>
      </c>
      <c r="R781" s="106">
        <v>6.5870332814401716E-2</v>
      </c>
      <c r="S781" s="106">
        <v>13122.755575726142</v>
      </c>
      <c r="T781" s="106">
        <v>13185.786307053942</v>
      </c>
      <c r="U781" s="106">
        <v>10272.234569502074</v>
      </c>
      <c r="V781" s="106">
        <v>0.53539860079604418</v>
      </c>
      <c r="W781" s="106">
        <v>100698.28062360802</v>
      </c>
      <c r="X781" s="110">
        <v>0.59283533177070935</v>
      </c>
      <c r="Y781" s="106">
        <v>1408.8958051420841</v>
      </c>
      <c r="Z781" s="106">
        <v>31.307171853856566</v>
      </c>
      <c r="AA781" s="106">
        <v>27728.201960098006</v>
      </c>
      <c r="AB781" s="106">
        <v>228.26004010856974</v>
      </c>
      <c r="AC781" s="106">
        <v>3.6064365134062428</v>
      </c>
      <c r="AD781" s="106">
        <v>44.418532338308459</v>
      </c>
      <c r="AE781" s="106">
        <v>121.47637381869093</v>
      </c>
      <c r="AF781" s="106">
        <v>2.0547513922601929E-2</v>
      </c>
      <c r="AG781" s="106">
        <v>3468</v>
      </c>
      <c r="AH781" s="106">
        <v>12476.820280082988</v>
      </c>
      <c r="AI781" s="106">
        <v>12476.820280082988</v>
      </c>
      <c r="AJ781" s="106">
        <v>13261.966026970955</v>
      </c>
      <c r="AK781" s="104">
        <v>11678.552256224066</v>
      </c>
      <c r="AL781" s="119">
        <v>27798467</v>
      </c>
      <c r="AM781" s="118">
        <v>8048</v>
      </c>
      <c r="AN781" s="118">
        <v>347058</v>
      </c>
      <c r="AO781" s="118">
        <v>1586</v>
      </c>
      <c r="AP781" s="118">
        <f t="shared" si="12"/>
        <v>507</v>
      </c>
    </row>
    <row r="782" spans="1:42" ht="12.75">
      <c r="A782" s="106">
        <v>2018</v>
      </c>
      <c r="B782" s="106">
        <v>-165981</v>
      </c>
      <c r="C782" s="106">
        <v>0</v>
      </c>
      <c r="D782" s="106">
        <v>165981</v>
      </c>
      <c r="E782" s="106" t="s">
        <v>1393</v>
      </c>
      <c r="F782" s="106" t="s">
        <v>1394</v>
      </c>
      <c r="G782" s="106" t="s">
        <v>150</v>
      </c>
      <c r="H782" s="106">
        <v>4</v>
      </c>
      <c r="I782" s="106" t="s">
        <v>24</v>
      </c>
      <c r="J782" s="106">
        <v>5450</v>
      </c>
      <c r="K782" s="106">
        <v>8303</v>
      </c>
      <c r="L782" s="106">
        <v>7143</v>
      </c>
      <c r="M782" s="106">
        <v>0.49</v>
      </c>
      <c r="N782" s="106">
        <v>0.5</v>
      </c>
      <c r="O782" s="106">
        <v>0.16</v>
      </c>
      <c r="P782" s="106">
        <v>799</v>
      </c>
      <c r="Q782" s="106">
        <v>923.85359116022096</v>
      </c>
      <c r="R782" s="106">
        <v>0.1132390112262156</v>
      </c>
      <c r="S782" s="106">
        <v>23331.766114180478</v>
      </c>
      <c r="T782" s="106">
        <v>24987.188766114181</v>
      </c>
      <c r="U782" s="106">
        <v>22184.146004754104</v>
      </c>
      <c r="V782" s="106">
        <v>0.32611512896681849</v>
      </c>
      <c r="W782" s="106">
        <v>86516.32</v>
      </c>
      <c r="X782" s="110">
        <v>0.7173536847814499</v>
      </c>
      <c r="Y782" s="106">
        <v>360.75276752767525</v>
      </c>
      <c r="Z782" s="106">
        <v>12.022140221402212</v>
      </c>
      <c r="AA782" s="106">
        <v>83075.80193504467</v>
      </c>
      <c r="AB782" s="106">
        <v>739.29000126313235</v>
      </c>
      <c r="AC782" s="106">
        <v>1.2037199481768233</v>
      </c>
      <c r="AD782" s="106">
        <v>29.322548028311424</v>
      </c>
      <c r="AE782" s="106">
        <v>112.37241379310345</v>
      </c>
      <c r="AF782" s="106">
        <v>-5.4241605554882347E-2</v>
      </c>
      <c r="AG782" s="106">
        <v>624</v>
      </c>
      <c r="AH782" s="106">
        <v>22664.466850828729</v>
      </c>
      <c r="AI782" s="106">
        <v>22818.268876611419</v>
      </c>
      <c r="AJ782" s="106">
        <v>23345.083793738489</v>
      </c>
      <c r="AK782" s="104">
        <v>24987.188766114181</v>
      </c>
      <c r="AL782" s="119">
        <v>14194924</v>
      </c>
      <c r="AM782" s="118">
        <v>1830</v>
      </c>
      <c r="AN782" s="118">
        <v>32588</v>
      </c>
      <c r="AO782" s="118">
        <v>182</v>
      </c>
      <c r="AP782" s="118">
        <f t="shared" si="12"/>
        <v>4826</v>
      </c>
    </row>
    <row r="783" spans="1:42" ht="12.75">
      <c r="A783" s="106">
        <v>2018</v>
      </c>
      <c r="B783" s="106">
        <v>-198598</v>
      </c>
      <c r="C783" s="106">
        <v>0</v>
      </c>
      <c r="D783" s="106">
        <v>198598</v>
      </c>
      <c r="E783" s="106" t="s">
        <v>1395</v>
      </c>
      <c r="F783" s="106" t="s">
        <v>342</v>
      </c>
      <c r="G783" s="106" t="s">
        <v>90</v>
      </c>
      <c r="H783" s="106">
        <v>7</v>
      </c>
      <c r="I783" s="106" t="s">
        <v>3641</v>
      </c>
      <c r="J783" s="106">
        <v>29120</v>
      </c>
      <c r="K783" s="106">
        <v>21507</v>
      </c>
      <c r="L783" s="106">
        <v>19827</v>
      </c>
      <c r="M783" s="106">
        <v>0.51</v>
      </c>
      <c r="N783" s="106">
        <v>0.83</v>
      </c>
      <c r="O783" s="106">
        <v>1</v>
      </c>
      <c r="P783" s="106">
        <v>15091</v>
      </c>
      <c r="Q783" s="107">
        <v>10585.089676746611</v>
      </c>
      <c r="R783" s="106">
        <v>0.49761211308481834</v>
      </c>
      <c r="S783" s="106">
        <v>19366.026068821688</v>
      </c>
      <c r="T783" s="106">
        <v>19318.598540145984</v>
      </c>
      <c r="U783" s="106">
        <v>14644.91449426486</v>
      </c>
      <c r="V783" s="106">
        <v>0.72971944194702076</v>
      </c>
      <c r="W783" s="106">
        <v>53311.943820224718</v>
      </c>
      <c r="X783" s="110">
        <v>0.51221264460879246</v>
      </c>
      <c r="Y783" s="106">
        <v>369.30275229357795</v>
      </c>
      <c r="Z783" s="106">
        <v>13.197247706422017</v>
      </c>
      <c r="AA783" s="106">
        <v>82131.421052631573</v>
      </c>
      <c r="AB783" s="106">
        <v>523.3444999254732</v>
      </c>
      <c r="AC783" s="106">
        <v>1.2175608155606834</v>
      </c>
      <c r="AD783" s="106">
        <v>18.874172185430464</v>
      </c>
      <c r="AE783" s="106">
        <v>156.93567251461988</v>
      </c>
      <c r="AF783" s="106">
        <v>4.5293501750554341E-2</v>
      </c>
      <c r="AG783" s="106">
        <v>28440</v>
      </c>
      <c r="AH783" s="106">
        <v>15990.797705943691</v>
      </c>
      <c r="AI783" s="106">
        <v>18541.551616266945</v>
      </c>
      <c r="AJ783" s="106">
        <v>20794.646506777895</v>
      </c>
      <c r="AK783" s="104">
        <v>14644.91449426486</v>
      </c>
      <c r="AM783" s="118">
        <v>927</v>
      </c>
      <c r="AN783" s="118">
        <v>26836</v>
      </c>
      <c r="AO783" s="118">
        <v>126</v>
      </c>
      <c r="AP783" s="118">
        <f t="shared" si="12"/>
        <v>680</v>
      </c>
    </row>
    <row r="784" spans="1:42" ht="12.75">
      <c r="A784" s="106">
        <v>2018</v>
      </c>
      <c r="B784" s="106">
        <v>-218113</v>
      </c>
      <c r="C784" s="106">
        <v>0</v>
      </c>
      <c r="D784" s="106">
        <v>218113</v>
      </c>
      <c r="E784" s="106" t="s">
        <v>1396</v>
      </c>
      <c r="F784" s="106" t="s">
        <v>1082</v>
      </c>
      <c r="G784" s="106" t="s">
        <v>79</v>
      </c>
      <c r="H784" s="106">
        <v>4</v>
      </c>
      <c r="I784" s="106" t="s">
        <v>24</v>
      </c>
      <c r="J784" s="106">
        <v>4422</v>
      </c>
      <c r="K784" s="106">
        <v>6983</v>
      </c>
      <c r="L784" s="106">
        <v>6168</v>
      </c>
      <c r="M784" s="106">
        <v>0.55000000000000004</v>
      </c>
      <c r="N784" s="106">
        <v>0.24</v>
      </c>
      <c r="O784" s="106">
        <v>0.02</v>
      </c>
      <c r="P784" s="106">
        <v>1212</v>
      </c>
      <c r="Q784" s="106">
        <v>330.56293793793793</v>
      </c>
      <c r="R784" s="106">
        <v>5.074368142622785E-2</v>
      </c>
      <c r="S784" s="106">
        <v>13077.931931931931</v>
      </c>
      <c r="T784" s="106">
        <v>13113.48948948949</v>
      </c>
      <c r="U784" s="106">
        <v>10482.2251001001</v>
      </c>
      <c r="V784" s="106">
        <v>0.5899323373140023</v>
      </c>
      <c r="W784" s="106">
        <v>66972.062187276635</v>
      </c>
      <c r="X784" s="110">
        <v>0.5960001644227616</v>
      </c>
      <c r="Y784" s="106">
        <v>487.00338524035203</v>
      </c>
      <c r="Z784" s="106">
        <v>16.232904536222069</v>
      </c>
      <c r="AA784" s="106">
        <v>40198.629078694816</v>
      </c>
      <c r="AB784" s="106">
        <v>349.39584515031197</v>
      </c>
      <c r="AC784" s="106">
        <v>2.4876470240871913</v>
      </c>
      <c r="AD784" s="106">
        <v>29.195853180162512</v>
      </c>
      <c r="AE784" s="106">
        <v>115.05182341650672</v>
      </c>
      <c r="AF784" s="106">
        <v>4.8064206414773394E-2</v>
      </c>
      <c r="AG784" s="106">
        <v>4152</v>
      </c>
      <c r="AH784" s="106">
        <v>13799.495745745746</v>
      </c>
      <c r="AI784" s="106">
        <v>13888.952327327328</v>
      </c>
      <c r="AJ784" s="106">
        <v>13152.960460460461</v>
      </c>
      <c r="AK784" s="104">
        <v>11853.893018018018</v>
      </c>
      <c r="AL784" s="118">
        <v>31328009</v>
      </c>
      <c r="AM784" s="118">
        <v>11745</v>
      </c>
      <c r="AN784" s="118">
        <v>239768</v>
      </c>
      <c r="AO784" s="118">
        <v>1335</v>
      </c>
      <c r="AP784" s="118">
        <f t="shared" si="12"/>
        <v>270</v>
      </c>
    </row>
    <row r="785" spans="1:42" ht="12.75">
      <c r="A785" s="106">
        <v>2018</v>
      </c>
      <c r="B785" s="106">
        <v>-145372</v>
      </c>
      <c r="C785" s="106">
        <v>0</v>
      </c>
      <c r="D785" s="106">
        <v>145372</v>
      </c>
      <c r="E785" s="106" t="s">
        <v>4095</v>
      </c>
      <c r="F785" s="106" t="s">
        <v>1082</v>
      </c>
      <c r="G785" s="106" t="s">
        <v>243</v>
      </c>
      <c r="H785" s="106">
        <v>6</v>
      </c>
      <c r="I785" s="106" t="s">
        <v>3640</v>
      </c>
      <c r="J785" s="106">
        <v>26356</v>
      </c>
      <c r="K785" s="106">
        <v>21464</v>
      </c>
      <c r="L785" s="106">
        <v>18117</v>
      </c>
      <c r="M785" s="106">
        <v>0.5</v>
      </c>
      <c r="N785" s="106">
        <v>0.75</v>
      </c>
      <c r="O785" s="106">
        <v>1</v>
      </c>
      <c r="P785" s="106">
        <v>13795</v>
      </c>
      <c r="Q785" s="106">
        <v>10066.834053586863</v>
      </c>
      <c r="R785" s="106">
        <v>0.46028591382070921</v>
      </c>
      <c r="S785" s="106">
        <v>19930.423509075194</v>
      </c>
      <c r="T785" s="106">
        <v>22417.521175453759</v>
      </c>
      <c r="U785" s="106">
        <v>20149.526361279171</v>
      </c>
      <c r="V785" s="106">
        <v>0.5858199214326838</v>
      </c>
      <c r="W785" s="106">
        <v>64005.294303797469</v>
      </c>
      <c r="X785" s="110">
        <v>0.51986523382438854</v>
      </c>
      <c r="Y785" s="106">
        <v>364.33812949640287</v>
      </c>
      <c r="Z785" s="106">
        <v>12.485611510791367</v>
      </c>
      <c r="AA785" s="106">
        <v>74245.229299363054</v>
      </c>
      <c r="AB785" s="106">
        <v>690.51010011255255</v>
      </c>
      <c r="AC785" s="106">
        <v>1.3468878868538681</v>
      </c>
      <c r="AD785" s="106">
        <v>30.221366698748795</v>
      </c>
      <c r="AE785" s="106">
        <v>107.52229299363057</v>
      </c>
      <c r="AF785" s="106">
        <v>-2.5887425586695632E-2</v>
      </c>
      <c r="AG785" s="106">
        <v>26124</v>
      </c>
      <c r="AH785" s="106">
        <v>17600.375108038028</v>
      </c>
      <c r="AI785" s="106">
        <v>20098.210025929126</v>
      </c>
      <c r="AJ785" s="106">
        <v>21287.786516853932</v>
      </c>
      <c r="AK785" s="104">
        <v>20149.526361279171</v>
      </c>
      <c r="AL785" s="118"/>
      <c r="AM785" s="118">
        <v>985</v>
      </c>
      <c r="AN785" s="118">
        <v>33762</v>
      </c>
      <c r="AO785" s="118">
        <v>239</v>
      </c>
      <c r="AP785" s="118">
        <f t="shared" si="12"/>
        <v>232</v>
      </c>
    </row>
    <row r="786" spans="1:42" ht="12.75">
      <c r="A786" s="106">
        <v>2018</v>
      </c>
      <c r="B786" s="106">
        <v>-153384</v>
      </c>
      <c r="C786" s="106">
        <v>0</v>
      </c>
      <c r="D786" s="106">
        <v>153384</v>
      </c>
      <c r="E786" s="106" t="s">
        <v>1397</v>
      </c>
      <c r="F786" s="106" t="s">
        <v>1398</v>
      </c>
      <c r="G786" s="106" t="s">
        <v>447</v>
      </c>
      <c r="H786" s="106">
        <v>7</v>
      </c>
      <c r="I786" s="106" t="s">
        <v>3641</v>
      </c>
      <c r="J786" s="106">
        <v>50714</v>
      </c>
      <c r="K786" s="106">
        <v>30808</v>
      </c>
      <c r="L786" s="106">
        <v>14836</v>
      </c>
      <c r="M786" s="106">
        <v>0.17</v>
      </c>
      <c r="N786" s="106">
        <v>0.5</v>
      </c>
      <c r="O786" s="106">
        <v>0.85</v>
      </c>
      <c r="P786" s="106">
        <v>33860</v>
      </c>
      <c r="Q786" s="106">
        <v>28795.58998808105</v>
      </c>
      <c r="R786" s="106">
        <v>0.5845299589901165</v>
      </c>
      <c r="S786" s="106">
        <v>48218.712753277709</v>
      </c>
      <c r="T786" s="106">
        <v>74951.728247914187</v>
      </c>
      <c r="U786" s="106">
        <v>62945.593123229242</v>
      </c>
      <c r="V786" s="106">
        <v>0.32515736001275386</v>
      </c>
      <c r="W786" s="106">
        <v>94350.136239782019</v>
      </c>
      <c r="X786" s="110">
        <v>0.55063648434828938</v>
      </c>
      <c r="Y786" s="106">
        <v>234.92097264437689</v>
      </c>
      <c r="Z786" s="106">
        <v>7.650455927051671</v>
      </c>
      <c r="AA786" s="106">
        <v>274344.68898903549</v>
      </c>
      <c r="AB786" s="106">
        <v>2049.8914191045037</v>
      </c>
      <c r="AC786" s="106">
        <v>0.36450496041494945</v>
      </c>
      <c r="AD786" s="106">
        <v>22.889417360285375</v>
      </c>
      <c r="AE786" s="106">
        <v>133.83376623376623</v>
      </c>
      <c r="AF786" s="106">
        <v>6.7311450690857449E-2</v>
      </c>
      <c r="AG786" s="106">
        <v>50014</v>
      </c>
      <c r="AH786" s="106">
        <v>32262.216924910608</v>
      </c>
      <c r="AI786" s="106">
        <v>48317.044100119187</v>
      </c>
      <c r="AJ786" s="106">
        <v>158861.14421930871</v>
      </c>
      <c r="AK786" s="104">
        <v>65169.845053635283</v>
      </c>
      <c r="AM786" s="118">
        <v>1712</v>
      </c>
      <c r="AN786" s="118">
        <v>51526</v>
      </c>
      <c r="AO786" s="118">
        <v>385</v>
      </c>
      <c r="AP786" s="118">
        <f t="shared" si="12"/>
        <v>700</v>
      </c>
    </row>
    <row r="787" spans="1:42" ht="12.75">
      <c r="A787" s="106">
        <v>2018</v>
      </c>
      <c r="B787" s="106">
        <v>-115296</v>
      </c>
      <c r="C787" s="106">
        <v>0</v>
      </c>
      <c r="D787" s="106">
        <v>115296</v>
      </c>
      <c r="E787" s="106" t="s">
        <v>4096</v>
      </c>
      <c r="F787" s="106" t="s">
        <v>977</v>
      </c>
      <c r="G787" s="106" t="s">
        <v>121</v>
      </c>
      <c r="H787" s="106">
        <v>4</v>
      </c>
      <c r="I787" s="106" t="s">
        <v>24</v>
      </c>
      <c r="J787" s="106">
        <v>1386</v>
      </c>
      <c r="K787" s="106">
        <v>4822</v>
      </c>
      <c r="L787" s="106">
        <v>2120</v>
      </c>
      <c r="M787" s="106">
        <v>0.44</v>
      </c>
      <c r="N787" s="106">
        <v>0.02</v>
      </c>
      <c r="O787" s="106">
        <v>0.01</v>
      </c>
      <c r="P787" s="106">
        <v>665</v>
      </c>
      <c r="Q787" s="106">
        <v>191.07973421926911</v>
      </c>
      <c r="R787" s="106">
        <v>0.14632544564676203</v>
      </c>
      <c r="S787" s="106">
        <v>11642.022717069229</v>
      </c>
      <c r="T787" s="106">
        <v>10703.704139355303</v>
      </c>
      <c r="U787" s="106">
        <v>7318.6481154954854</v>
      </c>
      <c r="V787" s="106">
        <v>0.15231975869340969</v>
      </c>
      <c r="W787" s="106">
        <v>102000.77433206108</v>
      </c>
      <c r="X787" s="110">
        <v>0.59782101330781723</v>
      </c>
      <c r="Y787" s="106">
        <v>719.54343144292886</v>
      </c>
      <c r="Z787" s="106">
        <v>23.984924623115575</v>
      </c>
      <c r="AA787" s="106">
        <v>20120.410778146932</v>
      </c>
      <c r="AB787" s="106">
        <v>243.95639751898554</v>
      </c>
      <c r="AC787" s="106">
        <v>4.9700774553077931</v>
      </c>
      <c r="AD787" s="106">
        <v>39.514241123683185</v>
      </c>
      <c r="AE787" s="106">
        <v>82.475438163416442</v>
      </c>
      <c r="AF787" s="106"/>
      <c r="AG787" s="106">
        <v>1334</v>
      </c>
      <c r="AH787" s="106">
        <v>10802.448235611026</v>
      </c>
      <c r="AI787" s="106">
        <v>10802.448235611026</v>
      </c>
      <c r="AJ787" s="106">
        <v>11657.424800215498</v>
      </c>
      <c r="AK787" s="104">
        <v>9992.6381431265145</v>
      </c>
      <c r="AL787" s="118">
        <v>28078989</v>
      </c>
      <c r="AM787" s="118">
        <v>18288</v>
      </c>
      <c r="AN787" s="118">
        <v>334108</v>
      </c>
      <c r="AO787" s="118">
        <v>2578</v>
      </c>
      <c r="AP787" s="118">
        <f t="shared" si="12"/>
        <v>52</v>
      </c>
    </row>
    <row r="788" spans="1:42" ht="12.75">
      <c r="A788" s="106">
        <v>2018</v>
      </c>
      <c r="B788" s="106">
        <v>-212805</v>
      </c>
      <c r="C788" s="106">
        <v>0</v>
      </c>
      <c r="D788" s="106">
        <v>212805</v>
      </c>
      <c r="E788" s="106" t="s">
        <v>1399</v>
      </c>
      <c r="F788" s="106" t="s">
        <v>1400</v>
      </c>
      <c r="G788" s="106" t="s">
        <v>104</v>
      </c>
      <c r="H788" s="106">
        <v>7</v>
      </c>
      <c r="I788" s="106" t="s">
        <v>3641</v>
      </c>
      <c r="J788" s="106">
        <v>17254</v>
      </c>
      <c r="K788" s="106">
        <v>21187</v>
      </c>
      <c r="L788" s="106"/>
      <c r="M788" s="106">
        <v>0</v>
      </c>
      <c r="N788" s="106">
        <v>0.44</v>
      </c>
      <c r="O788" s="106">
        <v>0.6</v>
      </c>
      <c r="P788" s="106">
        <v>6088</v>
      </c>
      <c r="Q788" s="107">
        <v>3094.5253112033197</v>
      </c>
      <c r="R788" s="106">
        <v>0.18073951965853932</v>
      </c>
      <c r="S788" s="106">
        <v>33384.827385892117</v>
      </c>
      <c r="T788" s="106">
        <v>31918.015352697097</v>
      </c>
      <c r="U788" s="106">
        <v>23208.841493775933</v>
      </c>
      <c r="V788" s="106">
        <v>0.60437912951617312</v>
      </c>
      <c r="W788" s="106"/>
      <c r="X788" s="110">
        <v>0.37907898811863905</v>
      </c>
      <c r="Y788" s="106"/>
      <c r="Z788" s="106"/>
      <c r="AA788" s="106">
        <v>95286.725724020449</v>
      </c>
      <c r="AB788" s="106">
        <v>773.73506709088394</v>
      </c>
      <c r="AC788" s="106">
        <v>1.049464122522487</v>
      </c>
      <c r="AD788" s="106">
        <v>25.106928999144568</v>
      </c>
      <c r="AE788" s="106">
        <v>123.15161839863714</v>
      </c>
      <c r="AF788" s="106">
        <v>5.341548372789344E-2</v>
      </c>
      <c r="AG788" s="106">
        <v>17254</v>
      </c>
      <c r="AH788" s="106">
        <v>23403.056431535271</v>
      </c>
      <c r="AI788" s="106">
        <v>30290.302074688796</v>
      </c>
      <c r="AJ788" s="106">
        <v>37809.3601659751</v>
      </c>
      <c r="AK788" s="104">
        <v>26303.366804979254</v>
      </c>
      <c r="AL788" s="118"/>
      <c r="AM788" s="118">
        <v>2373</v>
      </c>
      <c r="AN788" s="118">
        <v>72290</v>
      </c>
      <c r="AO788" s="118">
        <v>587</v>
      </c>
      <c r="AP788" s="118">
        <f t="shared" si="12"/>
        <v>0</v>
      </c>
    </row>
    <row r="789" spans="1:42" ht="12.75">
      <c r="A789" s="106">
        <v>2018</v>
      </c>
      <c r="B789" s="106">
        <v>-198613</v>
      </c>
      <c r="C789" s="106">
        <v>0</v>
      </c>
      <c r="D789" s="106">
        <v>198613</v>
      </c>
      <c r="E789" s="106" t="s">
        <v>1401</v>
      </c>
      <c r="F789" s="106" t="s">
        <v>342</v>
      </c>
      <c r="G789" s="106" t="s">
        <v>90</v>
      </c>
      <c r="H789" s="106">
        <v>7</v>
      </c>
      <c r="I789" s="106" t="s">
        <v>3641</v>
      </c>
      <c r="J789" s="106">
        <v>35563</v>
      </c>
      <c r="K789" s="106">
        <v>25419</v>
      </c>
      <c r="L789" s="106">
        <v>21266</v>
      </c>
      <c r="M789" s="106">
        <v>0.47</v>
      </c>
      <c r="N789" s="106">
        <v>0.69</v>
      </c>
      <c r="O789" s="106">
        <v>0.99</v>
      </c>
      <c r="P789" s="106">
        <v>20615</v>
      </c>
      <c r="Q789" s="106">
        <v>13817.085927770859</v>
      </c>
      <c r="R789" s="106">
        <v>0.52038597635231287</v>
      </c>
      <c r="S789" s="106">
        <v>26618.249688667496</v>
      </c>
      <c r="T789" s="106">
        <v>28220.254669987546</v>
      </c>
      <c r="U789" s="106">
        <v>21793.12219489396</v>
      </c>
      <c r="V789" s="106">
        <v>0.58433687439167836</v>
      </c>
      <c r="W789" s="106">
        <v>68978.679112008074</v>
      </c>
      <c r="X789" s="110">
        <v>0.50276009990704462</v>
      </c>
      <c r="Y789" s="106">
        <v>393.40871934604905</v>
      </c>
      <c r="Z789" s="106">
        <v>13.128065395095369</v>
      </c>
      <c r="AA789" s="106">
        <v>130110.61057620707</v>
      </c>
      <c r="AB789" s="106">
        <v>727.23739782242194</v>
      </c>
      <c r="AC789" s="106">
        <v>0.76857682518851156</v>
      </c>
      <c r="AD789" s="106">
        <v>17.58169934640523</v>
      </c>
      <c r="AE789" s="106">
        <v>178.91078066914497</v>
      </c>
      <c r="AF789" s="106">
        <v>3.542504368132348E-2</v>
      </c>
      <c r="AG789" s="106">
        <v>35058</v>
      </c>
      <c r="AH789" s="106">
        <v>21907.245952677458</v>
      </c>
      <c r="AI789" s="106">
        <v>24780.701743462017</v>
      </c>
      <c r="AJ789" s="106">
        <v>31082.132004981318</v>
      </c>
      <c r="AK789" s="104">
        <v>22033.493150684932</v>
      </c>
      <c r="AL789" s="118"/>
      <c r="AM789" s="118">
        <v>1674</v>
      </c>
      <c r="AN789" s="118">
        <v>48127</v>
      </c>
      <c r="AO789" s="118">
        <v>269</v>
      </c>
      <c r="AP789" s="118">
        <f t="shared" si="12"/>
        <v>505</v>
      </c>
    </row>
    <row r="790" spans="1:42" ht="12.75">
      <c r="A790" s="106">
        <v>2018</v>
      </c>
      <c r="B790" s="106">
        <v>-198622</v>
      </c>
      <c r="C790" s="106">
        <v>0</v>
      </c>
      <c r="D790" s="106">
        <v>198622</v>
      </c>
      <c r="E790" s="106" t="s">
        <v>1402</v>
      </c>
      <c r="F790" s="106" t="s">
        <v>1403</v>
      </c>
      <c r="G790" s="106" t="s">
        <v>90</v>
      </c>
      <c r="H790" s="106">
        <v>4</v>
      </c>
      <c r="I790" s="106" t="s">
        <v>24</v>
      </c>
      <c r="J790" s="106">
        <v>2167</v>
      </c>
      <c r="K790" s="106">
        <v>9478</v>
      </c>
      <c r="L790" s="106">
        <v>8347</v>
      </c>
      <c r="M790" s="106">
        <v>0.65</v>
      </c>
      <c r="N790" s="106">
        <v>0.33</v>
      </c>
      <c r="O790" s="106">
        <v>0.05</v>
      </c>
      <c r="P790" s="106">
        <v>912</v>
      </c>
      <c r="Q790" s="107">
        <v>52.138543516873888</v>
      </c>
      <c r="R790" s="106">
        <v>2.3369147343771671E-2</v>
      </c>
      <c r="S790" s="106">
        <v>11758.338425103611</v>
      </c>
      <c r="T790" s="106">
        <v>12736.776080521018</v>
      </c>
      <c r="U790" s="106">
        <v>9510.1527531083484</v>
      </c>
      <c r="V790" s="106">
        <v>0.22911787645474146</v>
      </c>
      <c r="W790" s="106">
        <v>59173.872447151567</v>
      </c>
      <c r="X790" s="110">
        <v>0.51181075218017835</v>
      </c>
      <c r="Y790" s="106">
        <v>566.13343799058089</v>
      </c>
      <c r="Z790" s="106">
        <v>19.886185243328104</v>
      </c>
      <c r="AA790" s="106">
        <v>34827.944492627925</v>
      </c>
      <c r="AB790" s="106">
        <v>334.05668460764167</v>
      </c>
      <c r="AC790" s="106">
        <v>2.87125759090282</v>
      </c>
      <c r="AD790" s="106">
        <v>36.73144313475629</v>
      </c>
      <c r="AE790" s="106">
        <v>104.25758889852558</v>
      </c>
      <c r="AF790" s="106">
        <v>3.2506556808712214E-2</v>
      </c>
      <c r="AG790" s="106">
        <v>1976</v>
      </c>
      <c r="AH790" s="106">
        <v>10673.162581409119</v>
      </c>
      <c r="AI790" s="106">
        <v>10687.040142095915</v>
      </c>
      <c r="AJ790" s="106">
        <v>11815.56009473061</v>
      </c>
      <c r="AK790" s="104">
        <v>10857.800828892836</v>
      </c>
      <c r="AL790" s="118">
        <v>58877370</v>
      </c>
      <c r="AM790" s="118">
        <v>10072</v>
      </c>
      <c r="AN790" s="118">
        <v>240418</v>
      </c>
      <c r="AO790" s="118">
        <v>1453</v>
      </c>
      <c r="AP790" s="118">
        <f t="shared" si="12"/>
        <v>191</v>
      </c>
    </row>
    <row r="791" spans="1:42" ht="12.75">
      <c r="A791" s="106">
        <v>2018</v>
      </c>
      <c r="B791" s="106">
        <v>-134343</v>
      </c>
      <c r="C791" s="106">
        <v>0</v>
      </c>
      <c r="D791" s="106">
        <v>134343</v>
      </c>
      <c r="E791" s="106" t="s">
        <v>1404</v>
      </c>
      <c r="F791" s="106" t="s">
        <v>1405</v>
      </c>
      <c r="G791" s="106" t="s">
        <v>258</v>
      </c>
      <c r="H791" s="106">
        <v>4</v>
      </c>
      <c r="I791" s="106" t="s">
        <v>24</v>
      </c>
      <c r="J791" s="106">
        <v>2370</v>
      </c>
      <c r="K791" s="106">
        <v>3128</v>
      </c>
      <c r="L791" s="106">
        <v>1657</v>
      </c>
      <c r="M791" s="106">
        <v>0.48</v>
      </c>
      <c r="N791" s="106">
        <v>0.08</v>
      </c>
      <c r="O791" s="106">
        <v>0.27</v>
      </c>
      <c r="P791" s="106">
        <v>1417</v>
      </c>
      <c r="Q791" s="106">
        <v>518.51240834743373</v>
      </c>
      <c r="R791" s="106">
        <v>0.18648822143620816</v>
      </c>
      <c r="S791" s="106">
        <v>12208.398195149464</v>
      </c>
      <c r="T791" s="106">
        <v>14894.908065425832</v>
      </c>
      <c r="U791" s="106">
        <v>11962.632169516624</v>
      </c>
      <c r="V791" s="106">
        <v>0.18907967317594643</v>
      </c>
      <c r="W791" s="106">
        <v>55586.635047067342</v>
      </c>
      <c r="X791" s="110">
        <v>0.48446928720989835</v>
      </c>
      <c r="Y791" s="106">
        <v>518.4708346972177</v>
      </c>
      <c r="Z791" s="106">
        <v>17.410801963993453</v>
      </c>
      <c r="AA791" s="106">
        <v>34347.768156361089</v>
      </c>
      <c r="AB791" s="106">
        <v>401.71790915333622</v>
      </c>
      <c r="AC791" s="106">
        <v>2.9113973153880259</v>
      </c>
      <c r="AD791" s="106">
        <v>37.790697674418603</v>
      </c>
      <c r="AE791" s="106">
        <v>85.502207827260463</v>
      </c>
      <c r="AF791" s="106">
        <v>-2.7789033631002196E-2</v>
      </c>
      <c r="AG791" s="106">
        <v>1750</v>
      </c>
      <c r="AH791" s="106">
        <v>11203.428087986464</v>
      </c>
      <c r="AI791" s="106">
        <v>11242.89396503102</v>
      </c>
      <c r="AJ791" s="106">
        <v>12254.93429216018</v>
      </c>
      <c r="AK791" s="104">
        <v>13728.37986463621</v>
      </c>
      <c r="AL791" s="118">
        <v>22755917</v>
      </c>
      <c r="AM791" s="118">
        <v>5379</v>
      </c>
      <c r="AN791" s="118">
        <v>105595.22666666667</v>
      </c>
      <c r="AO791" s="118">
        <v>905</v>
      </c>
      <c r="AP791" s="118">
        <f t="shared" si="12"/>
        <v>620</v>
      </c>
    </row>
    <row r="792" spans="1:42" ht="12.75">
      <c r="A792" s="106">
        <v>2018</v>
      </c>
      <c r="B792" s="106">
        <v>-173647</v>
      </c>
      <c r="C792" s="106">
        <v>0</v>
      </c>
      <c r="D792" s="106">
        <v>173647</v>
      </c>
      <c r="E792" s="106" t="s">
        <v>1406</v>
      </c>
      <c r="F792" s="106" t="s">
        <v>1407</v>
      </c>
      <c r="G792" s="106" t="s">
        <v>113</v>
      </c>
      <c r="H792" s="106">
        <v>7</v>
      </c>
      <c r="I792" s="106" t="s">
        <v>3641</v>
      </c>
      <c r="J792" s="106">
        <v>44080</v>
      </c>
      <c r="K792" s="106">
        <v>23906</v>
      </c>
      <c r="L792" s="106">
        <v>14931</v>
      </c>
      <c r="M792" s="106">
        <v>0.27</v>
      </c>
      <c r="N792" s="106">
        <v>0.65</v>
      </c>
      <c r="O792" s="106">
        <v>0.92</v>
      </c>
      <c r="P792" s="106">
        <v>28168</v>
      </c>
      <c r="Q792" s="106">
        <v>24579.081447963799</v>
      </c>
      <c r="R792" s="106">
        <v>0.56984054331714418</v>
      </c>
      <c r="S792" s="106">
        <v>45477.262895927604</v>
      </c>
      <c r="T792" s="106">
        <v>37694.216289592761</v>
      </c>
      <c r="U792" s="106">
        <v>29475.591437997504</v>
      </c>
      <c r="V792" s="106">
        <v>0.62947610676499965</v>
      </c>
      <c r="W792" s="106">
        <v>72508.42588614393</v>
      </c>
      <c r="X792" s="110">
        <v>0.54023150424387878</v>
      </c>
      <c r="Y792" s="106">
        <v>290.76315789473682</v>
      </c>
      <c r="Z792" s="106">
        <v>9.692982456140351</v>
      </c>
      <c r="AA792" s="106">
        <v>102101.97034165279</v>
      </c>
      <c r="AB792" s="106">
        <v>982.60863845860081</v>
      </c>
      <c r="AC792" s="106">
        <v>0.97941302861620394</v>
      </c>
      <c r="AD792" s="106">
        <v>29.509713228492135</v>
      </c>
      <c r="AE792" s="106">
        <v>103.90909090909091</v>
      </c>
      <c r="AF792" s="106">
        <v>0.10049894519022629</v>
      </c>
      <c r="AG792" s="106">
        <v>43590</v>
      </c>
      <c r="AH792" s="106">
        <v>31145.228506787331</v>
      </c>
      <c r="AI792" s="106">
        <v>45588.353846153848</v>
      </c>
      <c r="AJ792" s="106">
        <v>52078.223529411764</v>
      </c>
      <c r="AK792" s="104">
        <v>31105.096380090497</v>
      </c>
      <c r="AM792" s="118">
        <v>2181</v>
      </c>
      <c r="AN792" s="118">
        <v>66294</v>
      </c>
      <c r="AO792" s="118">
        <v>638</v>
      </c>
      <c r="AP792" s="118">
        <f t="shared" si="12"/>
        <v>490</v>
      </c>
    </row>
    <row r="793" spans="1:42" ht="12.75">
      <c r="A793" s="106">
        <v>2018</v>
      </c>
      <c r="B793" s="106">
        <v>-140012</v>
      </c>
      <c r="C793" s="106">
        <v>0</v>
      </c>
      <c r="D793" s="106">
        <v>140012</v>
      </c>
      <c r="E793" s="106" t="s">
        <v>1408</v>
      </c>
      <c r="F793" s="106" t="s">
        <v>1328</v>
      </c>
      <c r="G793" s="106" t="s">
        <v>63</v>
      </c>
      <c r="H793" s="106">
        <v>4</v>
      </c>
      <c r="I793" s="106" t="s">
        <v>24</v>
      </c>
      <c r="J793" s="106">
        <v>2868</v>
      </c>
      <c r="K793" s="106">
        <v>7307</v>
      </c>
      <c r="L793" s="106">
        <v>7175</v>
      </c>
      <c r="M793" s="106">
        <v>0.54</v>
      </c>
      <c r="N793" s="106">
        <v>0.3</v>
      </c>
      <c r="O793" s="106">
        <v>0</v>
      </c>
      <c r="P793" s="106"/>
      <c r="Q793" s="106"/>
      <c r="R793" s="106"/>
      <c r="S793" s="106">
        <v>11195.37119217751</v>
      </c>
      <c r="T793" s="106">
        <v>11246.317976682963</v>
      </c>
      <c r="U793" s="106">
        <v>9806.706092515984</v>
      </c>
      <c r="V793" s="106">
        <v>0.44584520079291973</v>
      </c>
      <c r="W793" s="106">
        <v>59791.503961965136</v>
      </c>
      <c r="X793" s="110">
        <v>0.63082681408794716</v>
      </c>
      <c r="Y793" s="106">
        <v>627.27916120576674</v>
      </c>
      <c r="Z793" s="106">
        <v>20.909567496723458</v>
      </c>
      <c r="AA793" s="106">
        <v>16587.806297709925</v>
      </c>
      <c r="AB793" s="106">
        <v>326.89430104426532</v>
      </c>
      <c r="AC793" s="106">
        <v>6.0285247009308147</v>
      </c>
      <c r="AD793" s="106">
        <v>79.054563741513704</v>
      </c>
      <c r="AE793" s="106">
        <v>50.743638676844782</v>
      </c>
      <c r="AF793" s="106">
        <v>1.393989346018221E-2</v>
      </c>
      <c r="AG793" s="106">
        <v>2136</v>
      </c>
      <c r="AH793" s="106">
        <v>9430.6137645731469</v>
      </c>
      <c r="AI793" s="106">
        <v>9701.3836028582173</v>
      </c>
      <c r="AJ793" s="106">
        <v>11196.615644979316</v>
      </c>
      <c r="AK793" s="104">
        <v>11340.555095900714</v>
      </c>
      <c r="AL793" s="119">
        <v>18309555</v>
      </c>
      <c r="AM793" s="118">
        <v>8321</v>
      </c>
      <c r="AN793" s="118">
        <v>159538</v>
      </c>
      <c r="AO793" s="118">
        <v>656</v>
      </c>
      <c r="AP793" s="118">
        <f t="shared" si="12"/>
        <v>732</v>
      </c>
    </row>
    <row r="794" spans="1:42" ht="12.75">
      <c r="A794" s="106">
        <v>2018</v>
      </c>
      <c r="B794" s="106">
        <v>-212832</v>
      </c>
      <c r="C794" s="106">
        <v>0</v>
      </c>
      <c r="D794" s="106">
        <v>212832</v>
      </c>
      <c r="E794" s="106" t="s">
        <v>1409</v>
      </c>
      <c r="F794" s="106" t="s">
        <v>1410</v>
      </c>
      <c r="G794" s="106" t="s">
        <v>104</v>
      </c>
      <c r="H794" s="106">
        <v>6</v>
      </c>
      <c r="I794" s="106" t="s">
        <v>3640</v>
      </c>
      <c r="J794" s="106">
        <v>35311</v>
      </c>
      <c r="K794" s="106">
        <v>23694</v>
      </c>
      <c r="L794" s="106">
        <v>20175</v>
      </c>
      <c r="M794" s="106">
        <v>0.43</v>
      </c>
      <c r="N794" s="106">
        <v>0.87</v>
      </c>
      <c r="O794" s="106">
        <v>1</v>
      </c>
      <c r="P794" s="106">
        <v>18536</v>
      </c>
      <c r="Q794" s="107">
        <v>7802.3818384815777</v>
      </c>
      <c r="R794" s="106">
        <v>0.30009590472509695</v>
      </c>
      <c r="S794" s="106">
        <v>21477.484183103832</v>
      </c>
      <c r="T794" s="106">
        <v>20986.602158541125</v>
      </c>
      <c r="U794" s="106">
        <v>18980.707982174707</v>
      </c>
      <c r="V794" s="106">
        <v>0.95872324764414474</v>
      </c>
      <c r="W794" s="106">
        <v>64203.761755485888</v>
      </c>
      <c r="X794" s="110">
        <v>0.48426167296199746</v>
      </c>
      <c r="Y794" s="106">
        <v>385.23588039867104</v>
      </c>
      <c r="Z794" s="106">
        <v>13.390365448504982</v>
      </c>
      <c r="AA794" s="106">
        <v>63042.227871574083</v>
      </c>
      <c r="AB794" s="106">
        <v>659.74803823998025</v>
      </c>
      <c r="AC794" s="106">
        <v>1.5862383576245769</v>
      </c>
      <c r="AD794" s="106">
        <v>30.141579731743668</v>
      </c>
      <c r="AE794" s="106">
        <v>95.555006180469718</v>
      </c>
      <c r="AF794" s="106">
        <v>6.4883286184591465E-2</v>
      </c>
      <c r="AG794" s="106">
        <v>34531</v>
      </c>
      <c r="AH794" s="106">
        <v>20670.636397469298</v>
      </c>
      <c r="AI794" s="106">
        <v>21477.484183103832</v>
      </c>
      <c r="AJ794" s="106">
        <v>22446.222553033123</v>
      </c>
      <c r="AK794" s="104">
        <v>19187.569780424266</v>
      </c>
      <c r="AL794" s="119">
        <v>506000</v>
      </c>
      <c r="AM794" s="118">
        <v>2081</v>
      </c>
      <c r="AN794" s="118">
        <v>77304</v>
      </c>
      <c r="AO794" s="118">
        <v>579</v>
      </c>
      <c r="AP794" s="118">
        <f t="shared" si="12"/>
        <v>780</v>
      </c>
    </row>
    <row r="795" spans="1:42" ht="12.75">
      <c r="A795" s="106">
        <v>2018</v>
      </c>
      <c r="B795" s="106">
        <v>-102313</v>
      </c>
      <c r="C795" s="106">
        <v>0</v>
      </c>
      <c r="D795" s="106">
        <v>102313</v>
      </c>
      <c r="E795" s="106" t="s">
        <v>1411</v>
      </c>
      <c r="F795" s="106" t="s">
        <v>87</v>
      </c>
      <c r="G795" s="106" t="s">
        <v>85</v>
      </c>
      <c r="H795" s="106">
        <v>4</v>
      </c>
      <c r="I795" s="106" t="s">
        <v>24</v>
      </c>
      <c r="J795" s="106">
        <v>4350</v>
      </c>
      <c r="K795" s="106">
        <v>7532</v>
      </c>
      <c r="L795" s="106">
        <v>6689</v>
      </c>
      <c r="M795" s="106">
        <v>0.74</v>
      </c>
      <c r="N795" s="106">
        <v>0</v>
      </c>
      <c r="O795" s="106">
        <v>0.19</v>
      </c>
      <c r="P795" s="106">
        <v>2726</v>
      </c>
      <c r="Q795" s="106">
        <v>299.11143270622284</v>
      </c>
      <c r="R795" s="106">
        <v>6.5012596847257395E-2</v>
      </c>
      <c r="S795" s="106">
        <v>15444.067293777134</v>
      </c>
      <c r="T795" s="106">
        <v>15898.336468885673</v>
      </c>
      <c r="U795" s="106">
        <v>13989.464851569412</v>
      </c>
      <c r="V795" s="106">
        <v>0.30749648636529753</v>
      </c>
      <c r="W795" s="106">
        <v>77296.56050955414</v>
      </c>
      <c r="X795" s="110">
        <v>0.55233185934816198</v>
      </c>
      <c r="Y795" s="106">
        <v>522.5420168067227</v>
      </c>
      <c r="Z795" s="106">
        <v>17.420168067226893</v>
      </c>
      <c r="AA795" s="106">
        <v>48945.418797136525</v>
      </c>
      <c r="AB795" s="106">
        <v>466.37173862909003</v>
      </c>
      <c r="AC795" s="106">
        <v>2.0430921311444648</v>
      </c>
      <c r="AD795" s="106">
        <v>33.789563729683493</v>
      </c>
      <c r="AE795" s="106">
        <v>104.9493670886076</v>
      </c>
      <c r="AF795" s="106">
        <v>-5.8831030595743218E-2</v>
      </c>
      <c r="AG795" s="106">
        <v>3570</v>
      </c>
      <c r="AH795" s="106">
        <v>13890.429088277859</v>
      </c>
      <c r="AI795" s="106">
        <v>13893.358176555716</v>
      </c>
      <c r="AJ795" s="106">
        <v>15467.367583212736</v>
      </c>
      <c r="AK795" s="104">
        <v>15894.537626628075</v>
      </c>
      <c r="AL795" s="119">
        <v>8875582</v>
      </c>
      <c r="AM795" s="118">
        <v>1845</v>
      </c>
      <c r="AN795" s="118">
        <v>41455</v>
      </c>
      <c r="AO795" s="118">
        <v>178</v>
      </c>
      <c r="AP795" s="118">
        <f t="shared" si="12"/>
        <v>780</v>
      </c>
    </row>
    <row r="796" spans="1:42" ht="12.75">
      <c r="A796" s="106">
        <v>2018</v>
      </c>
      <c r="B796" s="106">
        <v>-162690</v>
      </c>
      <c r="C796" s="106">
        <v>0</v>
      </c>
      <c r="D796" s="106">
        <v>162690</v>
      </c>
      <c r="E796" s="106" t="s">
        <v>1412</v>
      </c>
      <c r="F796" s="106" t="s">
        <v>1413</v>
      </c>
      <c r="G796" s="106" t="s">
        <v>124</v>
      </c>
      <c r="H796" s="106">
        <v>4</v>
      </c>
      <c r="I796" s="106" t="s">
        <v>24</v>
      </c>
      <c r="J796" s="106">
        <v>3616</v>
      </c>
      <c r="K796" s="106">
        <v>6747</v>
      </c>
      <c r="L796" s="106">
        <v>5797</v>
      </c>
      <c r="M796" s="106">
        <v>0.49</v>
      </c>
      <c r="N796" s="106">
        <v>0.34</v>
      </c>
      <c r="O796" s="106">
        <v>0.22</v>
      </c>
      <c r="P796" s="106">
        <v>1680</v>
      </c>
      <c r="Q796" s="106">
        <v>443.31155015197567</v>
      </c>
      <c r="R796" s="106">
        <v>7.7775231476759937E-2</v>
      </c>
      <c r="S796" s="106">
        <v>16478.964285714286</v>
      </c>
      <c r="T796" s="106">
        <v>16201.222264437691</v>
      </c>
      <c r="U796" s="106">
        <v>13156.228257323264</v>
      </c>
      <c r="V796" s="106">
        <v>0.39955182305965298</v>
      </c>
      <c r="W796" s="106">
        <v>63236.223118279573</v>
      </c>
      <c r="X796" s="110">
        <v>0.55166470352191377</v>
      </c>
      <c r="Y796" s="106">
        <v>564.07142857142856</v>
      </c>
      <c r="Z796" s="106">
        <v>18.8</v>
      </c>
      <c r="AA796" s="106">
        <v>43776.476325252632</v>
      </c>
      <c r="AB796" s="106">
        <v>438.48540931081209</v>
      </c>
      <c r="AC796" s="106">
        <v>2.2843318694043591</v>
      </c>
      <c r="AD796" s="106">
        <v>38.96551724137931</v>
      </c>
      <c r="AE796" s="106">
        <v>99.835651074589123</v>
      </c>
      <c r="AF796" s="106">
        <v>1.855458496015349E-2</v>
      </c>
      <c r="AG796" s="106">
        <v>3094</v>
      </c>
      <c r="AH796" s="106">
        <v>15301.295592705168</v>
      </c>
      <c r="AI796" s="106">
        <v>15301.295592705168</v>
      </c>
      <c r="AJ796" s="106">
        <v>16543.299392097266</v>
      </c>
      <c r="AK796" s="104">
        <v>14793.379559270517</v>
      </c>
      <c r="AL796" s="119">
        <v>18860615</v>
      </c>
      <c r="AM796" s="118">
        <v>4069</v>
      </c>
      <c r="AN796" s="118">
        <v>78970</v>
      </c>
      <c r="AO796" s="118">
        <v>601</v>
      </c>
      <c r="AP796" s="118">
        <f t="shared" si="12"/>
        <v>522</v>
      </c>
    </row>
    <row r="797" spans="1:42" ht="12.75">
      <c r="A797" s="106">
        <v>2018</v>
      </c>
      <c r="B797" s="106">
        <v>-198640</v>
      </c>
      <c r="C797" s="106">
        <v>0</v>
      </c>
      <c r="D797" s="106">
        <v>198640</v>
      </c>
      <c r="E797" s="106" t="s">
        <v>1414</v>
      </c>
      <c r="F797" s="106" t="s">
        <v>1415</v>
      </c>
      <c r="G797" s="106" t="s">
        <v>90</v>
      </c>
      <c r="H797" s="106">
        <v>4</v>
      </c>
      <c r="I797" s="106" t="s">
        <v>24</v>
      </c>
      <c r="J797" s="106">
        <v>2564</v>
      </c>
      <c r="K797" s="106">
        <v>3047</v>
      </c>
      <c r="L797" s="106">
        <v>2643</v>
      </c>
      <c r="M797" s="106">
        <v>0.55000000000000004</v>
      </c>
      <c r="N797" s="106">
        <v>0.01</v>
      </c>
      <c r="O797" s="106">
        <v>0.02</v>
      </c>
      <c r="P797" s="106">
        <v>4858</v>
      </c>
      <c r="Q797" s="106">
        <v>45.600922722029992</v>
      </c>
      <c r="R797" s="106">
        <v>2.9884072233950801E-2</v>
      </c>
      <c r="S797" s="106">
        <v>16547.068050749713</v>
      </c>
      <c r="T797" s="106">
        <v>17339.871972318339</v>
      </c>
      <c r="U797" s="106">
        <v>13673.551326412919</v>
      </c>
      <c r="V797" s="106">
        <v>0.10826202919636484</v>
      </c>
      <c r="W797" s="106">
        <v>53172.524871355068</v>
      </c>
      <c r="X797" s="110">
        <v>0.68733680381016771</v>
      </c>
      <c r="Y797" s="106">
        <v>237.17325227963528</v>
      </c>
      <c r="Z797" s="106">
        <v>7.9057750759878429</v>
      </c>
      <c r="AA797" s="106">
        <v>22495.19734345351</v>
      </c>
      <c r="AB797" s="106">
        <v>455.78504421376391</v>
      </c>
      <c r="AC797" s="106">
        <v>4.4453933198813091</v>
      </c>
      <c r="AD797" s="106">
        <v>75.827338129496397</v>
      </c>
      <c r="AE797" s="106">
        <v>49.354838709677416</v>
      </c>
      <c r="AF797" s="106">
        <v>-3.4651102813488113E-2</v>
      </c>
      <c r="AG797" s="106">
        <v>2432</v>
      </c>
      <c r="AH797" s="106">
        <v>15295.530565167244</v>
      </c>
      <c r="AI797" s="106">
        <v>15475.510957324106</v>
      </c>
      <c r="AJ797" s="106">
        <v>16622.351787773932</v>
      </c>
      <c r="AK797" s="104">
        <v>15008.520184544406</v>
      </c>
      <c r="AL797" s="119">
        <v>9303630</v>
      </c>
      <c r="AM797" s="118">
        <v>1113</v>
      </c>
      <c r="AN797" s="118">
        <v>26010</v>
      </c>
      <c r="AO797" s="118">
        <v>132</v>
      </c>
      <c r="AP797" s="118">
        <f t="shared" si="12"/>
        <v>132</v>
      </c>
    </row>
    <row r="798" spans="1:42" ht="12.75">
      <c r="A798" s="106">
        <v>2018</v>
      </c>
      <c r="B798" s="106">
        <v>-191515</v>
      </c>
      <c r="C798" s="106">
        <v>0</v>
      </c>
      <c r="D798" s="106">
        <v>191515</v>
      </c>
      <c r="E798" s="106" t="s">
        <v>1416</v>
      </c>
      <c r="F798" s="106" t="s">
        <v>1417</v>
      </c>
      <c r="G798" s="106" t="s">
        <v>69</v>
      </c>
      <c r="H798" s="106">
        <v>7</v>
      </c>
      <c r="I798" s="106" t="s">
        <v>3641</v>
      </c>
      <c r="J798" s="106">
        <v>52770</v>
      </c>
      <c r="K798" s="106">
        <v>27809</v>
      </c>
      <c r="L798" s="106">
        <v>9388</v>
      </c>
      <c r="M798" s="106">
        <v>0.18</v>
      </c>
      <c r="N798" s="106">
        <v>0.4</v>
      </c>
      <c r="O798" s="106">
        <v>0.57999999999999996</v>
      </c>
      <c r="P798" s="106">
        <v>40413</v>
      </c>
      <c r="Q798" s="106">
        <v>21743.379978471476</v>
      </c>
      <c r="R798" s="106">
        <v>0.40022587452075969</v>
      </c>
      <c r="S798" s="106">
        <v>57930.032292787946</v>
      </c>
      <c r="T798" s="106">
        <v>74705.597416576958</v>
      </c>
      <c r="U798" s="106">
        <v>62334.110155479881</v>
      </c>
      <c r="V798" s="106">
        <v>0.5227377392231185</v>
      </c>
      <c r="W798" s="106">
        <v>98226.73031026253</v>
      </c>
      <c r="X798" s="110">
        <v>0.49418960685287783</v>
      </c>
      <c r="Y798" s="106">
        <v>284.44019138755982</v>
      </c>
      <c r="Z798" s="106">
        <v>8.8899521531100483</v>
      </c>
      <c r="AA798" s="106">
        <v>242802.46681107258</v>
      </c>
      <c r="AB798" s="106">
        <v>1948.2030794792361</v>
      </c>
      <c r="AC798" s="106">
        <v>0.41185743008867842</v>
      </c>
      <c r="AD798" s="106">
        <v>25.211416490486261</v>
      </c>
      <c r="AE798" s="106">
        <v>124.62893081761007</v>
      </c>
      <c r="AF798" s="106">
        <v>5.0514324577063674E-2</v>
      </c>
      <c r="AG798" s="106">
        <v>52250</v>
      </c>
      <c r="AH798" s="106">
        <v>50729.709364908507</v>
      </c>
      <c r="AI798" s="106">
        <v>58017.653390742737</v>
      </c>
      <c r="AJ798" s="106">
        <v>105087.19052744887</v>
      </c>
      <c r="AK798" s="104">
        <v>63166.307857911735</v>
      </c>
      <c r="AM798" s="118">
        <v>1901</v>
      </c>
      <c r="AN798" s="118">
        <v>59448</v>
      </c>
      <c r="AO798" s="118">
        <v>477</v>
      </c>
      <c r="AP798" s="118">
        <f t="shared" si="12"/>
        <v>520</v>
      </c>
    </row>
    <row r="799" spans="1:42" ht="12.75">
      <c r="A799" s="106">
        <v>2018</v>
      </c>
      <c r="B799" s="106">
        <v>-173665</v>
      </c>
      <c r="C799" s="106">
        <v>0</v>
      </c>
      <c r="D799" s="106">
        <v>173665</v>
      </c>
      <c r="E799" s="106" t="s">
        <v>1418</v>
      </c>
      <c r="F799" s="106" t="s">
        <v>366</v>
      </c>
      <c r="G799" s="106" t="s">
        <v>113</v>
      </c>
      <c r="H799" s="106">
        <v>6</v>
      </c>
      <c r="I799" s="106" t="s">
        <v>3640</v>
      </c>
      <c r="J799" s="106">
        <v>40332</v>
      </c>
      <c r="K799" s="106">
        <v>22079</v>
      </c>
      <c r="L799" s="106">
        <v>17790</v>
      </c>
      <c r="M799" s="106">
        <v>0.44</v>
      </c>
      <c r="N799" s="106">
        <v>0.7</v>
      </c>
      <c r="O799" s="106">
        <v>1</v>
      </c>
      <c r="P799" s="106">
        <v>22474</v>
      </c>
      <c r="Q799" s="106">
        <v>12148.274183796857</v>
      </c>
      <c r="R799" s="106">
        <v>0.41110872251443487</v>
      </c>
      <c r="S799" s="106">
        <v>22900.800785973399</v>
      </c>
      <c r="T799" s="106">
        <v>24993.052297460701</v>
      </c>
      <c r="U799" s="106">
        <v>19451.605384975686</v>
      </c>
      <c r="V799" s="106">
        <v>0.89461786228763152</v>
      </c>
      <c r="W799" s="106">
        <v>78493.832803560072</v>
      </c>
      <c r="X799" s="110">
        <v>0.49780379715441353</v>
      </c>
      <c r="Y799" s="106">
        <v>461.4726368159204</v>
      </c>
      <c r="Z799" s="106">
        <v>16.457711442786071</v>
      </c>
      <c r="AA799" s="106">
        <v>47452.736440633897</v>
      </c>
      <c r="AB799" s="106">
        <v>693.71157244274832</v>
      </c>
      <c r="AC799" s="106">
        <v>2.107360028121998</v>
      </c>
      <c r="AD799" s="106">
        <v>48.794530406621092</v>
      </c>
      <c r="AE799" s="106">
        <v>68.404129793510322</v>
      </c>
      <c r="AF799" s="106">
        <v>7.9749582337679224E-3</v>
      </c>
      <c r="AG799" s="106">
        <v>39206</v>
      </c>
      <c r="AH799" s="106">
        <v>21493.875453446191</v>
      </c>
      <c r="AI799" s="106">
        <v>22900.800785973399</v>
      </c>
      <c r="AJ799" s="106">
        <v>25342.742140266022</v>
      </c>
      <c r="AK799" s="104">
        <v>20148.708887545345</v>
      </c>
      <c r="AM799" s="118">
        <v>2168</v>
      </c>
      <c r="AN799" s="118">
        <v>92756</v>
      </c>
      <c r="AO799" s="118">
        <v>505</v>
      </c>
      <c r="AP799" s="118">
        <f t="shared" si="12"/>
        <v>1126</v>
      </c>
    </row>
    <row r="800" spans="1:42" ht="12.75">
      <c r="A800" s="106">
        <v>2018</v>
      </c>
      <c r="B800" s="106">
        <v>-232256</v>
      </c>
      <c r="C800" s="106">
        <v>0</v>
      </c>
      <c r="D800" s="106">
        <v>232256</v>
      </c>
      <c r="E800" s="106" t="s">
        <v>1419</v>
      </c>
      <c r="F800" s="106" t="s">
        <v>1420</v>
      </c>
      <c r="G800" s="106" t="s">
        <v>261</v>
      </c>
      <c r="H800" s="106">
        <v>7</v>
      </c>
      <c r="I800" s="106" t="s">
        <v>3641</v>
      </c>
      <c r="J800" s="106">
        <v>43940</v>
      </c>
      <c r="K800" s="106">
        <v>33725</v>
      </c>
      <c r="L800" s="106">
        <v>26590</v>
      </c>
      <c r="M800" s="106">
        <v>0.2</v>
      </c>
      <c r="N800" s="106">
        <v>0.63</v>
      </c>
      <c r="O800" s="106">
        <v>0.98</v>
      </c>
      <c r="P800" s="106">
        <v>23984</v>
      </c>
      <c r="Q800" s="106">
        <v>22381.564053537284</v>
      </c>
      <c r="R800" s="106">
        <v>0.51665624980482872</v>
      </c>
      <c r="S800" s="106">
        <v>53187.830783938814</v>
      </c>
      <c r="T800" s="106">
        <v>48210.945506692158</v>
      </c>
      <c r="U800" s="106">
        <v>38500.424063251805</v>
      </c>
      <c r="V800" s="106">
        <v>0.54385025860428149</v>
      </c>
      <c r="W800" s="106">
        <v>71746.254237288129</v>
      </c>
      <c r="X800" s="110">
        <v>0.50364573518517219</v>
      </c>
      <c r="Y800" s="106">
        <v>294.1875</v>
      </c>
      <c r="Z800" s="106">
        <v>9.8062500000000004</v>
      </c>
      <c r="AA800" s="106">
        <v>163705.05516325767</v>
      </c>
      <c r="AB800" s="106">
        <v>1283.3474687750602</v>
      </c>
      <c r="AC800" s="106">
        <v>0.61085468558239264</v>
      </c>
      <c r="AD800" s="106">
        <v>23.608445297504797</v>
      </c>
      <c r="AE800" s="106">
        <v>127.5609756097561</v>
      </c>
      <c r="AF800" s="106">
        <v>7.383448516736496E-2</v>
      </c>
      <c r="AG800" s="106">
        <v>42470</v>
      </c>
      <c r="AH800" s="106">
        <v>39975.173040152964</v>
      </c>
      <c r="AI800" s="106">
        <v>55479.156787762906</v>
      </c>
      <c r="AJ800" s="106">
        <v>65810.017208413003</v>
      </c>
      <c r="AK800" s="104">
        <v>38690.743785850864</v>
      </c>
      <c r="AM800" s="118">
        <v>1046</v>
      </c>
      <c r="AN800" s="118">
        <v>31380</v>
      </c>
      <c r="AO800" s="118">
        <v>246</v>
      </c>
      <c r="AP800" s="118">
        <f t="shared" si="12"/>
        <v>1470</v>
      </c>
    </row>
    <row r="801" spans="1:42" ht="12.75">
      <c r="A801" s="106">
        <v>2018</v>
      </c>
      <c r="B801" s="106">
        <v>-166018</v>
      </c>
      <c r="C801" s="106">
        <v>0</v>
      </c>
      <c r="D801" s="106">
        <v>166018</v>
      </c>
      <c r="E801" s="106" t="s">
        <v>1421</v>
      </c>
      <c r="F801" s="106" t="s">
        <v>158</v>
      </c>
      <c r="G801" s="106" t="s">
        <v>150</v>
      </c>
      <c r="H801" s="106">
        <v>7</v>
      </c>
      <c r="I801" s="106" t="s">
        <v>3641</v>
      </c>
      <c r="J801" s="106">
        <v>51608</v>
      </c>
      <c r="K801" s="106">
        <v>32569</v>
      </c>
      <c r="L801" s="106">
        <v>17848</v>
      </c>
      <c r="M801" s="106">
        <v>0.35</v>
      </c>
      <c r="N801" s="106">
        <v>0.73</v>
      </c>
      <c r="O801" s="106">
        <v>0.94</v>
      </c>
      <c r="P801" s="106">
        <v>32194</v>
      </c>
      <c r="Q801" s="106">
        <v>26729.88417618271</v>
      </c>
      <c r="R801" s="106">
        <v>0.53493620302100475</v>
      </c>
      <c r="S801" s="106">
        <v>41277.307504078301</v>
      </c>
      <c r="T801" s="106">
        <v>45586.070962479607</v>
      </c>
      <c r="U801" s="106">
        <v>35347.007435925327</v>
      </c>
      <c r="V801" s="106">
        <v>0.6574382500879008</v>
      </c>
      <c r="W801" s="106">
        <v>82165.675453047777</v>
      </c>
      <c r="X801" s="110">
        <v>0.59492912346243254</v>
      </c>
      <c r="Y801" s="106">
        <v>265.13221153846155</v>
      </c>
      <c r="Z801" s="106">
        <v>8.8413461538461551</v>
      </c>
      <c r="AA801" s="106">
        <v>147902.49527796739</v>
      </c>
      <c r="AB801" s="106">
        <v>1178.7142966529157</v>
      </c>
      <c r="AC801" s="106">
        <v>0.67612111487409576</v>
      </c>
      <c r="AD801" s="106">
        <v>23.107255520504733</v>
      </c>
      <c r="AE801" s="106">
        <v>125.47781569965871</v>
      </c>
      <c r="AF801" s="106">
        <v>6.5960159929247166E-3</v>
      </c>
      <c r="AG801" s="106">
        <v>50030</v>
      </c>
      <c r="AH801" s="106">
        <v>35625.690048939643</v>
      </c>
      <c r="AI801" s="106">
        <v>41841.056280587276</v>
      </c>
      <c r="AJ801" s="106">
        <v>47067.326264274059</v>
      </c>
      <c r="AK801" s="104">
        <v>39403.170473083199</v>
      </c>
      <c r="AL801" s="118"/>
      <c r="AM801" s="118">
        <v>1268</v>
      </c>
      <c r="AN801" s="118">
        <v>36765</v>
      </c>
      <c r="AO801" s="118">
        <v>293</v>
      </c>
      <c r="AP801" s="118">
        <f t="shared" si="12"/>
        <v>1578</v>
      </c>
    </row>
    <row r="802" spans="1:42" ht="12.75">
      <c r="A802" s="106">
        <v>2018</v>
      </c>
      <c r="B802" s="106">
        <v>-232265</v>
      </c>
      <c r="C802" s="106">
        <v>0</v>
      </c>
      <c r="D802" s="106">
        <v>232265</v>
      </c>
      <c r="E802" s="106" t="s">
        <v>1422</v>
      </c>
      <c r="F802" s="106" t="s">
        <v>1423</v>
      </c>
      <c r="G802" s="106" t="s">
        <v>261</v>
      </c>
      <c r="H802" s="106">
        <v>6</v>
      </c>
      <c r="I802" s="106" t="s">
        <v>3640</v>
      </c>
      <c r="J802" s="106">
        <v>25442</v>
      </c>
      <c r="K802" s="106">
        <v>28347</v>
      </c>
      <c r="L802" s="106">
        <v>28685</v>
      </c>
      <c r="M802" s="106">
        <v>0.41</v>
      </c>
      <c r="N802" s="106">
        <v>0.8</v>
      </c>
      <c r="O802" s="106">
        <v>0.6</v>
      </c>
      <c r="P802" s="106">
        <v>12043</v>
      </c>
      <c r="Q802" s="106">
        <v>4913.5360322170409</v>
      </c>
      <c r="R802" s="106">
        <v>0.22286420350509392</v>
      </c>
      <c r="S802" s="106">
        <v>41265.328952946162</v>
      </c>
      <c r="T802" s="106">
        <v>38869.413522679104</v>
      </c>
      <c r="U802" s="106">
        <v>22094.978859287879</v>
      </c>
      <c r="V802" s="106">
        <v>0.77545598307510266</v>
      </c>
      <c r="W802" s="106">
        <v>54543.656997131016</v>
      </c>
      <c r="X802" s="110">
        <v>0.31100802284720996</v>
      </c>
      <c r="Y802" s="106">
        <v>430.50329670329671</v>
      </c>
      <c r="Z802" s="106">
        <v>15.553846153846155</v>
      </c>
      <c r="AA802" s="106">
        <v>123805.35660109289</v>
      </c>
      <c r="AB802" s="106">
        <v>798.2793734253305</v>
      </c>
      <c r="AC802" s="106">
        <v>0.80771949409430677</v>
      </c>
      <c r="AD802" s="106">
        <v>19.166856362394718</v>
      </c>
      <c r="AE802" s="106">
        <v>155.09026128266032</v>
      </c>
      <c r="AF802" s="106">
        <v>6.7235164269986561E-2</v>
      </c>
      <c r="AG802" s="106">
        <v>22630</v>
      </c>
      <c r="AH802" s="106">
        <v>35340.077363289529</v>
      </c>
      <c r="AI802" s="106">
        <v>39864.416490038151</v>
      </c>
      <c r="AJ802" s="106">
        <v>46293.495337007203</v>
      </c>
      <c r="AK802" s="104">
        <v>29468.095167443833</v>
      </c>
      <c r="AL802" s="118"/>
      <c r="AM802" s="118">
        <v>3792</v>
      </c>
      <c r="AN802" s="118">
        <v>130586</v>
      </c>
      <c r="AO802" s="118">
        <v>597</v>
      </c>
      <c r="AP802" s="118">
        <f t="shared" si="12"/>
        <v>2812</v>
      </c>
    </row>
    <row r="803" spans="1:42" ht="12.75">
      <c r="A803" s="106">
        <v>2018</v>
      </c>
      <c r="B803" s="106">
        <v>-177542</v>
      </c>
      <c r="C803" s="106">
        <v>0</v>
      </c>
      <c r="D803" s="106">
        <v>177542</v>
      </c>
      <c r="E803" s="106" t="s">
        <v>1424</v>
      </c>
      <c r="F803" s="106" t="s">
        <v>1425</v>
      </c>
      <c r="G803" s="106" t="s">
        <v>264</v>
      </c>
      <c r="H803" s="106">
        <v>7</v>
      </c>
      <c r="I803" s="106" t="s">
        <v>3641</v>
      </c>
      <c r="J803" s="106">
        <v>21880</v>
      </c>
      <c r="K803" s="106">
        <v>21886</v>
      </c>
      <c r="L803" s="106">
        <v>21331</v>
      </c>
      <c r="M803" s="106">
        <v>0.44</v>
      </c>
      <c r="N803" s="106">
        <v>0.66</v>
      </c>
      <c r="O803" s="106">
        <v>0.87</v>
      </c>
      <c r="P803" s="106">
        <v>11544</v>
      </c>
      <c r="Q803" s="106">
        <v>6474.5658042744653</v>
      </c>
      <c r="R803" s="106">
        <v>0.40298357824252784</v>
      </c>
      <c r="S803" s="106">
        <v>16425.946006749156</v>
      </c>
      <c r="T803" s="106">
        <v>18381.125984251968</v>
      </c>
      <c r="U803" s="106">
        <v>12105.224971878515</v>
      </c>
      <c r="V803" s="106">
        <v>0.7923858516597756</v>
      </c>
      <c r="W803" s="106">
        <v>52350.354120267264</v>
      </c>
      <c r="X803" s="110">
        <v>0.47948037616959394</v>
      </c>
      <c r="Y803" s="106">
        <v>360.22018348623851</v>
      </c>
      <c r="Z803" s="106">
        <v>12.23394495412844</v>
      </c>
      <c r="AA803" s="106">
        <v>40305.411985018727</v>
      </c>
      <c r="AB803" s="106">
        <v>411.12259321515893</v>
      </c>
      <c r="AC803" s="106">
        <v>2.4810563910665246</v>
      </c>
      <c r="AD803" s="106">
        <v>31.560283687943265</v>
      </c>
      <c r="AE803" s="106">
        <v>98.037453183520597</v>
      </c>
      <c r="AF803" s="106">
        <v>-9.065947814635951E-2</v>
      </c>
      <c r="AG803" s="106">
        <v>20610</v>
      </c>
      <c r="AH803" s="106">
        <v>13644.769403824523</v>
      </c>
      <c r="AI803" s="106">
        <v>16397.461192350955</v>
      </c>
      <c r="AJ803" s="106">
        <v>16704.067491563554</v>
      </c>
      <c r="AK803" s="104">
        <v>12105.224971878515</v>
      </c>
      <c r="AM803" s="118">
        <v>910</v>
      </c>
      <c r="AN803" s="118">
        <v>26176</v>
      </c>
      <c r="AO803" s="118">
        <v>201</v>
      </c>
      <c r="AP803" s="118">
        <f t="shared" si="12"/>
        <v>1270</v>
      </c>
    </row>
    <row r="804" spans="1:42" ht="12.75">
      <c r="A804" s="106">
        <v>2018</v>
      </c>
      <c r="B804" s="106">
        <v>-150756</v>
      </c>
      <c r="C804" s="106">
        <v>0</v>
      </c>
      <c r="D804" s="106">
        <v>150756</v>
      </c>
      <c r="E804" s="106" t="s">
        <v>1426</v>
      </c>
      <c r="F804" s="106" t="s">
        <v>998</v>
      </c>
      <c r="G804" s="106" t="s">
        <v>161</v>
      </c>
      <c r="H804" s="106">
        <v>7</v>
      </c>
      <c r="I804" s="106" t="s">
        <v>3641</v>
      </c>
      <c r="J804" s="106">
        <v>36520</v>
      </c>
      <c r="K804" s="106">
        <v>21548</v>
      </c>
      <c r="L804" s="106">
        <v>14358</v>
      </c>
      <c r="M804" s="106">
        <v>0.33</v>
      </c>
      <c r="N804" s="106">
        <v>0.63</v>
      </c>
      <c r="O804" s="106">
        <v>1</v>
      </c>
      <c r="P804" s="106">
        <v>24262</v>
      </c>
      <c r="Q804" s="106">
        <v>23255.701263537907</v>
      </c>
      <c r="R804" s="106">
        <v>0.61486079767656254</v>
      </c>
      <c r="S804" s="106">
        <v>23835.699458483756</v>
      </c>
      <c r="T804" s="106">
        <v>31918.892599277977</v>
      </c>
      <c r="U804" s="106">
        <v>26208.74617211266</v>
      </c>
      <c r="V804" s="106">
        <v>0.5558071350335585</v>
      </c>
      <c r="W804" s="106">
        <v>75738.864754098366</v>
      </c>
      <c r="X804" s="110">
        <v>0.52254180574393017</v>
      </c>
      <c r="Y804" s="106">
        <v>444.52380952380952</v>
      </c>
      <c r="Z804" s="106">
        <v>13.19047619047619</v>
      </c>
      <c r="AA804" s="106">
        <v>126809.12995065864</v>
      </c>
      <c r="AB804" s="106">
        <v>777.69927045262</v>
      </c>
      <c r="AC804" s="106">
        <v>0.78858675269603962</v>
      </c>
      <c r="AD804" s="106">
        <v>21.125461254612546</v>
      </c>
      <c r="AE804" s="106">
        <v>163.05676855895197</v>
      </c>
      <c r="AF804" s="106">
        <v>5.8443554099146091E-3</v>
      </c>
      <c r="AG804" s="106">
        <v>35750</v>
      </c>
      <c r="AH804" s="106">
        <v>24290.305956678701</v>
      </c>
      <c r="AI804" s="106">
        <v>26171.649819494585</v>
      </c>
      <c r="AJ804" s="106">
        <v>32922.491877256318</v>
      </c>
      <c r="AK804" s="104">
        <v>26323.294223826713</v>
      </c>
      <c r="AL804" s="118"/>
      <c r="AM804" s="118">
        <v>1089</v>
      </c>
      <c r="AN804" s="118">
        <v>37340</v>
      </c>
      <c r="AO804" s="118">
        <v>229</v>
      </c>
      <c r="AP804" s="118">
        <f t="shared" si="12"/>
        <v>770</v>
      </c>
    </row>
    <row r="805" spans="1:42" ht="12.75">
      <c r="A805" s="106">
        <v>2018</v>
      </c>
      <c r="B805" s="106">
        <v>-107044</v>
      </c>
      <c r="C805" s="106">
        <v>0</v>
      </c>
      <c r="D805" s="106">
        <v>107044</v>
      </c>
      <c r="E805" s="106" t="s">
        <v>1428</v>
      </c>
      <c r="F805" s="106" t="s">
        <v>1429</v>
      </c>
      <c r="G805" s="106" t="s">
        <v>200</v>
      </c>
      <c r="H805" s="106">
        <v>6</v>
      </c>
      <c r="I805" s="106" t="s">
        <v>3640</v>
      </c>
      <c r="J805" s="106">
        <v>19190</v>
      </c>
      <c r="K805" s="106">
        <v>19580</v>
      </c>
      <c r="L805" s="106">
        <v>14795</v>
      </c>
      <c r="M805" s="106">
        <v>0.23</v>
      </c>
      <c r="N805" s="106">
        <v>0.59</v>
      </c>
      <c r="O805" s="106">
        <v>0.95</v>
      </c>
      <c r="P805" s="106">
        <v>8783</v>
      </c>
      <c r="Q805" s="106">
        <v>5799.9953452288592</v>
      </c>
      <c r="R805" s="106">
        <v>0.28146674213288447</v>
      </c>
      <c r="S805" s="106">
        <v>26302.430954228083</v>
      </c>
      <c r="T805" s="106">
        <v>24662.213925523662</v>
      </c>
      <c r="U805" s="106">
        <v>18403.350959254509</v>
      </c>
      <c r="V805" s="106">
        <v>0.80454534218163676</v>
      </c>
      <c r="W805" s="106">
        <v>71858.205882352937</v>
      </c>
      <c r="X805" s="110">
        <v>0.53157819136962081</v>
      </c>
      <c r="Y805" s="106">
        <v>396.12558139534883</v>
      </c>
      <c r="Z805" s="106">
        <v>14.388837209302327</v>
      </c>
      <c r="AA805" s="106">
        <v>71397.801012728552</v>
      </c>
      <c r="AB805" s="106">
        <v>668.48200039392896</v>
      </c>
      <c r="AC805" s="106">
        <v>1.4006033600694838</v>
      </c>
      <c r="AD805" s="106">
        <v>26.767371601208463</v>
      </c>
      <c r="AE805" s="106">
        <v>106.80586907449209</v>
      </c>
      <c r="AF805" s="106">
        <v>7.1812411664219492E-2</v>
      </c>
      <c r="AG805" s="106">
        <v>18690</v>
      </c>
      <c r="AH805" s="106">
        <v>22574.134794414276</v>
      </c>
      <c r="AI805" s="106">
        <v>26302.430954228083</v>
      </c>
      <c r="AJ805" s="106">
        <v>28903.180954228083</v>
      </c>
      <c r="AK805" s="104">
        <v>18850.186966640806</v>
      </c>
      <c r="AL805" s="118"/>
      <c r="AM805" s="118">
        <v>4184</v>
      </c>
      <c r="AN805" s="118">
        <v>141945</v>
      </c>
      <c r="AO805" s="118">
        <v>921</v>
      </c>
      <c r="AP805" s="118">
        <f t="shared" si="12"/>
        <v>500</v>
      </c>
    </row>
    <row r="806" spans="1:42" ht="12.75">
      <c r="A806" s="106">
        <v>2018</v>
      </c>
      <c r="B806" s="106">
        <v>-225247</v>
      </c>
      <c r="C806" s="106">
        <v>0</v>
      </c>
      <c r="D806" s="106">
        <v>225247</v>
      </c>
      <c r="E806" s="106" t="s">
        <v>1427</v>
      </c>
      <c r="F806" s="106" t="s">
        <v>59</v>
      </c>
      <c r="G806" s="106" t="s">
        <v>60</v>
      </c>
      <c r="H806" s="106">
        <v>6</v>
      </c>
      <c r="I806" s="106" t="s">
        <v>3640</v>
      </c>
      <c r="J806" s="106">
        <v>27440</v>
      </c>
      <c r="K806" s="106">
        <v>21306</v>
      </c>
      <c r="L806" s="106">
        <v>18376</v>
      </c>
      <c r="M806" s="106">
        <v>0.37</v>
      </c>
      <c r="N806" s="106">
        <v>0.7</v>
      </c>
      <c r="O806" s="106">
        <v>1</v>
      </c>
      <c r="P806" s="106">
        <v>13917</v>
      </c>
      <c r="Q806" s="106">
        <v>10290.61298076923</v>
      </c>
      <c r="R806" s="106">
        <v>0.45779550221409065</v>
      </c>
      <c r="S806" s="106">
        <v>20183.457692307693</v>
      </c>
      <c r="T806" s="106">
        <v>23538.483653846153</v>
      </c>
      <c r="U806" s="106">
        <v>20397.269711538462</v>
      </c>
      <c r="V806" s="106">
        <v>0.59753149465870492</v>
      </c>
      <c r="W806" s="106">
        <v>74504.882562277577</v>
      </c>
      <c r="X806" s="110">
        <v>0.57014848392912054</v>
      </c>
      <c r="Y806" s="106">
        <v>345.75</v>
      </c>
      <c r="Z806" s="106">
        <v>12.580645161290322</v>
      </c>
      <c r="AA806" s="106">
        <v>98209.076388888891</v>
      </c>
      <c r="AB806" s="106">
        <v>742.18600867678958</v>
      </c>
      <c r="AC806" s="106">
        <v>1.0182358258214281</v>
      </c>
      <c r="AD806" s="106">
        <v>21.621621621621621</v>
      </c>
      <c r="AE806" s="106">
        <v>132.32407407407408</v>
      </c>
      <c r="AF806" s="106">
        <v>8.8885231185719185E-2</v>
      </c>
      <c r="AG806" s="106">
        <v>26240</v>
      </c>
      <c r="AH806" s="106">
        <v>16005.609134615384</v>
      </c>
      <c r="AI806" s="106">
        <v>20183.457692307693</v>
      </c>
      <c r="AJ806" s="106">
        <v>31806.73798076923</v>
      </c>
      <c r="AK806" s="104">
        <v>20397.269711538462</v>
      </c>
      <c r="AL806" s="118"/>
      <c r="AM806" s="118">
        <v>1742</v>
      </c>
      <c r="AN806" s="118">
        <v>57164</v>
      </c>
      <c r="AO806" s="118">
        <v>291</v>
      </c>
      <c r="AP806" s="118">
        <f t="shared" si="12"/>
        <v>1200</v>
      </c>
    </row>
    <row r="807" spans="1:42" ht="12.75">
      <c r="A807" s="106">
        <v>2018</v>
      </c>
      <c r="B807" s="106">
        <v>-162706</v>
      </c>
      <c r="C807" s="106">
        <v>0</v>
      </c>
      <c r="D807" s="106">
        <v>162706</v>
      </c>
      <c r="E807" s="106" t="s">
        <v>1430</v>
      </c>
      <c r="F807" s="106" t="s">
        <v>1431</v>
      </c>
      <c r="G807" s="106" t="s">
        <v>124</v>
      </c>
      <c r="H807" s="106">
        <v>4</v>
      </c>
      <c r="I807" s="106" t="s">
        <v>24</v>
      </c>
      <c r="J807" s="106">
        <v>3643</v>
      </c>
      <c r="K807" s="106">
        <v>7243</v>
      </c>
      <c r="L807" s="106">
        <v>6040</v>
      </c>
      <c r="M807" s="106">
        <v>0.34</v>
      </c>
      <c r="N807" s="106">
        <v>0.17</v>
      </c>
      <c r="O807" s="106">
        <v>0.17</v>
      </c>
      <c r="P807" s="106">
        <v>1819</v>
      </c>
      <c r="Q807" s="106">
        <v>333.7011462882096</v>
      </c>
      <c r="R807" s="106">
        <v>5.6189035591920733E-2</v>
      </c>
      <c r="S807" s="106">
        <v>16755.472161572052</v>
      </c>
      <c r="T807" s="106">
        <v>17499.477074235809</v>
      </c>
      <c r="U807" s="106">
        <v>12173.295032751092</v>
      </c>
      <c r="V807" s="106">
        <v>0.46045054460855989</v>
      </c>
      <c r="W807" s="106">
        <v>61089.077147866738</v>
      </c>
      <c r="X807" s="110">
        <v>0.54339017678694201</v>
      </c>
      <c r="Y807" s="106">
        <v>519.32598425196841</v>
      </c>
      <c r="Z807" s="106">
        <v>17.31023622047244</v>
      </c>
      <c r="AA807" s="106">
        <v>46802.678908709342</v>
      </c>
      <c r="AB807" s="106">
        <v>405.76173538080855</v>
      </c>
      <c r="AC807" s="106">
        <v>2.1366298325583957</v>
      </c>
      <c r="AD807" s="106">
        <v>27.213021130782412</v>
      </c>
      <c r="AE807" s="106">
        <v>115.34522560335782</v>
      </c>
      <c r="AF807" s="106">
        <v>-1.1303341406143867E-2</v>
      </c>
      <c r="AG807" s="106">
        <v>3036</v>
      </c>
      <c r="AH807" s="106">
        <v>16476.209879912665</v>
      </c>
      <c r="AI807" s="106">
        <v>16642.142467248908</v>
      </c>
      <c r="AJ807" s="106">
        <v>16864.175764192139</v>
      </c>
      <c r="AK807" s="104">
        <v>12495.573962882096</v>
      </c>
      <c r="AL807" s="119">
        <v>28088401</v>
      </c>
      <c r="AM807" s="118">
        <v>6109</v>
      </c>
      <c r="AN807" s="118">
        <v>109924</v>
      </c>
      <c r="AO807" s="118">
        <v>883</v>
      </c>
      <c r="AP807" s="118">
        <f t="shared" si="12"/>
        <v>607</v>
      </c>
    </row>
    <row r="808" spans="1:42" ht="12.75">
      <c r="A808" s="106">
        <v>2018</v>
      </c>
      <c r="B808" s="106">
        <v>1682</v>
      </c>
      <c r="C808" s="106">
        <v>1</v>
      </c>
      <c r="D808" s="106">
        <v>212878</v>
      </c>
      <c r="E808" s="106" t="s">
        <v>3852</v>
      </c>
      <c r="F808" s="106" t="s">
        <v>1433</v>
      </c>
      <c r="G808" s="106" t="s">
        <v>104</v>
      </c>
      <c r="H808" s="106">
        <v>4</v>
      </c>
      <c r="I808" s="106" t="s">
        <v>24</v>
      </c>
      <c r="J808" s="106">
        <v>6473</v>
      </c>
      <c r="K808" s="106">
        <v>11305</v>
      </c>
      <c r="L808" s="106">
        <v>10179</v>
      </c>
      <c r="M808" s="106">
        <v>0.52</v>
      </c>
      <c r="N808" s="106">
        <v>0.56999999999999995</v>
      </c>
      <c r="O808" s="106">
        <v>0.01</v>
      </c>
      <c r="P808" s="106">
        <v>953</v>
      </c>
      <c r="Q808" s="106">
        <v>974.6940742074928</v>
      </c>
      <c r="R808" s="106">
        <v>0.13841552949424632</v>
      </c>
      <c r="S808" s="106">
        <v>14756.584924351586</v>
      </c>
      <c r="T808" s="106">
        <v>15615.227575648414</v>
      </c>
      <c r="U808" s="106">
        <v>12630.159990988515</v>
      </c>
      <c r="V808" s="106">
        <v>0.48036628437529</v>
      </c>
      <c r="W808" s="106">
        <v>73080.358565737042</v>
      </c>
      <c r="X808" s="110">
        <v>0.59947943119029834</v>
      </c>
      <c r="Y808" s="106">
        <v>389.01673803036198</v>
      </c>
      <c r="Z808" s="106">
        <v>12.966913195796028</v>
      </c>
      <c r="AA808" s="106">
        <v>63173.556999971392</v>
      </c>
      <c r="AB808" s="106">
        <v>420.99522267697847</v>
      </c>
      <c r="AC808" s="106">
        <v>1.5829407864440068</v>
      </c>
      <c r="AD808" s="106">
        <v>22.342995169082126</v>
      </c>
      <c r="AE808" s="106">
        <v>150.05765765765767</v>
      </c>
      <c r="AF808" s="106">
        <v>1.7912240524343604E-3</v>
      </c>
      <c r="AG808" s="106">
        <v>5228</v>
      </c>
      <c r="AH808" s="106">
        <v>13394.61140129683</v>
      </c>
      <c r="AI808" s="106">
        <v>13461.179214697406</v>
      </c>
      <c r="AJ808" s="106">
        <v>14834.157600864553</v>
      </c>
      <c r="AK808" s="104">
        <v>14393.652287463978</v>
      </c>
      <c r="AL808" s="119">
        <v>41113488</v>
      </c>
      <c r="AM808" s="118">
        <v>18681</v>
      </c>
      <c r="AN808" s="118">
        <v>333128</v>
      </c>
      <c r="AO808" s="118">
        <v>1960</v>
      </c>
      <c r="AP808" s="118">
        <f t="shared" si="12"/>
        <v>1245</v>
      </c>
    </row>
    <row r="809" spans="1:42" ht="12.75">
      <c r="A809" s="106">
        <v>2018</v>
      </c>
      <c r="B809" s="106">
        <v>-446640</v>
      </c>
      <c r="C809" s="106">
        <v>0</v>
      </c>
      <c r="D809" s="106">
        <v>446640</v>
      </c>
      <c r="E809" s="106" t="s">
        <v>1434</v>
      </c>
      <c r="F809" s="106" t="s">
        <v>1433</v>
      </c>
      <c r="G809" s="106" t="s">
        <v>104</v>
      </c>
      <c r="H809" s="106">
        <v>6</v>
      </c>
      <c r="I809" s="106" t="s">
        <v>3640</v>
      </c>
      <c r="J809" s="106">
        <v>23900</v>
      </c>
      <c r="K809" s="106">
        <v>13909</v>
      </c>
      <c r="L809" s="106">
        <v>13762</v>
      </c>
      <c r="M809" s="106">
        <v>0.67</v>
      </c>
      <c r="N809" s="106">
        <v>0.85</v>
      </c>
      <c r="O809" s="106">
        <v>0.97</v>
      </c>
      <c r="P809" s="106">
        <v>15031</v>
      </c>
      <c r="Q809" s="106">
        <v>1764.1936483346244</v>
      </c>
      <c r="R809" s="106">
        <v>0.11621869959608234</v>
      </c>
      <c r="S809" s="106">
        <v>15722.166279369998</v>
      </c>
      <c r="T809" s="106">
        <v>12801.03072553576</v>
      </c>
      <c r="U809" s="106">
        <v>12566.337464497805</v>
      </c>
      <c r="V809" s="106">
        <v>1.0675945113384842</v>
      </c>
      <c r="W809" s="106">
        <v>99730.840579710144</v>
      </c>
      <c r="X809" s="110">
        <v>0.41639680447885441</v>
      </c>
      <c r="Y809" s="106">
        <v>872.91793313069911</v>
      </c>
      <c r="Z809" s="106">
        <v>35.316109422492403</v>
      </c>
      <c r="AA809" s="106">
        <v>64979.205607476637</v>
      </c>
      <c r="AB809" s="106">
        <v>508.40306069152825</v>
      </c>
      <c r="AC809" s="106">
        <v>1.5389538709364248</v>
      </c>
      <c r="AD809" s="106">
        <v>19.329032258064515</v>
      </c>
      <c r="AE809" s="106">
        <v>127.81041388518024</v>
      </c>
      <c r="AF809" s="106">
        <v>0.54227676430910732</v>
      </c>
      <c r="AG809" s="106">
        <v>23900</v>
      </c>
      <c r="AH809" s="106">
        <v>13813.958946553059</v>
      </c>
      <c r="AI809" s="106">
        <v>13957.972631035373</v>
      </c>
      <c r="AJ809" s="106">
        <v>15776.965659695326</v>
      </c>
      <c r="AK809" s="104">
        <v>12566.337464497805</v>
      </c>
      <c r="AM809" s="118">
        <v>509</v>
      </c>
      <c r="AN809" s="118">
        <v>95730</v>
      </c>
      <c r="AO809" s="118">
        <v>49</v>
      </c>
      <c r="AP809" s="118">
        <f t="shared" si="12"/>
        <v>0</v>
      </c>
    </row>
    <row r="810" spans="1:42" ht="12.75">
      <c r="A810" s="106">
        <v>2018</v>
      </c>
      <c r="B810" s="106">
        <v>-177551</v>
      </c>
      <c r="C810" s="106">
        <v>0</v>
      </c>
      <c r="D810" s="106">
        <v>177551</v>
      </c>
      <c r="E810" s="106" t="s">
        <v>1432</v>
      </c>
      <c r="F810" s="106" t="s">
        <v>1259</v>
      </c>
      <c r="G810" s="106" t="s">
        <v>264</v>
      </c>
      <c r="H810" s="106">
        <v>3</v>
      </c>
      <c r="I810" s="104" t="s">
        <v>26</v>
      </c>
      <c r="J810" s="106">
        <v>5340</v>
      </c>
      <c r="K810" s="106">
        <v>11245</v>
      </c>
      <c r="L810" s="106">
        <v>10655</v>
      </c>
      <c r="M810" s="106">
        <v>0.82</v>
      </c>
      <c r="N810" s="106">
        <v>0.76</v>
      </c>
      <c r="O810" s="106">
        <v>0.51</v>
      </c>
      <c r="P810" s="106">
        <v>5505</v>
      </c>
      <c r="Q810" s="107">
        <v>3119.2210937499999</v>
      </c>
      <c r="R810" s="106">
        <v>0.37913141690076302</v>
      </c>
      <c r="S810" s="106">
        <v>25402.537499999999</v>
      </c>
      <c r="T810" s="106">
        <v>27570.489062500001</v>
      </c>
      <c r="U810" s="106">
        <v>14796.339193569725</v>
      </c>
      <c r="V810" s="106">
        <v>0.34522464446610479</v>
      </c>
      <c r="W810" s="106">
        <v>92095.490163934417</v>
      </c>
      <c r="X810" s="110">
        <v>0.53063086079414734</v>
      </c>
      <c r="Y810" s="106">
        <v>505.28947368421052</v>
      </c>
      <c r="Z810" s="106">
        <v>16.842105263157894</v>
      </c>
      <c r="AA810" s="106">
        <v>105806.22440094553</v>
      </c>
      <c r="AB810" s="106">
        <v>493.18561970129809</v>
      </c>
      <c r="AC810" s="106">
        <v>0.9451239808071854</v>
      </c>
      <c r="AD810" s="106">
        <v>14.028213166144202</v>
      </c>
      <c r="AE810" s="106">
        <v>214.53631284916202</v>
      </c>
      <c r="AF810" s="106">
        <v>-2.5185148593206044E-2</v>
      </c>
      <c r="AG810" s="106">
        <v>4896</v>
      </c>
      <c r="AH810" s="106">
        <v>21846.260156249999</v>
      </c>
      <c r="AI810" s="106">
        <v>22826.235937500001</v>
      </c>
      <c r="AJ810" s="106">
        <v>25603.063281250001</v>
      </c>
      <c r="AK810" s="104">
        <v>21340.395312500001</v>
      </c>
      <c r="AL810" s="119">
        <v>9177423</v>
      </c>
      <c r="AM810" s="118">
        <v>1442</v>
      </c>
      <c r="AN810" s="118">
        <v>38402</v>
      </c>
      <c r="AO810" s="118">
        <v>176</v>
      </c>
      <c r="AP810" s="118">
        <f t="shared" si="12"/>
        <v>444</v>
      </c>
    </row>
    <row r="811" spans="1:42" ht="12.75">
      <c r="A811" s="106">
        <v>2018</v>
      </c>
      <c r="B811" s="106">
        <v>-115393</v>
      </c>
      <c r="C811" s="106">
        <v>0</v>
      </c>
      <c r="D811" s="106">
        <v>115393</v>
      </c>
      <c r="E811" s="106" t="s">
        <v>1435</v>
      </c>
      <c r="F811" s="106" t="s">
        <v>1436</v>
      </c>
      <c r="G811" s="106" t="s">
        <v>121</v>
      </c>
      <c r="H811" s="106">
        <v>4</v>
      </c>
      <c r="I811" s="106" t="s">
        <v>24</v>
      </c>
      <c r="J811" s="106">
        <v>1420</v>
      </c>
      <c r="K811" s="106">
        <v>6532</v>
      </c>
      <c r="L811" s="106">
        <v>2656</v>
      </c>
      <c r="M811" s="106">
        <v>0.54</v>
      </c>
      <c r="N811" s="106">
        <v>0</v>
      </c>
      <c r="O811" s="106">
        <v>0.01</v>
      </c>
      <c r="P811" s="106">
        <v>1000</v>
      </c>
      <c r="Q811" s="106"/>
      <c r="R811" s="106"/>
      <c r="S811" s="106">
        <v>13361.646247054863</v>
      </c>
      <c r="T811" s="106">
        <v>16517.276506226859</v>
      </c>
      <c r="U811" s="106">
        <v>10915.483209062668</v>
      </c>
      <c r="V811" s="106">
        <v>6.9272537302242379E-2</v>
      </c>
      <c r="W811" s="106">
        <v>124647.33095238096</v>
      </c>
      <c r="X811" s="110">
        <v>0.53341004177087525</v>
      </c>
      <c r="Y811" s="106">
        <v>830.42701863354034</v>
      </c>
      <c r="Z811" s="106">
        <v>27.680124223602483</v>
      </c>
      <c r="AA811" s="106">
        <v>29348.326347624603</v>
      </c>
      <c r="AB811" s="106">
        <v>363.83923500547144</v>
      </c>
      <c r="AC811" s="106">
        <v>3.4073493260065852</v>
      </c>
      <c r="AD811" s="106">
        <v>35.247208931419458</v>
      </c>
      <c r="AE811" s="106">
        <v>80.662895927601809</v>
      </c>
      <c r="AF811" s="106">
        <v>0.8986664752189879</v>
      </c>
      <c r="AG811" s="106">
        <v>1400</v>
      </c>
      <c r="AH811" s="106">
        <v>11806.639010434197</v>
      </c>
      <c r="AI811" s="106">
        <v>11806.639010434197</v>
      </c>
      <c r="AJ811" s="106">
        <v>13550.686469202288</v>
      </c>
      <c r="AK811" s="104">
        <v>13692.529787950185</v>
      </c>
      <c r="AL811" s="118">
        <v>41867875</v>
      </c>
      <c r="AM811" s="118">
        <v>12072</v>
      </c>
      <c r="AN811" s="118">
        <v>178265</v>
      </c>
      <c r="AO811" s="118">
        <v>1320</v>
      </c>
      <c r="AP811" s="118">
        <f t="shared" si="12"/>
        <v>20</v>
      </c>
    </row>
    <row r="812" spans="1:42" ht="12.75">
      <c r="A812" s="106">
        <v>2018</v>
      </c>
      <c r="B812" s="106">
        <v>-191533</v>
      </c>
      <c r="C812" s="106">
        <v>0</v>
      </c>
      <c r="D812" s="106">
        <v>191533</v>
      </c>
      <c r="E812" s="106" t="s">
        <v>1437</v>
      </c>
      <c r="F812" s="106" t="s">
        <v>1438</v>
      </c>
      <c r="G812" s="106" t="s">
        <v>69</v>
      </c>
      <c r="H812" s="106">
        <v>7</v>
      </c>
      <c r="I812" s="106" t="s">
        <v>3641</v>
      </c>
      <c r="J812" s="106">
        <v>44134</v>
      </c>
      <c r="K812" s="106">
        <v>23873</v>
      </c>
      <c r="L812" s="106">
        <v>18692</v>
      </c>
      <c r="M812" s="106">
        <v>0.46</v>
      </c>
      <c r="N812" s="106">
        <v>0.82</v>
      </c>
      <c r="O812" s="106">
        <v>1</v>
      </c>
      <c r="P812" s="106">
        <v>29633</v>
      </c>
      <c r="Q812" s="106">
        <v>24624.989881956157</v>
      </c>
      <c r="R812" s="106">
        <v>0.57459964080584713</v>
      </c>
      <c r="S812" s="106">
        <v>33265.048060708265</v>
      </c>
      <c r="T812" s="106">
        <v>40996.3760539629</v>
      </c>
      <c r="U812" s="106">
        <v>32592.594356158967</v>
      </c>
      <c r="V812" s="106">
        <v>0.55935771348635144</v>
      </c>
      <c r="W812" s="106">
        <v>77883.43392299689</v>
      </c>
      <c r="X812" s="110">
        <v>0.51311778431779287</v>
      </c>
      <c r="Y812" s="106">
        <v>278.05181347150261</v>
      </c>
      <c r="Z812" s="106">
        <v>9.2176165803108816</v>
      </c>
      <c r="AA812" s="106">
        <v>141075.97411096544</v>
      </c>
      <c r="AB812" s="106">
        <v>1080.4678249777653</v>
      </c>
      <c r="AC812" s="106">
        <v>0.708837919639977</v>
      </c>
      <c r="AD812" s="106">
        <v>23.063973063973066</v>
      </c>
      <c r="AE812" s="106">
        <v>130.56934306569343</v>
      </c>
      <c r="AF812" s="106">
        <v>-1.115147624882556E-2</v>
      </c>
      <c r="AG812" s="106">
        <v>43312</v>
      </c>
      <c r="AH812" s="106">
        <v>28729.960370994941</v>
      </c>
      <c r="AI812" s="106">
        <v>33265.048060708265</v>
      </c>
      <c r="AJ812" s="106">
        <v>39993.091905564921</v>
      </c>
      <c r="AK812" s="104">
        <v>33303.077571669477</v>
      </c>
      <c r="AL812" s="119">
        <v>369297</v>
      </c>
      <c r="AM812" s="118">
        <v>1201</v>
      </c>
      <c r="AN812" s="118">
        <v>35776</v>
      </c>
      <c r="AO812" s="118">
        <v>274</v>
      </c>
      <c r="AP812" s="118">
        <f t="shared" si="12"/>
        <v>822</v>
      </c>
    </row>
    <row r="813" spans="1:42" ht="12.75">
      <c r="A813" s="106">
        <v>2018</v>
      </c>
      <c r="B813" s="106">
        <v>-166027</v>
      </c>
      <c r="C813" s="106">
        <v>0</v>
      </c>
      <c r="D813" s="106">
        <v>166027</v>
      </c>
      <c r="E813" s="106" t="s">
        <v>1439</v>
      </c>
      <c r="F813" s="106" t="s">
        <v>573</v>
      </c>
      <c r="G813" s="106" t="s">
        <v>150</v>
      </c>
      <c r="H813" s="106">
        <v>5</v>
      </c>
      <c r="I813" s="106" t="s">
        <v>3639</v>
      </c>
      <c r="J813" s="106">
        <v>48949</v>
      </c>
      <c r="K813" s="106">
        <v>17590</v>
      </c>
      <c r="L813" s="106">
        <v>2382</v>
      </c>
      <c r="M813" s="106">
        <v>0.17</v>
      </c>
      <c r="N813" s="106">
        <v>0.06</v>
      </c>
      <c r="O813" s="106">
        <v>0.55000000000000004</v>
      </c>
      <c r="P813" s="106">
        <v>51259</v>
      </c>
      <c r="Q813" s="106">
        <v>20423.517471364361</v>
      </c>
      <c r="R813" s="106">
        <v>0.41096851602644757</v>
      </c>
      <c r="S813" s="106">
        <v>139466.39843410178</v>
      </c>
      <c r="T813" s="106">
        <v>181925.36610120343</v>
      </c>
      <c r="U813" s="106">
        <v>88792.500174748871</v>
      </c>
      <c r="V813" s="106">
        <v>0.32967363208489076</v>
      </c>
      <c r="W813" s="106">
        <v>145095.84295612009</v>
      </c>
      <c r="X813" s="110">
        <v>0.50071359447789654</v>
      </c>
      <c r="Y813" s="106">
        <v>144.79521276595744</v>
      </c>
      <c r="Z813" s="106">
        <v>6.1143617021276597</v>
      </c>
      <c r="AA813" s="106">
        <v>298696.19495439238</v>
      </c>
      <c r="AB813" s="106">
        <v>3749.4987032630029</v>
      </c>
      <c r="AC813" s="106">
        <v>0.33478832904205191</v>
      </c>
      <c r="AD813" s="106">
        <v>33.007325122756178</v>
      </c>
      <c r="AE813" s="106">
        <v>79.662967930740152</v>
      </c>
      <c r="AF813" s="106">
        <v>6.5283759982374484E-2</v>
      </c>
      <c r="AG813" s="106">
        <v>44990</v>
      </c>
      <c r="AH813" s="106">
        <v>83558.721183123096</v>
      </c>
      <c r="AI813" s="106">
        <v>134971.72683775556</v>
      </c>
      <c r="AJ813" s="106">
        <v>283200.99318544293</v>
      </c>
      <c r="AK813" s="104">
        <v>161473.82920110194</v>
      </c>
      <c r="AL813" s="118"/>
      <c r="AM813" s="118">
        <v>9965</v>
      </c>
      <c r="AN813" s="118">
        <v>653316</v>
      </c>
      <c r="AO813" s="118">
        <v>1823</v>
      </c>
      <c r="AP813" s="118">
        <f t="shared" si="12"/>
        <v>3959</v>
      </c>
    </row>
    <row r="814" spans="1:42" ht="12.75">
      <c r="A814" s="106">
        <v>2018</v>
      </c>
      <c r="B814" s="106">
        <v>-115409</v>
      </c>
      <c r="C814" s="106">
        <v>0</v>
      </c>
      <c r="D814" s="106">
        <v>115409</v>
      </c>
      <c r="E814" s="106" t="s">
        <v>1440</v>
      </c>
      <c r="F814" s="106" t="s">
        <v>751</v>
      </c>
      <c r="G814" s="106" t="s">
        <v>121</v>
      </c>
      <c r="H814" s="106">
        <v>7</v>
      </c>
      <c r="I814" s="106" t="s">
        <v>3641</v>
      </c>
      <c r="J814" s="106">
        <v>54636</v>
      </c>
      <c r="K814" s="106">
        <v>38768</v>
      </c>
      <c r="L814" s="106">
        <v>23837</v>
      </c>
      <c r="M814" s="106">
        <v>0.14000000000000001</v>
      </c>
      <c r="N814" s="106">
        <v>0.36</v>
      </c>
      <c r="O814" s="106">
        <v>0.67</v>
      </c>
      <c r="P814" s="106">
        <v>33513</v>
      </c>
      <c r="Q814" s="107">
        <v>20994.478662053058</v>
      </c>
      <c r="R814" s="106">
        <v>0.3967618188550423</v>
      </c>
      <c r="S814" s="106">
        <v>75632.422145328717</v>
      </c>
      <c r="T814" s="106">
        <v>77716.12226066897</v>
      </c>
      <c r="U814" s="106">
        <v>60402.730842092365</v>
      </c>
      <c r="V814" s="106">
        <v>0.52845434149715431</v>
      </c>
      <c r="W814" s="106">
        <v>119445.83475479744</v>
      </c>
      <c r="X814" s="110">
        <v>0.55427127665621478</v>
      </c>
      <c r="Y814" s="106">
        <v>252.8679245283019</v>
      </c>
      <c r="Z814" s="106">
        <v>8.1792452830188687</v>
      </c>
      <c r="AA814" s="106">
        <v>284615.04152225045</v>
      </c>
      <c r="AB814" s="106">
        <v>1953.7818101810954</v>
      </c>
      <c r="AC814" s="106">
        <v>0.35135177489269231</v>
      </c>
      <c r="AD814" s="106">
        <v>21.621621621621621</v>
      </c>
      <c r="AE814" s="106">
        <v>145.67391304347825</v>
      </c>
      <c r="AF814" s="106">
        <v>7.1976715200071331E-2</v>
      </c>
      <c r="AG814" s="106">
        <v>54347</v>
      </c>
      <c r="AH814" s="106">
        <v>51956.200692041522</v>
      </c>
      <c r="AI814" s="106">
        <v>75743.35755478662</v>
      </c>
      <c r="AJ814" s="106">
        <v>111603.70011534025</v>
      </c>
      <c r="AK814" s="104">
        <v>67186.928489042679</v>
      </c>
      <c r="AL814" s="118"/>
      <c r="AM814" s="118">
        <v>861</v>
      </c>
      <c r="AN814" s="118">
        <v>26804</v>
      </c>
      <c r="AO814" s="118">
        <v>184</v>
      </c>
      <c r="AP814" s="118">
        <f t="shared" si="12"/>
        <v>289</v>
      </c>
    </row>
    <row r="815" spans="1:42" ht="12.75">
      <c r="A815" s="106">
        <v>2018</v>
      </c>
      <c r="B815" s="106">
        <v>-181127</v>
      </c>
      <c r="C815" s="106">
        <v>0</v>
      </c>
      <c r="D815" s="106">
        <v>181127</v>
      </c>
      <c r="E815" s="106" t="s">
        <v>1441</v>
      </c>
      <c r="F815" s="106" t="s">
        <v>1442</v>
      </c>
      <c r="G815" s="106" t="s">
        <v>323</v>
      </c>
      <c r="H815" s="106">
        <v>7</v>
      </c>
      <c r="I815" s="106" t="s">
        <v>3641</v>
      </c>
      <c r="J815" s="106">
        <v>29200</v>
      </c>
      <c r="K815" s="106">
        <v>21351</v>
      </c>
      <c r="L815" s="106">
        <v>17664</v>
      </c>
      <c r="M815" s="106">
        <v>0.32</v>
      </c>
      <c r="N815" s="106">
        <v>0.75</v>
      </c>
      <c r="O815" s="106">
        <v>1</v>
      </c>
      <c r="P815" s="106">
        <v>19407</v>
      </c>
      <c r="Q815" s="106">
        <v>16726.426421404682</v>
      </c>
      <c r="R815" s="106">
        <v>0.65533332499076036</v>
      </c>
      <c r="S815" s="106">
        <v>18825.193979933112</v>
      </c>
      <c r="T815" s="106">
        <v>23585.345317725754</v>
      </c>
      <c r="U815" s="106">
        <v>19779.848662207358</v>
      </c>
      <c r="V815" s="106">
        <v>0.44475131547305058</v>
      </c>
      <c r="W815" s="106">
        <v>69797.553082191778</v>
      </c>
      <c r="X815" s="110">
        <v>0.48167973047999413</v>
      </c>
      <c r="Y815" s="106">
        <v>444.22406639004151</v>
      </c>
      <c r="Z815" s="106">
        <v>14.887966804979254</v>
      </c>
      <c r="AA815" s="106">
        <v>83592.57597173145</v>
      </c>
      <c r="AB815" s="106">
        <v>662.91259877823234</v>
      </c>
      <c r="AC815" s="106">
        <v>1.1962784833167128</v>
      </c>
      <c r="AD815" s="106">
        <v>24.846356453028974</v>
      </c>
      <c r="AE815" s="106">
        <v>126.09893992932862</v>
      </c>
      <c r="AF815" s="106">
        <v>-1.1287128347516532E-2</v>
      </c>
      <c r="AG815" s="106">
        <v>27800</v>
      </c>
      <c r="AH815" s="106">
        <v>15344.188963210703</v>
      </c>
      <c r="AI815" s="106">
        <v>19055.520903010034</v>
      </c>
      <c r="AJ815" s="106">
        <v>23259.463210702343</v>
      </c>
      <c r="AK815" s="104">
        <v>19779.848662207358</v>
      </c>
      <c r="AL815" s="118"/>
      <c r="AM815" s="118">
        <v>1155</v>
      </c>
      <c r="AN815" s="118">
        <v>35686</v>
      </c>
      <c r="AO815" s="118">
        <v>271</v>
      </c>
      <c r="AP815" s="118">
        <f t="shared" si="12"/>
        <v>1400</v>
      </c>
    </row>
    <row r="816" spans="1:42" ht="12.75">
      <c r="A816" s="106">
        <v>2018</v>
      </c>
      <c r="B816" s="106">
        <v>-212911</v>
      </c>
      <c r="C816" s="106">
        <v>0</v>
      </c>
      <c r="D816" s="106">
        <v>212911</v>
      </c>
      <c r="E816" s="106" t="s">
        <v>1443</v>
      </c>
      <c r="F816" s="106" t="s">
        <v>1444</v>
      </c>
      <c r="G816" s="106" t="s">
        <v>104</v>
      </c>
      <c r="H816" s="106">
        <v>7</v>
      </c>
      <c r="I816" s="106" t="s">
        <v>3641</v>
      </c>
      <c r="J816" s="106">
        <v>52754</v>
      </c>
      <c r="K816" s="106">
        <v>25362</v>
      </c>
      <c r="L816" s="106">
        <v>15184</v>
      </c>
      <c r="M816" s="106">
        <v>0.14000000000000001</v>
      </c>
      <c r="N816" s="106">
        <v>0.19</v>
      </c>
      <c r="O816" s="106">
        <v>0.48</v>
      </c>
      <c r="P816" s="106">
        <v>44824</v>
      </c>
      <c r="Q816" s="106">
        <v>21698.199417758369</v>
      </c>
      <c r="R816" s="106">
        <v>0.42170380051496731</v>
      </c>
      <c r="S816" s="106">
        <v>75686.063318777291</v>
      </c>
      <c r="T816" s="106">
        <v>75936.483988355161</v>
      </c>
      <c r="U816" s="106">
        <v>56510.546040703513</v>
      </c>
      <c r="V816" s="106">
        <v>0.52654684596795576</v>
      </c>
      <c r="W816" s="106">
        <v>99140.25792106727</v>
      </c>
      <c r="X816" s="110">
        <v>0.56980038160866631</v>
      </c>
      <c r="Y816" s="106">
        <v>239.73255813953489</v>
      </c>
      <c r="Z816" s="106">
        <v>7.9883720930232558</v>
      </c>
      <c r="AA816" s="106">
        <v>244168.20836454915</v>
      </c>
      <c r="AB816" s="106">
        <v>1883.0453087240294</v>
      </c>
      <c r="AC816" s="106">
        <v>0.40955372802137097</v>
      </c>
      <c r="AD816" s="106">
        <v>24.555984555984555</v>
      </c>
      <c r="AE816" s="106">
        <v>129.66666666666666</v>
      </c>
      <c r="AF816" s="106">
        <v>6.6090696405425961E-2</v>
      </c>
      <c r="AG816" s="106">
        <v>52278</v>
      </c>
      <c r="AH816" s="106">
        <v>51243.525473071328</v>
      </c>
      <c r="AI816" s="106">
        <v>75791.727074235809</v>
      </c>
      <c r="AJ816" s="106">
        <v>102616.10334788938</v>
      </c>
      <c r="AK816" s="104">
        <v>60441.351528384279</v>
      </c>
      <c r="AM816" s="118">
        <v>1296</v>
      </c>
      <c r="AN816" s="118">
        <v>41234</v>
      </c>
      <c r="AO816" s="118">
        <v>318</v>
      </c>
      <c r="AP816" s="118">
        <f t="shared" si="12"/>
        <v>476</v>
      </c>
    </row>
    <row r="817" spans="1:42" ht="12.75">
      <c r="A817" s="106">
        <v>2018</v>
      </c>
      <c r="B817" s="106">
        <v>-383190</v>
      </c>
      <c r="C817" s="106">
        <v>0</v>
      </c>
      <c r="D817" s="106">
        <v>383190</v>
      </c>
      <c r="E817" s="106" t="s">
        <v>1445</v>
      </c>
      <c r="F817" s="106" t="s">
        <v>1446</v>
      </c>
      <c r="G817" s="106" t="s">
        <v>453</v>
      </c>
      <c r="H817" s="106">
        <v>4</v>
      </c>
      <c r="I817" s="106" t="s">
        <v>24</v>
      </c>
      <c r="J817" s="106">
        <v>3084</v>
      </c>
      <c r="K817" s="106">
        <v>11044</v>
      </c>
      <c r="L817" s="106">
        <v>10270</v>
      </c>
      <c r="M817" s="106">
        <v>0.54</v>
      </c>
      <c r="N817" s="106">
        <v>0.09</v>
      </c>
      <c r="O817" s="106">
        <v>0.41</v>
      </c>
      <c r="P817" s="106">
        <v>1973</v>
      </c>
      <c r="Q817" s="106">
        <v>563.78301886792451</v>
      </c>
      <c r="R817" s="106">
        <v>0.11812953627816747</v>
      </c>
      <c r="S817" s="106">
        <v>21835.041509433962</v>
      </c>
      <c r="T817" s="106">
        <v>25920.942767295597</v>
      </c>
      <c r="U817" s="106">
        <v>18449.064179085588</v>
      </c>
      <c r="V817" s="106">
        <v>0.22813081244365888</v>
      </c>
      <c r="W817" s="106">
        <v>106395.88846153846</v>
      </c>
      <c r="X817" s="110">
        <v>0.67119741621712403</v>
      </c>
      <c r="Y817" s="106">
        <v>406.43181818181813</v>
      </c>
      <c r="Z817" s="106">
        <v>13.551136363636363</v>
      </c>
      <c r="AA817" s="106">
        <v>50058.041031989909</v>
      </c>
      <c r="AB817" s="106">
        <v>615.12355403342735</v>
      </c>
      <c r="AC817" s="106">
        <v>1.9976810506047242</v>
      </c>
      <c r="AD817" s="106">
        <v>34.369501466275658</v>
      </c>
      <c r="AE817" s="106">
        <v>81.37883959044369</v>
      </c>
      <c r="AF817" s="106">
        <v>-0.26886558390509457</v>
      </c>
      <c r="AG817" s="106">
        <v>3024</v>
      </c>
      <c r="AH817" s="106">
        <v>20812.152830188679</v>
      </c>
      <c r="AI817" s="106">
        <v>20812.152830188679</v>
      </c>
      <c r="AJ817" s="106">
        <v>21854.787421383648</v>
      </c>
      <c r="AK817" s="104">
        <v>20616.079874213836</v>
      </c>
      <c r="AL817" s="118">
        <v>16282626</v>
      </c>
      <c r="AM817" s="118">
        <v>2819</v>
      </c>
      <c r="AN817" s="118">
        <v>47688</v>
      </c>
      <c r="AO817" s="118">
        <v>405</v>
      </c>
      <c r="AP817" s="118">
        <f t="shared" si="12"/>
        <v>60</v>
      </c>
    </row>
    <row r="818" spans="1:42" ht="12.75">
      <c r="A818" s="106">
        <v>2018</v>
      </c>
      <c r="B818" s="106">
        <v>-141644</v>
      </c>
      <c r="C818" s="106">
        <v>0</v>
      </c>
      <c r="D818" s="106">
        <v>141644</v>
      </c>
      <c r="E818" s="106" t="s">
        <v>1447</v>
      </c>
      <c r="F818" s="106" t="s">
        <v>703</v>
      </c>
      <c r="G818" s="106" t="s">
        <v>453</v>
      </c>
      <c r="H818" s="106">
        <v>6</v>
      </c>
      <c r="I818" s="106" t="s">
        <v>3640</v>
      </c>
      <c r="J818" s="106">
        <v>24550</v>
      </c>
      <c r="K818" s="106">
        <v>27688</v>
      </c>
      <c r="L818" s="106">
        <v>23993</v>
      </c>
      <c r="M818" s="106">
        <v>0.34</v>
      </c>
      <c r="N818" s="106">
        <v>0.62</v>
      </c>
      <c r="O818" s="106">
        <v>0.97</v>
      </c>
      <c r="P818" s="106">
        <v>11802</v>
      </c>
      <c r="Q818" s="107">
        <v>8018.0378029079156</v>
      </c>
      <c r="R818" s="106">
        <v>0.30844685794358306</v>
      </c>
      <c r="S818" s="106">
        <v>24134.490468497577</v>
      </c>
      <c r="T818" s="106">
        <v>27917.22197092084</v>
      </c>
      <c r="U818" s="106">
        <v>19641.743805382957</v>
      </c>
      <c r="V818" s="106">
        <v>0.91523636109554674</v>
      </c>
      <c r="W818" s="106">
        <v>76386.695351758797</v>
      </c>
      <c r="X818" s="110">
        <v>0.46914455222699575</v>
      </c>
      <c r="Y818" s="106">
        <v>394.26637554585153</v>
      </c>
      <c r="Z818" s="106">
        <v>13.51528384279476</v>
      </c>
      <c r="AA818" s="106">
        <v>61654.35809093331</v>
      </c>
      <c r="AB818" s="106">
        <v>673.31063251254602</v>
      </c>
      <c r="AC818" s="106">
        <v>1.621945359523671</v>
      </c>
      <c r="AD818" s="106">
        <v>29.512122119126012</v>
      </c>
      <c r="AE818" s="106">
        <v>91.568965517241381</v>
      </c>
      <c r="AF818" s="106">
        <v>-9.0123551908434837E-2</v>
      </c>
      <c r="AG818" s="106">
        <v>24200</v>
      </c>
      <c r="AH818" s="106">
        <v>22763.536348949918</v>
      </c>
      <c r="AI818" s="106">
        <v>24134.490468497577</v>
      </c>
      <c r="AJ818" s="106">
        <v>25302.977059773828</v>
      </c>
      <c r="AK818" s="104">
        <v>22086.041033925685</v>
      </c>
      <c r="AL818" s="118"/>
      <c r="AM818" s="118">
        <v>3560</v>
      </c>
      <c r="AN818" s="118">
        <v>90287</v>
      </c>
      <c r="AO818" s="118">
        <v>723</v>
      </c>
      <c r="AP818" s="118">
        <f t="shared" si="12"/>
        <v>350</v>
      </c>
    </row>
    <row r="819" spans="1:42" ht="12.75">
      <c r="A819" s="106">
        <v>2018</v>
      </c>
      <c r="B819" s="106">
        <v>-153445</v>
      </c>
      <c r="C819" s="106">
        <v>0</v>
      </c>
      <c r="D819" s="106">
        <v>153445</v>
      </c>
      <c r="E819" s="106" t="s">
        <v>1448</v>
      </c>
      <c r="F819" s="106" t="s">
        <v>1449</v>
      </c>
      <c r="G819" s="106" t="s">
        <v>447</v>
      </c>
      <c r="H819" s="106">
        <v>4</v>
      </c>
      <c r="I819" s="106" t="s">
        <v>24</v>
      </c>
      <c r="J819" s="106">
        <v>5042</v>
      </c>
      <c r="K819" s="106">
        <v>10834</v>
      </c>
      <c r="L819" s="106">
        <v>9392</v>
      </c>
      <c r="M819" s="106">
        <v>0.43</v>
      </c>
      <c r="N819" s="106">
        <v>0.54</v>
      </c>
      <c r="O819" s="106">
        <v>0.2</v>
      </c>
      <c r="P819" s="106">
        <v>1569</v>
      </c>
      <c r="Q819" s="106">
        <v>415.84104994531538</v>
      </c>
      <c r="R819" s="106">
        <v>5.9770206973858035E-2</v>
      </c>
      <c r="S819" s="106">
        <v>22661.168793292018</v>
      </c>
      <c r="T819" s="106">
        <v>23224.285818446955</v>
      </c>
      <c r="U819" s="106">
        <v>21158.353627415239</v>
      </c>
      <c r="V819" s="106">
        <v>0.30916814209549559</v>
      </c>
      <c r="W819" s="106">
        <v>63357.90879478828</v>
      </c>
      <c r="X819" s="110">
        <v>0.50888515761656972</v>
      </c>
      <c r="Y819" s="106">
        <v>339.08653846153845</v>
      </c>
      <c r="Z819" s="106">
        <v>11.303571428571427</v>
      </c>
      <c r="AA819" s="106">
        <v>52051.447533632287</v>
      </c>
      <c r="AB819" s="106">
        <v>705.32131008081672</v>
      </c>
      <c r="AC819" s="106">
        <v>1.9211761581728626</v>
      </c>
      <c r="AD819" s="106">
        <v>31.329025007024448</v>
      </c>
      <c r="AE819" s="106">
        <v>73.79820627802691</v>
      </c>
      <c r="AF819" s="106">
        <v>-1.5131080434820976E-2</v>
      </c>
      <c r="AG819" s="106">
        <v>4828</v>
      </c>
      <c r="AH819" s="106">
        <v>22609.1702515494</v>
      </c>
      <c r="AI819" s="106">
        <v>22609.1702515494</v>
      </c>
      <c r="AJ819" s="106">
        <v>22810.468100619761</v>
      </c>
      <c r="AK819" s="104">
        <v>21614.190302588406</v>
      </c>
      <c r="AL819" s="119">
        <v>26582612</v>
      </c>
      <c r="AM819" s="118">
        <v>5605</v>
      </c>
      <c r="AN819" s="118">
        <v>82285</v>
      </c>
      <c r="AO819" s="118">
        <v>762</v>
      </c>
      <c r="AP819" s="118">
        <f t="shared" si="12"/>
        <v>214</v>
      </c>
    </row>
    <row r="820" spans="1:42" ht="12.75">
      <c r="A820" s="106">
        <v>2018</v>
      </c>
      <c r="B820" s="106">
        <v>-198668</v>
      </c>
      <c r="C820" s="106">
        <v>0</v>
      </c>
      <c r="D820" s="106">
        <v>198668</v>
      </c>
      <c r="E820" s="106" t="s">
        <v>1450</v>
      </c>
      <c r="F820" s="106" t="s">
        <v>1451</v>
      </c>
      <c r="G820" s="106" t="s">
        <v>90</v>
      </c>
      <c r="H820" s="106">
        <v>4</v>
      </c>
      <c r="I820" s="106" t="s">
        <v>24</v>
      </c>
      <c r="J820" s="106">
        <v>2574</v>
      </c>
      <c r="K820" s="106">
        <v>7152</v>
      </c>
      <c r="L820" s="106">
        <v>5089</v>
      </c>
      <c r="M820" s="106">
        <v>0.41</v>
      </c>
      <c r="N820" s="106">
        <v>0.02</v>
      </c>
      <c r="O820" s="106">
        <v>0.13</v>
      </c>
      <c r="P820" s="106">
        <v>1040</v>
      </c>
      <c r="Q820" s="106">
        <v>397.62702702702705</v>
      </c>
      <c r="R820" s="106">
        <v>0.1751996751371557</v>
      </c>
      <c r="S820" s="106">
        <v>17466.651351351353</v>
      </c>
      <c r="T820" s="106">
        <v>18152.283783783783</v>
      </c>
      <c r="U820" s="106">
        <v>7227.325225225225</v>
      </c>
      <c r="V820" s="106">
        <v>0.25900838546801425</v>
      </c>
      <c r="W820" s="106">
        <v>43401.08087291399</v>
      </c>
      <c r="X820" s="110">
        <v>0.5593227665741809</v>
      </c>
      <c r="Y820" s="106">
        <v>247.25495049504946</v>
      </c>
      <c r="Z820" s="106">
        <v>8.2425742574257406</v>
      </c>
      <c r="AA820" s="106">
        <v>13482.909243697479</v>
      </c>
      <c r="AB820" s="106">
        <v>240.93254647565846</v>
      </c>
      <c r="AC820" s="106">
        <v>7.4167969384459456</v>
      </c>
      <c r="AD820" s="106">
        <v>85.243553008595981</v>
      </c>
      <c r="AE820" s="106">
        <v>55.961344537815123</v>
      </c>
      <c r="AF820" s="106">
        <v>2.4128752077435683E-2</v>
      </c>
      <c r="AG820" s="106">
        <v>2432</v>
      </c>
      <c r="AH820" s="106">
        <v>15056.197297297298</v>
      </c>
      <c r="AI820" s="106">
        <v>16312.53063063063</v>
      </c>
      <c r="AJ820" s="106">
        <v>18183.865765765764</v>
      </c>
      <c r="AK820" s="104">
        <v>8686.8855855855854</v>
      </c>
      <c r="AL820" s="118">
        <v>11654049</v>
      </c>
      <c r="AM820" s="118">
        <v>1711</v>
      </c>
      <c r="AN820" s="118">
        <v>33297</v>
      </c>
      <c r="AO820" s="118">
        <v>341</v>
      </c>
      <c r="AP820" s="118">
        <f t="shared" si="12"/>
        <v>142</v>
      </c>
    </row>
    <row r="821" spans="1:42" ht="12.75">
      <c r="A821" s="106">
        <v>2018</v>
      </c>
      <c r="B821" s="106">
        <v>-156790</v>
      </c>
      <c r="C821" s="106">
        <v>0</v>
      </c>
      <c r="D821" s="106">
        <v>156790</v>
      </c>
      <c r="E821" s="106" t="s">
        <v>4097</v>
      </c>
      <c r="F821" s="106" t="s">
        <v>4098</v>
      </c>
      <c r="G821" s="106" t="s">
        <v>118</v>
      </c>
      <c r="H821" s="106">
        <v>4</v>
      </c>
      <c r="I821" s="106" t="s">
        <v>24</v>
      </c>
      <c r="J821" s="106">
        <v>4080</v>
      </c>
      <c r="K821" s="106">
        <v>6044</v>
      </c>
      <c r="L821" s="106">
        <v>5263</v>
      </c>
      <c r="M821" s="106">
        <v>0.82</v>
      </c>
      <c r="N821" s="106">
        <v>0.21</v>
      </c>
      <c r="O821" s="106">
        <v>0.18</v>
      </c>
      <c r="P821" s="106">
        <v>1868</v>
      </c>
      <c r="Q821" s="106">
        <v>3641.9108420473308</v>
      </c>
      <c r="R821" s="106">
        <v>0.65542165428856902</v>
      </c>
      <c r="S821" s="106">
        <v>16216.735277930655</v>
      </c>
      <c r="T821" s="106">
        <v>14779.291139240506</v>
      </c>
      <c r="U821" s="106">
        <v>12248.605642681327</v>
      </c>
      <c r="V821" s="106">
        <v>0.15631831073089614</v>
      </c>
      <c r="W821" s="106">
        <v>65972.099585062242</v>
      </c>
      <c r="X821" s="110">
        <v>0.59206422051829055</v>
      </c>
      <c r="Y821" s="106">
        <v>519.02857142857147</v>
      </c>
      <c r="Z821" s="106">
        <v>17.304761904761904</v>
      </c>
      <c r="AA821" s="106">
        <v>16280.699672825143</v>
      </c>
      <c r="AB821" s="106">
        <v>408.37675607824087</v>
      </c>
      <c r="AC821" s="106">
        <v>6.1422421646235854</v>
      </c>
      <c r="AD821" s="106">
        <v>73.258306538049297</v>
      </c>
      <c r="AE821" s="106">
        <v>39.866861741038768</v>
      </c>
      <c r="AF821" s="106"/>
      <c r="AG821" s="106">
        <v>3888</v>
      </c>
      <c r="AH821" s="106">
        <v>15366.67749036874</v>
      </c>
      <c r="AI821" s="106">
        <v>15481.297743533296</v>
      </c>
      <c r="AJ821" s="106">
        <v>16373.594386351127</v>
      </c>
      <c r="AK821" s="104">
        <v>14256.346725371492</v>
      </c>
      <c r="AL821" s="118">
        <v>12791803</v>
      </c>
      <c r="AM821" s="118">
        <v>3305</v>
      </c>
      <c r="AN821" s="118">
        <v>54498</v>
      </c>
      <c r="AO821" s="118">
        <v>341</v>
      </c>
      <c r="AP821" s="118">
        <f t="shared" si="12"/>
        <v>192</v>
      </c>
    </row>
    <row r="822" spans="1:42" ht="12.75">
      <c r="A822" s="106">
        <v>2018</v>
      </c>
      <c r="B822" s="106">
        <v>-384342</v>
      </c>
      <c r="C822" s="106">
        <v>0</v>
      </c>
      <c r="D822" s="106">
        <v>384342</v>
      </c>
      <c r="E822" s="106" t="s">
        <v>1452</v>
      </c>
      <c r="F822" s="106" t="s">
        <v>84</v>
      </c>
      <c r="G822" s="106" t="s">
        <v>243</v>
      </c>
      <c r="H822" s="106">
        <v>4</v>
      </c>
      <c r="I822" s="106" t="s">
        <v>24</v>
      </c>
      <c r="J822" s="106">
        <v>4440</v>
      </c>
      <c r="K822" s="106">
        <v>8586</v>
      </c>
      <c r="L822" s="106">
        <v>8130</v>
      </c>
      <c r="M822" s="106">
        <v>0.33</v>
      </c>
      <c r="N822" s="106">
        <v>0.21</v>
      </c>
      <c r="O822" s="106">
        <v>0.16</v>
      </c>
      <c r="P822" s="106">
        <v>2241</v>
      </c>
      <c r="Q822" s="106"/>
      <c r="R822" s="106"/>
      <c r="S822" s="106">
        <v>18611.089535534415</v>
      </c>
      <c r="T822" s="106">
        <v>16811.040011191941</v>
      </c>
      <c r="U822" s="106">
        <v>12708.131375418721</v>
      </c>
      <c r="V822" s="106">
        <v>0.37221644110772267</v>
      </c>
      <c r="W822" s="106">
        <v>71786.438547486032</v>
      </c>
      <c r="X822" s="110">
        <v>0.42773649307819395</v>
      </c>
      <c r="Y822" s="106">
        <v>678.51898734177212</v>
      </c>
      <c r="Z822" s="106">
        <v>22.620253164556964</v>
      </c>
      <c r="AA822" s="106">
        <v>41252.371967072213</v>
      </c>
      <c r="AB822" s="106">
        <v>423.65969755187683</v>
      </c>
      <c r="AC822" s="106">
        <v>2.4241030329073041</v>
      </c>
      <c r="AD822" s="106">
        <v>34.885931558935361</v>
      </c>
      <c r="AE822" s="106">
        <v>97.371480472297904</v>
      </c>
      <c r="AF822" s="106">
        <v>0.13153379239753735</v>
      </c>
      <c r="AG822" s="106">
        <v>4110</v>
      </c>
      <c r="AH822" s="106">
        <v>19416.221880246223</v>
      </c>
      <c r="AI822" s="106">
        <v>19447.35926133184</v>
      </c>
      <c r="AJ822" s="106">
        <v>18719.55595970901</v>
      </c>
      <c r="AK822" s="104">
        <v>15664.610520425294</v>
      </c>
      <c r="AL822" s="119">
        <v>32977632</v>
      </c>
      <c r="AM822" s="118">
        <v>5193</v>
      </c>
      <c r="AN822" s="118">
        <v>107206</v>
      </c>
      <c r="AO822" s="118">
        <v>687</v>
      </c>
      <c r="AP822" s="118">
        <f t="shared" si="12"/>
        <v>330</v>
      </c>
    </row>
    <row r="823" spans="1:42" ht="12.75">
      <c r="A823" s="106">
        <v>2018</v>
      </c>
      <c r="B823" s="106">
        <v>-203085</v>
      </c>
      <c r="C823" s="106">
        <v>0</v>
      </c>
      <c r="D823" s="106">
        <v>203085</v>
      </c>
      <c r="E823" s="106" t="s">
        <v>1453</v>
      </c>
      <c r="F823" s="106" t="s">
        <v>1454</v>
      </c>
      <c r="G823" s="106" t="s">
        <v>82</v>
      </c>
      <c r="H823" s="106">
        <v>6</v>
      </c>
      <c r="I823" s="106" t="s">
        <v>3640</v>
      </c>
      <c r="J823" s="106">
        <v>30200</v>
      </c>
      <c r="K823" s="106">
        <v>23411</v>
      </c>
      <c r="L823" s="106">
        <v>20505</v>
      </c>
      <c r="M823" s="106">
        <v>0.44</v>
      </c>
      <c r="N823" s="106">
        <v>0.84</v>
      </c>
      <c r="O823" s="106">
        <v>1</v>
      </c>
      <c r="P823" s="106">
        <v>16459</v>
      </c>
      <c r="Q823" s="106">
        <v>13745.882495948135</v>
      </c>
      <c r="R823" s="106">
        <v>0.50931214712794315</v>
      </c>
      <c r="S823" s="106">
        <v>26908.476499189626</v>
      </c>
      <c r="T823" s="106">
        <v>28399.840356564018</v>
      </c>
      <c r="U823" s="106">
        <v>23191.571373074607</v>
      </c>
      <c r="V823" s="106">
        <v>0.57103630980648878</v>
      </c>
      <c r="W823" s="106">
        <v>64493.314606741573</v>
      </c>
      <c r="X823" s="110">
        <v>0.49135445810110956</v>
      </c>
      <c r="Y823" s="106">
        <v>399.50735294117646</v>
      </c>
      <c r="Z823" s="106">
        <v>13.610294117647058</v>
      </c>
      <c r="AA823" s="106">
        <v>106388.10064823073</v>
      </c>
      <c r="AB823" s="106">
        <v>790.08334919038327</v>
      </c>
      <c r="AC823" s="106">
        <v>0.93995474485109187</v>
      </c>
      <c r="AD823" s="106">
        <v>23.721340388007054</v>
      </c>
      <c r="AE823" s="106">
        <v>134.65427509293681</v>
      </c>
      <c r="AF823" s="106">
        <v>2.6492287583231057E-2</v>
      </c>
      <c r="AG823" s="106">
        <v>29600</v>
      </c>
      <c r="AH823" s="106">
        <v>22845.368719611022</v>
      </c>
      <c r="AI823" s="106">
        <v>27048.563209076176</v>
      </c>
      <c r="AJ823" s="106">
        <v>30657.929497568883</v>
      </c>
      <c r="AK823" s="104">
        <v>24678.447325769856</v>
      </c>
      <c r="AL823" s="118"/>
      <c r="AM823" s="118">
        <v>1051</v>
      </c>
      <c r="AN823" s="118">
        <v>36222</v>
      </c>
      <c r="AO823" s="118">
        <v>219</v>
      </c>
      <c r="AP823" s="118">
        <f t="shared" si="12"/>
        <v>600</v>
      </c>
    </row>
    <row r="824" spans="1:42" ht="12.75">
      <c r="A824" s="106">
        <v>2018</v>
      </c>
      <c r="B824" s="106">
        <v>-180276</v>
      </c>
      <c r="C824" s="106">
        <v>0</v>
      </c>
      <c r="D824" s="106">
        <v>180276</v>
      </c>
      <c r="E824" s="106" t="s">
        <v>1455</v>
      </c>
      <c r="F824" s="106" t="s">
        <v>607</v>
      </c>
      <c r="G824" s="106" t="s">
        <v>608</v>
      </c>
      <c r="H824" s="106">
        <v>4</v>
      </c>
      <c r="I824" s="106" t="s">
        <v>24</v>
      </c>
      <c r="J824" s="106">
        <v>3229</v>
      </c>
      <c r="K824" s="106">
        <v>10264</v>
      </c>
      <c r="L824" s="106">
        <v>10123</v>
      </c>
      <c r="M824" s="106">
        <v>0.55000000000000004</v>
      </c>
      <c r="N824" s="106">
        <v>0.46</v>
      </c>
      <c r="O824" s="106">
        <v>0.19</v>
      </c>
      <c r="P824" s="106">
        <v>1811</v>
      </c>
      <c r="Q824" s="106">
        <v>200.12046783625732</v>
      </c>
      <c r="R824" s="106">
        <v>4.8023991927844588E-2</v>
      </c>
      <c r="S824" s="106">
        <v>13967.816374269007</v>
      </c>
      <c r="T824" s="106">
        <v>14828.922807017543</v>
      </c>
      <c r="U824" s="106">
        <v>12061.501498421543</v>
      </c>
      <c r="V824" s="106">
        <v>0.32889546131004932</v>
      </c>
      <c r="W824" s="106">
        <v>57519.249370277073</v>
      </c>
      <c r="X824" s="110">
        <v>0.60035307955552963</v>
      </c>
      <c r="Y824" s="106">
        <v>354.48387096774189</v>
      </c>
      <c r="Z824" s="106">
        <v>11.820276497695851</v>
      </c>
      <c r="AA824" s="106">
        <v>44643.219831819995</v>
      </c>
      <c r="AB824" s="106">
        <v>402.19116965603598</v>
      </c>
      <c r="AC824" s="106">
        <v>2.2399818018664455</v>
      </c>
      <c r="AD824" s="106">
        <v>27.532777115613825</v>
      </c>
      <c r="AE824" s="106">
        <v>111</v>
      </c>
      <c r="AF824" s="106">
        <v>-3.7935676758885144E-2</v>
      </c>
      <c r="AG824" s="106">
        <v>2478</v>
      </c>
      <c r="AH824" s="106">
        <v>12021.12514619883</v>
      </c>
      <c r="AI824" s="106">
        <v>12430.916959064327</v>
      </c>
      <c r="AJ824" s="106">
        <v>14122.580116959065</v>
      </c>
      <c r="AK824" s="104">
        <v>13738.197660818714</v>
      </c>
      <c r="AL824" s="118">
        <v>5384302</v>
      </c>
      <c r="AM824" s="118">
        <v>1422</v>
      </c>
      <c r="AN824" s="118">
        <v>25641</v>
      </c>
      <c r="AO824" s="118">
        <v>192</v>
      </c>
      <c r="AP824" s="118">
        <f t="shared" si="12"/>
        <v>751</v>
      </c>
    </row>
    <row r="825" spans="1:42" ht="12.75">
      <c r="A825" s="106">
        <v>2018</v>
      </c>
      <c r="B825" s="106">
        <v>-156851</v>
      </c>
      <c r="C825" s="106">
        <v>0</v>
      </c>
      <c r="D825" s="106">
        <v>156851</v>
      </c>
      <c r="E825" s="106" t="s">
        <v>4099</v>
      </c>
      <c r="F825" s="106" t="s">
        <v>1286</v>
      </c>
      <c r="G825" s="106" t="s">
        <v>118</v>
      </c>
      <c r="H825" s="106">
        <v>4</v>
      </c>
      <c r="I825" s="106" t="s">
        <v>24</v>
      </c>
      <c r="J825" s="106">
        <v>4080</v>
      </c>
      <c r="K825" s="106">
        <v>5637</v>
      </c>
      <c r="L825" s="106">
        <v>4760</v>
      </c>
      <c r="M825" s="106">
        <v>0.66</v>
      </c>
      <c r="N825" s="106">
        <v>0.13</v>
      </c>
      <c r="O825" s="106">
        <v>0.28999999999999998</v>
      </c>
      <c r="P825" s="106">
        <v>1713</v>
      </c>
      <c r="Q825" s="106">
        <v>3601.0409924487594</v>
      </c>
      <c r="R825" s="106">
        <v>0.74173021685759688</v>
      </c>
      <c r="S825" s="106">
        <v>12242.352750809061</v>
      </c>
      <c r="T825" s="106">
        <v>12053.895361380799</v>
      </c>
      <c r="U825" s="106">
        <v>9257.0170997425048</v>
      </c>
      <c r="V825" s="106">
        <v>0.13545175153515734</v>
      </c>
      <c r="W825" s="106">
        <v>59895.553072625698</v>
      </c>
      <c r="X825" s="110">
        <v>0.63966000955256597</v>
      </c>
      <c r="Y825" s="106">
        <v>499.74251497005986</v>
      </c>
      <c r="Z825" s="106">
        <v>16.652694610778443</v>
      </c>
      <c r="AA825" s="106">
        <v>17094.133170241639</v>
      </c>
      <c r="AB825" s="106">
        <v>308.46740901762473</v>
      </c>
      <c r="AC825" s="106">
        <v>5.8499602760837988</v>
      </c>
      <c r="AD825" s="106">
        <v>58.304297328687568</v>
      </c>
      <c r="AE825" s="106">
        <v>55.416334661354583</v>
      </c>
      <c r="AF825" s="106"/>
      <c r="AG825" s="106">
        <v>3888</v>
      </c>
      <c r="AH825" s="106">
        <v>10846.070118662352</v>
      </c>
      <c r="AI825" s="106">
        <v>11437.447680690399</v>
      </c>
      <c r="AJ825" s="106">
        <v>12404.088457389429</v>
      </c>
      <c r="AK825" s="104">
        <v>11138.965480043151</v>
      </c>
      <c r="AL825" s="119">
        <v>4967900</v>
      </c>
      <c r="AM825" s="118">
        <v>1490</v>
      </c>
      <c r="AN825" s="118">
        <v>27819</v>
      </c>
      <c r="AO825" s="118">
        <v>191</v>
      </c>
      <c r="AP825" s="118">
        <f t="shared" si="12"/>
        <v>192</v>
      </c>
    </row>
    <row r="826" spans="1:42" ht="12.75">
      <c r="A826" s="106">
        <v>2018</v>
      </c>
      <c r="B826" s="106">
        <v>-107071</v>
      </c>
      <c r="C826" s="106">
        <v>0</v>
      </c>
      <c r="D826" s="106">
        <v>107071</v>
      </c>
      <c r="E826" s="106" t="s">
        <v>1456</v>
      </c>
      <c r="F826" s="106" t="s">
        <v>1457</v>
      </c>
      <c r="G826" s="106" t="s">
        <v>200</v>
      </c>
      <c r="H826" s="106">
        <v>2</v>
      </c>
      <c r="I826" s="106" t="s">
        <v>25</v>
      </c>
      <c r="J826" s="106">
        <v>8561</v>
      </c>
      <c r="K826" s="106">
        <v>17451</v>
      </c>
      <c r="L826" s="106">
        <v>16341</v>
      </c>
      <c r="M826" s="106">
        <v>0.2</v>
      </c>
      <c r="N826" s="106">
        <v>0.24</v>
      </c>
      <c r="O826" s="106">
        <v>0.26</v>
      </c>
      <c r="P826" s="106">
        <v>2821</v>
      </c>
      <c r="Q826" s="106">
        <v>3391.4760981912145</v>
      </c>
      <c r="R826" s="106">
        <v>0.39628728234177635</v>
      </c>
      <c r="S826" s="106">
        <v>18861.556524547803</v>
      </c>
      <c r="T826" s="106">
        <v>21267.371770025838</v>
      </c>
      <c r="U826" s="106">
        <v>15014.781101608729</v>
      </c>
      <c r="V826" s="106">
        <v>0.34410417753311207</v>
      </c>
      <c r="W826" s="106">
        <v>73235.279220779223</v>
      </c>
      <c r="X826" s="110">
        <v>0.51386322988155164</v>
      </c>
      <c r="Y826" s="106">
        <v>432.46592709984151</v>
      </c>
      <c r="Z826" s="106">
        <v>14.719492868462757</v>
      </c>
      <c r="AA826" s="106">
        <v>67468.450349173625</v>
      </c>
      <c r="AB826" s="106">
        <v>511.04595644973313</v>
      </c>
      <c r="AC826" s="106">
        <v>1.4821742530392183</v>
      </c>
      <c r="AD826" s="106">
        <v>23.807878369039393</v>
      </c>
      <c r="AE826" s="106">
        <v>132.02031930333817</v>
      </c>
      <c r="AF826" s="106">
        <v>-0.13748095265571564</v>
      </c>
      <c r="AG826" s="106">
        <v>6630</v>
      </c>
      <c r="AH826" s="106">
        <v>18605.230620155038</v>
      </c>
      <c r="AI826" s="106">
        <v>19397.900516795864</v>
      </c>
      <c r="AJ826" s="106">
        <v>18886.90019379845</v>
      </c>
      <c r="AK826" s="104">
        <v>16377.511950904393</v>
      </c>
      <c r="AL826" s="118">
        <v>21264532</v>
      </c>
      <c r="AM826" s="118">
        <v>2832</v>
      </c>
      <c r="AN826" s="118">
        <v>90962</v>
      </c>
      <c r="AO826" s="118">
        <v>520</v>
      </c>
      <c r="AP826" s="118">
        <f t="shared" si="12"/>
        <v>1931</v>
      </c>
    </row>
    <row r="827" spans="1:42" ht="12.75">
      <c r="A827" s="106">
        <v>2018</v>
      </c>
      <c r="B827" s="106">
        <v>-107080</v>
      </c>
      <c r="C827" s="106">
        <v>0</v>
      </c>
      <c r="D827" s="106">
        <v>107080</v>
      </c>
      <c r="E827" s="106" t="s">
        <v>1458</v>
      </c>
      <c r="F827" s="106" t="s">
        <v>651</v>
      </c>
      <c r="G827" s="106" t="s">
        <v>200</v>
      </c>
      <c r="H827" s="106">
        <v>7</v>
      </c>
      <c r="I827" s="106" t="s">
        <v>3641</v>
      </c>
      <c r="J827" s="106">
        <v>44070</v>
      </c>
      <c r="K827" s="106">
        <v>22732</v>
      </c>
      <c r="L827" s="106">
        <v>16411</v>
      </c>
      <c r="M827" s="106">
        <v>0.38</v>
      </c>
      <c r="N827" s="106">
        <v>0.53</v>
      </c>
      <c r="O827" s="106">
        <v>1</v>
      </c>
      <c r="P827" s="106">
        <v>33734</v>
      </c>
      <c r="Q827" s="106">
        <v>27701.248861911987</v>
      </c>
      <c r="R827" s="106">
        <v>0.7198411368042652</v>
      </c>
      <c r="S827" s="106">
        <v>37231.169954476478</v>
      </c>
      <c r="T827" s="106">
        <v>40171.769347496207</v>
      </c>
      <c r="U827" s="106">
        <v>30354.980716602844</v>
      </c>
      <c r="V827" s="106">
        <v>0.35517066825684424</v>
      </c>
      <c r="W827" s="106">
        <v>58619.44976076555</v>
      </c>
      <c r="X827" s="110">
        <v>0.46278753045155563</v>
      </c>
      <c r="Y827" s="106">
        <v>312.47493403693932</v>
      </c>
      <c r="Z827" s="106">
        <v>10.432717678100264</v>
      </c>
      <c r="AA827" s="106">
        <v>156280.72103313496</v>
      </c>
      <c r="AB827" s="106">
        <v>1013.473112384298</v>
      </c>
      <c r="AC827" s="106">
        <v>0.63987419138409141</v>
      </c>
      <c r="AD827" s="106">
        <v>20.611916264090176</v>
      </c>
      <c r="AE827" s="106">
        <v>154.203125</v>
      </c>
      <c r="AF827" s="106">
        <v>6.671394185246883E-2</v>
      </c>
      <c r="AG827" s="106">
        <v>43720</v>
      </c>
      <c r="AH827" s="106">
        <v>23359.183611532626</v>
      </c>
      <c r="AI827" s="106">
        <v>37261.916540212442</v>
      </c>
      <c r="AJ827" s="106">
        <v>51708.54931714719</v>
      </c>
      <c r="AK827" s="104">
        <v>31655.367223065252</v>
      </c>
      <c r="AL827" s="118"/>
      <c r="AM827" s="118">
        <v>1238</v>
      </c>
      <c r="AN827" s="118">
        <v>39476</v>
      </c>
      <c r="AO827" s="118">
        <v>245</v>
      </c>
      <c r="AP827" s="118">
        <f t="shared" si="12"/>
        <v>350</v>
      </c>
    </row>
    <row r="828" spans="1:42" ht="12.75">
      <c r="A828" s="106">
        <v>2018</v>
      </c>
      <c r="B828" s="106">
        <v>-173708</v>
      </c>
      <c r="C828" s="106">
        <v>0</v>
      </c>
      <c r="D828" s="106">
        <v>173708</v>
      </c>
      <c r="E828" s="106" t="s">
        <v>1459</v>
      </c>
      <c r="F828" s="106" t="s">
        <v>1460</v>
      </c>
      <c r="G828" s="106" t="s">
        <v>113</v>
      </c>
      <c r="H828" s="106">
        <v>4</v>
      </c>
      <c r="I828" s="106" t="s">
        <v>24</v>
      </c>
      <c r="J828" s="106">
        <v>5198</v>
      </c>
      <c r="K828" s="106">
        <v>12675</v>
      </c>
      <c r="L828" s="106">
        <v>11251</v>
      </c>
      <c r="M828" s="106">
        <v>0.44</v>
      </c>
      <c r="N828" s="106">
        <v>0.34</v>
      </c>
      <c r="O828" s="106">
        <v>0.03</v>
      </c>
      <c r="P828" s="106">
        <v>1187</v>
      </c>
      <c r="Q828" s="106">
        <v>3.2660332541567696</v>
      </c>
      <c r="R828" s="106">
        <v>5.7030277892990459E-4</v>
      </c>
      <c r="S828" s="106">
        <v>14812.945368171022</v>
      </c>
      <c r="T828" s="106">
        <v>16820.665083135391</v>
      </c>
      <c r="U828" s="106">
        <v>13975.059382422804</v>
      </c>
      <c r="V828" s="106">
        <v>0.40955638650463161</v>
      </c>
      <c r="W828" s="106">
        <v>121557.20338983049</v>
      </c>
      <c r="X828" s="110">
        <v>0.6751747511120525</v>
      </c>
      <c r="Y828" s="106">
        <v>656.12337662337666</v>
      </c>
      <c r="Z828" s="106">
        <v>21.870129870129869</v>
      </c>
      <c r="AA828" s="106">
        <v>30366.451612903227</v>
      </c>
      <c r="AB828" s="106">
        <v>465.82148194333104</v>
      </c>
      <c r="AC828" s="106">
        <v>3.2931078439704256</v>
      </c>
      <c r="AD828" s="106">
        <v>52.347180006754478</v>
      </c>
      <c r="AE828" s="106">
        <v>65.189032258064515</v>
      </c>
      <c r="AF828" s="106">
        <v>-0.28192782571387709</v>
      </c>
      <c r="AG828" s="106">
        <v>4700</v>
      </c>
      <c r="AH828" s="106">
        <v>14797.209026128266</v>
      </c>
      <c r="AI828" s="106">
        <v>14993.764845605701</v>
      </c>
      <c r="AJ828" s="106">
        <v>14886.579572446555</v>
      </c>
      <c r="AK828" s="104">
        <v>14433.491686460808</v>
      </c>
      <c r="AL828" s="118">
        <v>22844000</v>
      </c>
      <c r="AM828" s="118">
        <v>5078</v>
      </c>
      <c r="AN828" s="118">
        <v>101043</v>
      </c>
      <c r="AO828" s="118">
        <v>548</v>
      </c>
      <c r="AP828" s="118">
        <f t="shared" si="12"/>
        <v>498</v>
      </c>
    </row>
    <row r="829" spans="1:42" ht="12.75">
      <c r="A829" s="106">
        <v>2018</v>
      </c>
      <c r="B829" s="106">
        <v>-170240</v>
      </c>
      <c r="C829" s="106">
        <v>0</v>
      </c>
      <c r="D829" s="106">
        <v>170240</v>
      </c>
      <c r="E829" s="106" t="s">
        <v>1461</v>
      </c>
      <c r="F829" s="106" t="s">
        <v>1462</v>
      </c>
      <c r="G829" s="106" t="s">
        <v>74</v>
      </c>
      <c r="H829" s="106">
        <v>4</v>
      </c>
      <c r="I829" s="106" t="s">
        <v>24</v>
      </c>
      <c r="J829" s="106">
        <v>3014</v>
      </c>
      <c r="K829" s="106">
        <v>3299</v>
      </c>
      <c r="L829" s="106">
        <v>2982</v>
      </c>
      <c r="M829" s="106">
        <v>0.72</v>
      </c>
      <c r="N829" s="106">
        <v>0.28999999999999998</v>
      </c>
      <c r="O829" s="106">
        <v>0.02</v>
      </c>
      <c r="P829" s="106">
        <v>1823</v>
      </c>
      <c r="Q829" s="106">
        <v>80.839331763650634</v>
      </c>
      <c r="R829" s="106">
        <v>1.3918443886909125E-2</v>
      </c>
      <c r="S829" s="106">
        <v>12461.13230182756</v>
      </c>
      <c r="T829" s="106">
        <v>12597.815562282767</v>
      </c>
      <c r="U829" s="106">
        <v>10890.581118959524</v>
      </c>
      <c r="V829" s="106">
        <v>0.52588866906564991</v>
      </c>
      <c r="W829" s="106">
        <v>100493.80929095355</v>
      </c>
      <c r="X829" s="110">
        <v>0.60967720365973566</v>
      </c>
      <c r="Y829" s="106">
        <v>750.19906542056083</v>
      </c>
      <c r="Z829" s="106">
        <v>25.006542056074768</v>
      </c>
      <c r="AA829" s="106">
        <v>62304.742142398973</v>
      </c>
      <c r="AB829" s="106">
        <v>363.0180139103266</v>
      </c>
      <c r="AC829" s="106">
        <v>1.6050142663530749</v>
      </c>
      <c r="AD829" s="106">
        <v>20.139516858287042</v>
      </c>
      <c r="AE829" s="106">
        <v>171.62989095574085</v>
      </c>
      <c r="AF829" s="106">
        <v>4.2310899930293071E-2</v>
      </c>
      <c r="AG829" s="106">
        <v>2304</v>
      </c>
      <c r="AH829" s="106">
        <v>12374.899764547596</v>
      </c>
      <c r="AI829" s="106">
        <v>12374.899764547596</v>
      </c>
      <c r="AJ829" s="106">
        <v>12489.710169301492</v>
      </c>
      <c r="AK829" s="104">
        <v>11347.632357887656</v>
      </c>
      <c r="AL829" s="119">
        <v>44444921</v>
      </c>
      <c r="AM829" s="118">
        <v>12786</v>
      </c>
      <c r="AN829" s="118">
        <v>267571</v>
      </c>
      <c r="AO829" s="118">
        <v>1319</v>
      </c>
      <c r="AP829" s="118">
        <f t="shared" si="12"/>
        <v>710</v>
      </c>
    </row>
    <row r="830" spans="1:42" ht="12.75">
      <c r="A830" s="106">
        <v>2018</v>
      </c>
      <c r="B830" s="106">
        <v>-235422</v>
      </c>
      <c r="C830" s="106">
        <v>0</v>
      </c>
      <c r="D830" s="106">
        <v>235422</v>
      </c>
      <c r="E830" s="106" t="s">
        <v>1463</v>
      </c>
      <c r="F830" s="106" t="s">
        <v>1464</v>
      </c>
      <c r="G830" s="106" t="s">
        <v>182</v>
      </c>
      <c r="H830" s="106">
        <v>6</v>
      </c>
      <c r="I830" s="106" t="s">
        <v>3640</v>
      </c>
      <c r="J830" s="106">
        <v>17914</v>
      </c>
      <c r="K830" s="106">
        <v>9370</v>
      </c>
      <c r="L830" s="106">
        <v>9382</v>
      </c>
      <c r="M830" s="106">
        <v>0.81</v>
      </c>
      <c r="N830" s="106">
        <v>0.31</v>
      </c>
      <c r="O830" s="106">
        <v>0.94</v>
      </c>
      <c r="P830" s="106">
        <v>2718</v>
      </c>
      <c r="Q830" s="106">
        <v>2987.5515911282546</v>
      </c>
      <c r="R830" s="106">
        <v>0.16317973714823497</v>
      </c>
      <c r="S830" s="106">
        <v>28334.853423336546</v>
      </c>
      <c r="T830" s="106">
        <v>24940.648023143684</v>
      </c>
      <c r="U830" s="106">
        <v>22861.343169397718</v>
      </c>
      <c r="V830" s="106">
        <v>0.67016173893387321</v>
      </c>
      <c r="W830" s="106">
        <v>71730.285106382973</v>
      </c>
      <c r="X830" s="110">
        <v>0.65175433658275783</v>
      </c>
      <c r="Y830" s="106">
        <v>232.44827586206898</v>
      </c>
      <c r="Z830" s="106">
        <v>8.2519893899204249</v>
      </c>
      <c r="AA830" s="106">
        <v>68517.956262038831</v>
      </c>
      <c r="AB830" s="106">
        <v>811.58511747853322</v>
      </c>
      <c r="AC830" s="106">
        <v>1.4594714357439649</v>
      </c>
      <c r="AD830" s="106">
        <v>36.268343815513624</v>
      </c>
      <c r="AE830" s="106">
        <v>84.424855491329481</v>
      </c>
      <c r="AF830" s="106">
        <v>0.13779692830870435</v>
      </c>
      <c r="AG830" s="106">
        <v>17824</v>
      </c>
      <c r="AH830" s="106">
        <v>20409.754098360656</v>
      </c>
      <c r="AI830" s="106">
        <v>28334.853423336546</v>
      </c>
      <c r="AJ830" s="106">
        <v>29837.201542912248</v>
      </c>
      <c r="AK830" s="104">
        <v>23944.283510125362</v>
      </c>
      <c r="AL830" s="118"/>
      <c r="AM830" s="118">
        <v>812</v>
      </c>
      <c r="AN830" s="118">
        <v>29211</v>
      </c>
      <c r="AO830" s="118">
        <v>196</v>
      </c>
      <c r="AP830" s="118">
        <f t="shared" si="12"/>
        <v>90</v>
      </c>
    </row>
    <row r="831" spans="1:42" ht="12.75">
      <c r="A831" s="106">
        <v>2018</v>
      </c>
      <c r="B831" s="106">
        <v>-191612</v>
      </c>
      <c r="C831" s="106">
        <v>0</v>
      </c>
      <c r="D831" s="106">
        <v>191612</v>
      </c>
      <c r="E831" s="106" t="s">
        <v>1465</v>
      </c>
      <c r="F831" s="106" t="s">
        <v>1466</v>
      </c>
      <c r="G831" s="106" t="s">
        <v>69</v>
      </c>
      <c r="H831" s="106">
        <v>4</v>
      </c>
      <c r="I831" s="106" t="s">
        <v>24</v>
      </c>
      <c r="J831" s="106">
        <v>5120</v>
      </c>
      <c r="K831" s="106">
        <v>7648</v>
      </c>
      <c r="L831" s="106">
        <v>5940</v>
      </c>
      <c r="M831" s="106">
        <v>0.65</v>
      </c>
      <c r="N831" s="106">
        <v>0.6</v>
      </c>
      <c r="O831" s="106">
        <v>0.11</v>
      </c>
      <c r="P831" s="106">
        <v>1118</v>
      </c>
      <c r="Q831" s="106"/>
      <c r="R831" s="106"/>
      <c r="S831" s="106">
        <v>14011.781862745098</v>
      </c>
      <c r="T831" s="106">
        <v>13684.687745098039</v>
      </c>
      <c r="U831" s="106">
        <v>10936.422549019608</v>
      </c>
      <c r="V831" s="106">
        <v>0.44966347833391052</v>
      </c>
      <c r="W831" s="106">
        <v>71111.967840735073</v>
      </c>
      <c r="X831" s="110">
        <v>0.55445916132898354</v>
      </c>
      <c r="Y831" s="106">
        <v>755.62962962962968</v>
      </c>
      <c r="Z831" s="106">
        <v>25.185185185185187</v>
      </c>
      <c r="AA831" s="106">
        <v>51170.417431192662</v>
      </c>
      <c r="AB831" s="106">
        <v>364.51168186125545</v>
      </c>
      <c r="AC831" s="106">
        <v>1.9542541378417915</v>
      </c>
      <c r="AD831" s="106">
        <v>22.131979695431472</v>
      </c>
      <c r="AE831" s="106">
        <v>140.38073394495413</v>
      </c>
      <c r="AF831" s="106">
        <v>-1.5714040130824485</v>
      </c>
      <c r="AG831" s="106">
        <v>4470</v>
      </c>
      <c r="AH831" s="106">
        <v>12707.660294117648</v>
      </c>
      <c r="AI831" s="106">
        <v>12707.660294117648</v>
      </c>
      <c r="AJ831" s="106">
        <v>14038.674999999999</v>
      </c>
      <c r="AK831" s="104">
        <v>13622.393137254901</v>
      </c>
      <c r="AL831" s="118">
        <v>11824687</v>
      </c>
      <c r="AM831" s="118">
        <v>2632</v>
      </c>
      <c r="AN831" s="118">
        <v>61206</v>
      </c>
      <c r="AO831" s="118">
        <v>415</v>
      </c>
      <c r="AP831" s="118">
        <f t="shared" si="12"/>
        <v>650</v>
      </c>
    </row>
    <row r="832" spans="1:42" ht="12.75">
      <c r="A832" s="106">
        <v>2018</v>
      </c>
      <c r="B832" s="106">
        <v>-200785</v>
      </c>
      <c r="C832" s="106">
        <v>0</v>
      </c>
      <c r="D832" s="106">
        <v>200785</v>
      </c>
      <c r="E832" s="106" t="s">
        <v>4100</v>
      </c>
      <c r="F832" s="106" t="s">
        <v>3131</v>
      </c>
      <c r="G832" s="106" t="s">
        <v>82</v>
      </c>
      <c r="H832" s="106">
        <v>7</v>
      </c>
      <c r="I832" s="106" t="s">
        <v>3641</v>
      </c>
      <c r="J832" s="106">
        <v>13850</v>
      </c>
      <c r="K832" s="106">
        <v>22661</v>
      </c>
      <c r="L832" s="106">
        <v>22831</v>
      </c>
      <c r="M832" s="106">
        <v>0.91</v>
      </c>
      <c r="N832" s="106">
        <v>0.91</v>
      </c>
      <c r="O832" s="106">
        <v>0.18</v>
      </c>
      <c r="P832" s="106">
        <v>2822</v>
      </c>
      <c r="Q832" s="107">
        <v>1707.1368821292776</v>
      </c>
      <c r="R832" s="106">
        <v>9.9616401737807295E-2</v>
      </c>
      <c r="S832" s="106">
        <v>15675.134980988592</v>
      </c>
      <c r="T832" s="106">
        <v>10344.408745247149</v>
      </c>
      <c r="U832" s="106">
        <v>9220.0760456273765</v>
      </c>
      <c r="V832" s="106">
        <v>1.6735186895846392</v>
      </c>
      <c r="W832" s="106">
        <v>64698.196721311477</v>
      </c>
      <c r="X832" s="110">
        <v>0.48354771474239222</v>
      </c>
      <c r="Y832" s="106">
        <v>647.99999999999989</v>
      </c>
      <c r="Z832" s="106">
        <v>21.61643835616438</v>
      </c>
      <c r="AA832" s="106">
        <v>34395.4609929078</v>
      </c>
      <c r="AB832" s="106">
        <v>307.56976154236429</v>
      </c>
      <c r="AC832" s="106">
        <v>2.9073603642242087</v>
      </c>
      <c r="AD832" s="106">
        <v>39.718309859154935</v>
      </c>
      <c r="AE832" s="106">
        <v>111.82978723404256</v>
      </c>
      <c r="AF832" s="106">
        <v>0.83022163975725338</v>
      </c>
      <c r="AG832" s="106">
        <v>13000</v>
      </c>
      <c r="AH832" s="106">
        <v>15675.134980988592</v>
      </c>
      <c r="AI832" s="106">
        <v>15675.134980988592</v>
      </c>
      <c r="AJ832" s="106">
        <v>15675.134980988592</v>
      </c>
      <c r="AK832" s="104">
        <v>9220.0760456273765</v>
      </c>
      <c r="AM832" s="118">
        <v>494</v>
      </c>
      <c r="AN832" s="118">
        <v>15768</v>
      </c>
      <c r="AO832" s="118">
        <v>118</v>
      </c>
      <c r="AP832" s="118">
        <f t="shared" si="12"/>
        <v>850</v>
      </c>
    </row>
    <row r="833" spans="1:42" ht="12.75">
      <c r="A833" s="106">
        <v>2018</v>
      </c>
      <c r="B833" s="106">
        <v>-140340</v>
      </c>
      <c r="C833" s="106">
        <v>0</v>
      </c>
      <c r="D833" s="106">
        <v>140340</v>
      </c>
      <c r="E833" s="106" t="s">
        <v>4101</v>
      </c>
      <c r="F833" s="106" t="s">
        <v>230</v>
      </c>
      <c r="G833" s="106" t="s">
        <v>63</v>
      </c>
      <c r="H833" s="106">
        <v>7</v>
      </c>
      <c r="I833" s="106" t="s">
        <v>3641</v>
      </c>
      <c r="J833" s="106">
        <v>13850</v>
      </c>
      <c r="K833" s="106">
        <v>22995</v>
      </c>
      <c r="L833" s="106">
        <v>22492</v>
      </c>
      <c r="M833" s="106">
        <v>0.79</v>
      </c>
      <c r="N833" s="106">
        <v>0.63</v>
      </c>
      <c r="O833" s="106">
        <v>0.28999999999999998</v>
      </c>
      <c r="P833" s="106">
        <v>4256</v>
      </c>
      <c r="Q833" s="107">
        <v>1691.6850961538462</v>
      </c>
      <c r="R833" s="106">
        <v>0.10926989310045933</v>
      </c>
      <c r="S833" s="106">
        <v>13963.135817307691</v>
      </c>
      <c r="T833" s="106">
        <v>10586.240384615385</v>
      </c>
      <c r="U833" s="106">
        <v>9376.6262019230762</v>
      </c>
      <c r="V833" s="106">
        <v>1.4706811754320053</v>
      </c>
      <c r="W833" s="106">
        <v>72907.583333333328</v>
      </c>
      <c r="X833" s="110">
        <v>0.39732771767415792</v>
      </c>
      <c r="Y833" s="106">
        <v>900.44444444444446</v>
      </c>
      <c r="Z833" s="106">
        <v>30.814814814814813</v>
      </c>
      <c r="AA833" s="106">
        <v>34827.46875</v>
      </c>
      <c r="AB833" s="106">
        <v>320.88487166831192</v>
      </c>
      <c r="AC833" s="106">
        <v>2.8712968122324423</v>
      </c>
      <c r="AD833" s="106">
        <v>41.791044776119399</v>
      </c>
      <c r="AE833" s="106">
        <v>108.53571428571429</v>
      </c>
      <c r="AF833" s="106">
        <v>0.95157825359538983</v>
      </c>
      <c r="AG833" s="106">
        <v>13000</v>
      </c>
      <c r="AH833" s="106">
        <v>13963.135817307691</v>
      </c>
      <c r="AI833" s="106">
        <v>13963.135817307691</v>
      </c>
      <c r="AJ833" s="106">
        <v>13963.135817307691</v>
      </c>
      <c r="AK833" s="104">
        <v>9376.6262019230762</v>
      </c>
      <c r="AL833" s="118"/>
      <c r="AM833" s="118">
        <v>593</v>
      </c>
      <c r="AN833" s="118">
        <v>24312</v>
      </c>
      <c r="AO833" s="118">
        <v>143</v>
      </c>
      <c r="AP833" s="118">
        <f t="shared" si="12"/>
        <v>850</v>
      </c>
    </row>
    <row r="834" spans="1:42" ht="12.75">
      <c r="A834" s="106">
        <v>2018</v>
      </c>
      <c r="B834" s="106">
        <v>-101365</v>
      </c>
      <c r="C834" s="106">
        <v>0</v>
      </c>
      <c r="D834" s="106">
        <v>101365</v>
      </c>
      <c r="E834" s="106" t="s">
        <v>4102</v>
      </c>
      <c r="F834" s="106" t="s">
        <v>377</v>
      </c>
      <c r="G834" s="106" t="s">
        <v>85</v>
      </c>
      <c r="H834" s="106">
        <v>7</v>
      </c>
      <c r="I834" s="106" t="s">
        <v>3641</v>
      </c>
      <c r="J834" s="106">
        <v>13850</v>
      </c>
      <c r="K834" s="106">
        <v>17906</v>
      </c>
      <c r="L834" s="106">
        <v>17958</v>
      </c>
      <c r="M834" s="106">
        <v>1</v>
      </c>
      <c r="N834" s="106">
        <v>1</v>
      </c>
      <c r="O834" s="106">
        <v>0.3</v>
      </c>
      <c r="P834" s="106">
        <v>10080</v>
      </c>
      <c r="Q834" s="106">
        <v>1830.0035273368608</v>
      </c>
      <c r="R834" s="106">
        <v>0.11766015929749442</v>
      </c>
      <c r="S834" s="106">
        <v>14191.153439153439</v>
      </c>
      <c r="T834" s="106">
        <v>9684.6084656084658</v>
      </c>
      <c r="U834" s="106">
        <v>9057.3386243386249</v>
      </c>
      <c r="V834" s="106">
        <v>1.5151574984456269</v>
      </c>
      <c r="W834" s="106">
        <v>75877.142857142855</v>
      </c>
      <c r="X834" s="110">
        <v>0.48363072880785218</v>
      </c>
      <c r="Y834" s="106">
        <v>975.86538461538464</v>
      </c>
      <c r="Z834" s="106">
        <v>32.711538461538467</v>
      </c>
      <c r="AA834" s="106">
        <v>20218.547244094487</v>
      </c>
      <c r="AB834" s="106">
        <v>303.60691693762931</v>
      </c>
      <c r="AC834" s="106">
        <v>4.9459537716889317</v>
      </c>
      <c r="AD834" s="106">
        <v>68.834688346883468</v>
      </c>
      <c r="AE834" s="106">
        <v>66.594488188976385</v>
      </c>
      <c r="AF834" s="106">
        <v>4.9994376826319558</v>
      </c>
      <c r="AG834" s="106">
        <v>13000</v>
      </c>
      <c r="AH834" s="106">
        <v>14191.153439153439</v>
      </c>
      <c r="AI834" s="106">
        <v>14191.153439153439</v>
      </c>
      <c r="AJ834" s="106">
        <v>14191.153439153439</v>
      </c>
      <c r="AK834" s="104">
        <v>9057.3386243386249</v>
      </c>
      <c r="AM834" s="118">
        <v>537</v>
      </c>
      <c r="AN834" s="118">
        <v>16915</v>
      </c>
      <c r="AO834" s="118">
        <v>128</v>
      </c>
      <c r="AP834" s="118">
        <f t="shared" si="12"/>
        <v>850</v>
      </c>
    </row>
    <row r="835" spans="1:42" ht="12.75">
      <c r="A835" s="106">
        <v>2018</v>
      </c>
      <c r="B835" s="106">
        <v>-459851</v>
      </c>
      <c r="C835" s="106">
        <v>0</v>
      </c>
      <c r="D835" s="106">
        <v>459851</v>
      </c>
      <c r="E835" s="106" t="s">
        <v>4103</v>
      </c>
      <c r="F835" s="106" t="s">
        <v>4104</v>
      </c>
      <c r="G835" s="106" t="s">
        <v>139</v>
      </c>
      <c r="H835" s="106">
        <v>7</v>
      </c>
      <c r="I835" s="106" t="s">
        <v>3641</v>
      </c>
      <c r="J835" s="106">
        <v>13850</v>
      </c>
      <c r="K835" s="106">
        <v>15367</v>
      </c>
      <c r="L835" s="106">
        <v>18779</v>
      </c>
      <c r="M835" s="106">
        <v>0.8</v>
      </c>
      <c r="N835" s="106">
        <v>0.6</v>
      </c>
      <c r="O835" s="106">
        <v>1</v>
      </c>
      <c r="P835" s="106">
        <v>5687</v>
      </c>
      <c r="Q835" s="106">
        <v>3615.4151515151516</v>
      </c>
      <c r="R835" s="106">
        <v>0.20853997182031633</v>
      </c>
      <c r="S835" s="106">
        <v>14110.842424242424</v>
      </c>
      <c r="T835" s="106">
        <v>16445.406060606059</v>
      </c>
      <c r="U835" s="106">
        <v>14533.745454545455</v>
      </c>
      <c r="V835" s="106">
        <v>0.94410500452864554</v>
      </c>
      <c r="W835" s="106">
        <v>87057.197802197799</v>
      </c>
      <c r="X835" s="110">
        <v>0.48659347438651007</v>
      </c>
      <c r="Y835" s="106">
        <v>615.0625</v>
      </c>
      <c r="Z835" s="106">
        <v>20.625</v>
      </c>
      <c r="AA835" s="106">
        <v>39637.487603305788</v>
      </c>
      <c r="AB835" s="106">
        <v>487.36266639569152</v>
      </c>
      <c r="AC835" s="106">
        <v>2.5228642390457652</v>
      </c>
      <c r="AD835" s="106">
        <v>64.361702127659569</v>
      </c>
      <c r="AE835" s="106">
        <v>81.330578512396698</v>
      </c>
      <c r="AF835" s="106">
        <v>-1.1021362164810917</v>
      </c>
      <c r="AG835" s="106">
        <v>13000</v>
      </c>
      <c r="AH835" s="106">
        <v>14110.842424242424</v>
      </c>
      <c r="AI835" s="106">
        <v>14110.842424242424</v>
      </c>
      <c r="AJ835" s="106">
        <v>14110.842424242424</v>
      </c>
      <c r="AK835" s="104">
        <v>14533.745454545455</v>
      </c>
      <c r="AM835" s="118">
        <v>238</v>
      </c>
      <c r="AN835" s="118">
        <v>9841</v>
      </c>
      <c r="AO835" s="118">
        <v>103</v>
      </c>
      <c r="AP835" s="118">
        <f t="shared" si="12"/>
        <v>850</v>
      </c>
    </row>
    <row r="836" spans="1:42" ht="12.75">
      <c r="A836" s="106">
        <v>2018</v>
      </c>
      <c r="B836" s="106">
        <v>-433536</v>
      </c>
      <c r="C836" s="106">
        <v>0</v>
      </c>
      <c r="D836" s="106">
        <v>433536</v>
      </c>
      <c r="E836" s="106" t="s">
        <v>4105</v>
      </c>
      <c r="F836" s="106" t="s">
        <v>4106</v>
      </c>
      <c r="G836" s="106" t="s">
        <v>306</v>
      </c>
      <c r="H836" s="106">
        <v>7</v>
      </c>
      <c r="I836" s="106" t="s">
        <v>3641</v>
      </c>
      <c r="J836" s="106">
        <v>13850</v>
      </c>
      <c r="K836" s="106">
        <v>22315</v>
      </c>
      <c r="L836" s="106">
        <v>22295</v>
      </c>
      <c r="M836" s="106">
        <v>1</v>
      </c>
      <c r="N836" s="106">
        <v>0.86</v>
      </c>
      <c r="O836" s="106">
        <v>0.28999999999999998</v>
      </c>
      <c r="P836" s="107">
        <v>7493</v>
      </c>
      <c r="Q836" s="106">
        <v>1218.8673469387754</v>
      </c>
      <c r="R836" s="106">
        <v>8.4975265552595686E-2</v>
      </c>
      <c r="S836" s="106">
        <v>13133.763265306123</v>
      </c>
      <c r="T836" s="106">
        <v>8665.8857142857141</v>
      </c>
      <c r="U836" s="106">
        <v>7712.2102040816326</v>
      </c>
      <c r="V836" s="106">
        <v>1.7018367110939636</v>
      </c>
      <c r="W836" s="106">
        <v>68712.868421052626</v>
      </c>
      <c r="X836" s="110">
        <v>0.4099410213730405</v>
      </c>
      <c r="Y836" s="106">
        <v>1062</v>
      </c>
      <c r="Z836" s="106">
        <v>35.853658536585364</v>
      </c>
      <c r="AA836" s="106">
        <v>28413.406015037595</v>
      </c>
      <c r="AB836" s="106">
        <v>260.36812732534105</v>
      </c>
      <c r="AC836" s="106">
        <v>3.5194654223107116</v>
      </c>
      <c r="AD836" s="106">
        <v>45.704467353951891</v>
      </c>
      <c r="AE836" s="106">
        <v>109.12781954887218</v>
      </c>
      <c r="AF836" s="106">
        <v>0.51935402654560192</v>
      </c>
      <c r="AG836" s="106">
        <v>13000</v>
      </c>
      <c r="AH836" s="106">
        <v>13133.763265306123</v>
      </c>
      <c r="AI836" s="106">
        <v>13133.763265306123</v>
      </c>
      <c r="AJ836" s="106">
        <v>13133.763265306123</v>
      </c>
      <c r="AK836" s="104">
        <v>7712.2102040816326</v>
      </c>
      <c r="AL836" s="118"/>
      <c r="AM836" s="118">
        <v>398</v>
      </c>
      <c r="AN836" s="118">
        <v>14514</v>
      </c>
      <c r="AO836" s="118">
        <v>118</v>
      </c>
      <c r="AP836" s="118">
        <f t="shared" si="12"/>
        <v>850</v>
      </c>
    </row>
    <row r="837" spans="1:42" ht="12.75">
      <c r="A837" s="106">
        <v>2018</v>
      </c>
      <c r="B837" s="106">
        <v>-459842</v>
      </c>
      <c r="C837" s="106">
        <v>0</v>
      </c>
      <c r="D837" s="106">
        <v>459842</v>
      </c>
      <c r="E837" s="106" t="s">
        <v>4107</v>
      </c>
      <c r="F837" s="106" t="s">
        <v>618</v>
      </c>
      <c r="G837" s="106" t="s">
        <v>139</v>
      </c>
      <c r="H837" s="106">
        <v>7</v>
      </c>
      <c r="I837" s="106" t="s">
        <v>3641</v>
      </c>
      <c r="J837" s="106">
        <v>13850</v>
      </c>
      <c r="K837" s="106">
        <v>18316</v>
      </c>
      <c r="L837" s="106">
        <v>20199</v>
      </c>
      <c r="M837" s="106">
        <v>0.67</v>
      </c>
      <c r="N837" s="106">
        <v>0.67</v>
      </c>
      <c r="O837" s="106">
        <v>0.42</v>
      </c>
      <c r="P837" s="106">
        <v>6406</v>
      </c>
      <c r="Q837" s="106">
        <v>2438.5631313131312</v>
      </c>
      <c r="R837" s="106">
        <v>0.16153239075117745</v>
      </c>
      <c r="S837" s="106">
        <v>12968.517676767677</v>
      </c>
      <c r="T837" s="106">
        <v>12365.967171717171</v>
      </c>
      <c r="U837" s="106">
        <v>10911.974747474747</v>
      </c>
      <c r="V837" s="106">
        <v>1.1599982134352447</v>
      </c>
      <c r="W837" s="106">
        <v>81974.607142857145</v>
      </c>
      <c r="X837" s="110">
        <v>0.4687206639761336</v>
      </c>
      <c r="Y837" s="106">
        <v>620.15789473684208</v>
      </c>
      <c r="Z837" s="106">
        <v>20.842105263157894</v>
      </c>
      <c r="AA837" s="106">
        <v>34024.740157480315</v>
      </c>
      <c r="AB837" s="106">
        <v>366.72680981074427</v>
      </c>
      <c r="AC837" s="106">
        <v>2.9390378747099724</v>
      </c>
      <c r="AD837" s="106">
        <v>57.207207207207212</v>
      </c>
      <c r="AE837" s="106">
        <v>92.779527559055111</v>
      </c>
      <c r="AF837" s="106">
        <v>9.1529475872486707E-2</v>
      </c>
      <c r="AG837" s="106">
        <v>13000</v>
      </c>
      <c r="AH837" s="106">
        <v>12968.517676767677</v>
      </c>
      <c r="AI837" s="106">
        <v>12968.517676767677</v>
      </c>
      <c r="AJ837" s="106">
        <v>12968.517676767677</v>
      </c>
      <c r="AK837" s="104">
        <v>10911.974747474747</v>
      </c>
      <c r="AL837" s="118"/>
      <c r="AM837" s="118">
        <v>280</v>
      </c>
      <c r="AN837" s="118">
        <v>11783</v>
      </c>
      <c r="AO837" s="118">
        <v>114</v>
      </c>
      <c r="AP837" s="118">
        <f t="shared" si="12"/>
        <v>850</v>
      </c>
    </row>
    <row r="838" spans="1:42" ht="12.75">
      <c r="A838" s="106">
        <v>2018</v>
      </c>
      <c r="B838" s="106">
        <v>3014</v>
      </c>
      <c r="C838" s="106">
        <v>1</v>
      </c>
      <c r="D838" s="106">
        <v>240392</v>
      </c>
      <c r="E838" s="106" t="s">
        <v>4108</v>
      </c>
      <c r="F838" s="106" t="s">
        <v>988</v>
      </c>
      <c r="G838" s="106" t="s">
        <v>139</v>
      </c>
      <c r="H838" s="106">
        <v>6</v>
      </c>
      <c r="I838" s="106" t="s">
        <v>3640</v>
      </c>
      <c r="J838" s="106">
        <v>13850</v>
      </c>
      <c r="K838" s="106">
        <v>23678</v>
      </c>
      <c r="L838" s="106">
        <v>23876</v>
      </c>
      <c r="M838" s="106">
        <v>0.84</v>
      </c>
      <c r="N838" s="106">
        <v>0.79</v>
      </c>
      <c r="O838" s="106">
        <v>0.24</v>
      </c>
      <c r="P838" s="106">
        <v>1994</v>
      </c>
      <c r="Q838" s="107">
        <v>1785.6934695690804</v>
      </c>
      <c r="R838" s="106">
        <v>9.0697550737236482E-2</v>
      </c>
      <c r="S838" s="106">
        <v>18089.332296756998</v>
      </c>
      <c r="T838" s="106">
        <v>18120.482452243446</v>
      </c>
      <c r="U838" s="106">
        <v>17641.40382052421</v>
      </c>
      <c r="V838" s="106">
        <v>1.0148142822607451</v>
      </c>
      <c r="W838" s="106">
        <v>47051.759514170044</v>
      </c>
      <c r="X838" s="110">
        <v>0.47487173444856956</v>
      </c>
      <c r="Y838" s="106">
        <v>384.52173913043475</v>
      </c>
      <c r="Z838" s="106">
        <v>13.345849802371539</v>
      </c>
      <c r="AA838" s="106">
        <v>45592.192881745119</v>
      </c>
      <c r="AB838" s="106">
        <v>612.29184655236213</v>
      </c>
      <c r="AC838" s="106">
        <v>2.1933579781822576</v>
      </c>
      <c r="AD838" s="106">
        <v>61.251758087201125</v>
      </c>
      <c r="AE838" s="106">
        <v>74.461538461538467</v>
      </c>
      <c r="AF838" s="106">
        <v>-4.297985880151488E-3</v>
      </c>
      <c r="AG838" s="106">
        <v>13000</v>
      </c>
      <c r="AH838" s="106">
        <v>18089.332296756998</v>
      </c>
      <c r="AI838" s="106">
        <v>18089.332296756998</v>
      </c>
      <c r="AJ838" s="106">
        <v>18089.332296756998</v>
      </c>
      <c r="AK838" s="104">
        <v>17641.40382052421</v>
      </c>
      <c r="AM838" s="118">
        <v>1732</v>
      </c>
      <c r="AN838" s="118">
        <v>64856</v>
      </c>
      <c r="AO838" s="118">
        <v>509</v>
      </c>
      <c r="AP838" s="118">
        <f t="shared" ref="AP838:AP901" si="13">J838-AG838</f>
        <v>850</v>
      </c>
    </row>
    <row r="839" spans="1:42" ht="12.75">
      <c r="A839" s="106">
        <v>2018</v>
      </c>
      <c r="B839" s="106">
        <v>-457022</v>
      </c>
      <c r="C839" s="106">
        <v>0</v>
      </c>
      <c r="D839" s="106">
        <v>457022</v>
      </c>
      <c r="E839" s="106" t="s">
        <v>4109</v>
      </c>
      <c r="F839" s="106" t="s">
        <v>3343</v>
      </c>
      <c r="G839" s="106" t="s">
        <v>82</v>
      </c>
      <c r="H839" s="106">
        <v>7</v>
      </c>
      <c r="I839" s="106" t="s">
        <v>3641</v>
      </c>
      <c r="J839" s="107">
        <v>13850</v>
      </c>
      <c r="K839" s="106">
        <v>20910</v>
      </c>
      <c r="L839" s="106">
        <v>20779</v>
      </c>
      <c r="M839" s="106">
        <v>1</v>
      </c>
      <c r="N839" s="106">
        <v>0.94</v>
      </c>
      <c r="O839" s="106">
        <v>0.06</v>
      </c>
      <c r="P839" s="106">
        <v>10359</v>
      </c>
      <c r="Q839" s="107">
        <v>894.94979079497909</v>
      </c>
      <c r="R839" s="106">
        <v>6.4869725560842764E-2</v>
      </c>
      <c r="S839" s="106">
        <v>12988.979079497907</v>
      </c>
      <c r="T839" s="106">
        <v>12124.820083682009</v>
      </c>
      <c r="U839" s="106">
        <v>10411.297071129708</v>
      </c>
      <c r="V839" s="106">
        <v>1.2391500221034442</v>
      </c>
      <c r="W839" s="106">
        <v>70606.188679245271</v>
      </c>
      <c r="X839" s="110">
        <v>0.43045145474271801</v>
      </c>
      <c r="Y839" s="106">
        <v>976.22727272727275</v>
      </c>
      <c r="Z839" s="106">
        <v>32.590909090909093</v>
      </c>
      <c r="AA839" s="106">
        <v>38281.538461538461</v>
      </c>
      <c r="AB839" s="106">
        <v>347.57647716161478</v>
      </c>
      <c r="AC839" s="106">
        <v>2.6122252140015272</v>
      </c>
      <c r="AD839" s="106">
        <v>35.911602209944753</v>
      </c>
      <c r="AE839" s="106">
        <v>110.13846153846154</v>
      </c>
      <c r="AF839" s="107">
        <v>-0.80249818000689677</v>
      </c>
      <c r="AG839" s="106">
        <v>13000</v>
      </c>
      <c r="AH839" s="106">
        <v>12988.979079497907</v>
      </c>
      <c r="AI839" s="106">
        <v>12988.979079497907</v>
      </c>
      <c r="AJ839" s="106">
        <v>12988.979079497907</v>
      </c>
      <c r="AK839" s="104">
        <v>10411.297071129708</v>
      </c>
      <c r="AL839" s="118"/>
      <c r="AM839" s="118">
        <v>213</v>
      </c>
      <c r="AN839" s="118">
        <v>7159</v>
      </c>
      <c r="AO839" s="118">
        <v>62</v>
      </c>
      <c r="AP839" s="118">
        <f t="shared" si="13"/>
        <v>850</v>
      </c>
    </row>
    <row r="840" spans="1:42" ht="12.75">
      <c r="A840" s="106">
        <v>2018</v>
      </c>
      <c r="B840" s="106">
        <v>-173735</v>
      </c>
      <c r="C840" s="106">
        <v>0</v>
      </c>
      <c r="D840" s="106">
        <v>173735</v>
      </c>
      <c r="E840" s="106" t="s">
        <v>1467</v>
      </c>
      <c r="F840" s="106" t="s">
        <v>1468</v>
      </c>
      <c r="G840" s="106" t="s">
        <v>113</v>
      </c>
      <c r="H840" s="106">
        <v>4</v>
      </c>
      <c r="I840" s="106" t="s">
        <v>24</v>
      </c>
      <c r="J840" s="106">
        <v>5310</v>
      </c>
      <c r="K840" s="106">
        <v>9431</v>
      </c>
      <c r="L840" s="106">
        <v>7929</v>
      </c>
      <c r="M840" s="106">
        <v>0.52</v>
      </c>
      <c r="N840" s="106">
        <v>0.53</v>
      </c>
      <c r="O840" s="106">
        <v>7.0000000000000007E-2</v>
      </c>
      <c r="P840" s="106">
        <v>867</v>
      </c>
      <c r="Q840" s="106">
        <v>45.553145336225597</v>
      </c>
      <c r="R840" s="106">
        <v>6.2593144560357675E-3</v>
      </c>
      <c r="S840" s="106">
        <v>17861.171366594361</v>
      </c>
      <c r="T840" s="106">
        <v>20747.288503253796</v>
      </c>
      <c r="U840" s="106">
        <v>16356.046146446091</v>
      </c>
      <c r="V840" s="106">
        <v>0.4421670162043701</v>
      </c>
      <c r="W840" s="106">
        <v>138464.78873239437</v>
      </c>
      <c r="X840" s="110">
        <v>0.68524230226357885</v>
      </c>
      <c r="Y840" s="106">
        <v>545.76315789473688</v>
      </c>
      <c r="Z840" s="106">
        <v>18.197368421052634</v>
      </c>
      <c r="AA840" s="106">
        <v>44223.679023528726</v>
      </c>
      <c r="AB840" s="106">
        <v>545.35927046952463</v>
      </c>
      <c r="AC840" s="106">
        <v>2.2612320414770575</v>
      </c>
      <c r="AD840" s="106">
        <v>40.450771055753258</v>
      </c>
      <c r="AE840" s="106">
        <v>81.090909090909093</v>
      </c>
      <c r="AF840" s="106">
        <v>5.637174883012297E-2</v>
      </c>
      <c r="AG840" s="106">
        <v>4729</v>
      </c>
      <c r="AH840" s="106">
        <v>18061.822125813451</v>
      </c>
      <c r="AI840" s="106">
        <v>18185.466377440349</v>
      </c>
      <c r="AJ840" s="106">
        <v>17962.039045553145</v>
      </c>
      <c r="AK840" s="104">
        <v>16888.2863340564</v>
      </c>
      <c r="AL840" s="119">
        <v>6812000</v>
      </c>
      <c r="AM840" s="118">
        <v>1208</v>
      </c>
      <c r="AN840" s="118">
        <v>27652</v>
      </c>
      <c r="AO840" s="118">
        <v>206</v>
      </c>
      <c r="AP840" s="118">
        <f t="shared" si="13"/>
        <v>581</v>
      </c>
    </row>
    <row r="841" spans="1:42" ht="12.75">
      <c r="A841" s="106">
        <v>2018</v>
      </c>
      <c r="B841" s="106">
        <v>-198695</v>
      </c>
      <c r="C841" s="106">
        <v>0</v>
      </c>
      <c r="D841" s="106">
        <v>198695</v>
      </c>
      <c r="E841" s="106" t="s">
        <v>1469</v>
      </c>
      <c r="F841" s="106" t="s">
        <v>1470</v>
      </c>
      <c r="G841" s="106" t="s">
        <v>90</v>
      </c>
      <c r="H841" s="106">
        <v>7</v>
      </c>
      <c r="I841" s="106" t="s">
        <v>3641</v>
      </c>
      <c r="J841" s="106">
        <v>34005</v>
      </c>
      <c r="K841" s="106">
        <v>39229</v>
      </c>
      <c r="L841" s="106">
        <v>34226</v>
      </c>
      <c r="M841" s="106">
        <v>0.12</v>
      </c>
      <c r="N841" s="106">
        <v>0.5</v>
      </c>
      <c r="O841" s="106">
        <v>0.85</v>
      </c>
      <c r="P841" s="106">
        <v>10474</v>
      </c>
      <c r="Q841" s="107">
        <v>7195.8307663053811</v>
      </c>
      <c r="R841" s="106">
        <v>0.22916730378291966</v>
      </c>
      <c r="S841" s="106">
        <v>44915.930975470619</v>
      </c>
      <c r="T841" s="106">
        <v>34764.453508271537</v>
      </c>
      <c r="U841" s="106">
        <v>23744.500285225327</v>
      </c>
      <c r="V841" s="106">
        <v>1.0193548167001003</v>
      </c>
      <c r="W841" s="106">
        <v>69352.812790697673</v>
      </c>
      <c r="X841" s="110">
        <v>0.32623004306804698</v>
      </c>
      <c r="Y841" s="106">
        <v>423.40226628895186</v>
      </c>
      <c r="Z841" s="106">
        <v>14.898016997167138</v>
      </c>
      <c r="AA841" s="106">
        <v>110213.88084730803</v>
      </c>
      <c r="AB841" s="106">
        <v>835.48435377790861</v>
      </c>
      <c r="AC841" s="106">
        <v>0.90732672900377676</v>
      </c>
      <c r="AD841" s="106">
        <v>23.193449334698055</v>
      </c>
      <c r="AE841" s="106">
        <v>131.91615180935568</v>
      </c>
      <c r="AF841" s="106">
        <v>0.11214458922945912</v>
      </c>
      <c r="AG841" s="106">
        <v>29800</v>
      </c>
      <c r="AH841" s="106">
        <v>37841.204221334854</v>
      </c>
      <c r="AI841" s="106">
        <v>44915.930975470619</v>
      </c>
      <c r="AJ841" s="106">
        <v>45723.477657349307</v>
      </c>
      <c r="AK841" s="104">
        <v>23744.500285225327</v>
      </c>
      <c r="AL841" s="118"/>
      <c r="AM841" s="118">
        <v>4467</v>
      </c>
      <c r="AN841" s="118">
        <v>149461</v>
      </c>
      <c r="AO841" s="118">
        <v>997</v>
      </c>
      <c r="AP841" s="118">
        <f t="shared" si="13"/>
        <v>4205</v>
      </c>
    </row>
    <row r="842" spans="1:42" ht="12.75">
      <c r="A842" s="106">
        <v>2018</v>
      </c>
      <c r="B842" s="106">
        <v>-145521</v>
      </c>
      <c r="C842" s="106">
        <v>0</v>
      </c>
      <c r="D842" s="106">
        <v>145521</v>
      </c>
      <c r="E842" s="106" t="s">
        <v>3929</v>
      </c>
      <c r="F842" s="106" t="s">
        <v>1471</v>
      </c>
      <c r="G842" s="106" t="s">
        <v>243</v>
      </c>
      <c r="H842" s="106">
        <v>4</v>
      </c>
      <c r="I842" s="106" t="s">
        <v>24</v>
      </c>
      <c r="J842" s="106">
        <v>3999</v>
      </c>
      <c r="K842" s="106">
        <v>6055</v>
      </c>
      <c r="L842" s="106">
        <v>5482</v>
      </c>
      <c r="M842" s="106">
        <v>0.62</v>
      </c>
      <c r="N842" s="106">
        <v>0.18</v>
      </c>
      <c r="O842" s="106">
        <v>0.34</v>
      </c>
      <c r="P842" s="106">
        <v>1714</v>
      </c>
      <c r="Q842" s="106"/>
      <c r="R842" s="106"/>
      <c r="S842" s="106">
        <v>22191.175193798448</v>
      </c>
      <c r="T842" s="106">
        <v>21690.364341085271</v>
      </c>
      <c r="U842" s="106">
        <v>18197.460725662622</v>
      </c>
      <c r="V842" s="106">
        <v>0.26747061691127216</v>
      </c>
      <c r="W842" s="106">
        <v>69483.441340782127</v>
      </c>
      <c r="X842" s="110">
        <v>0.44450616981712665</v>
      </c>
      <c r="Y842" s="106">
        <v>500.36637931034488</v>
      </c>
      <c r="Z842" s="106">
        <v>16.681034482758623</v>
      </c>
      <c r="AA842" s="106">
        <v>42681.316974735972</v>
      </c>
      <c r="AB842" s="106">
        <v>606.66040408592289</v>
      </c>
      <c r="AC842" s="106">
        <v>2.3429455107768171</v>
      </c>
      <c r="AD842" s="106">
        <v>49.41599281221923</v>
      </c>
      <c r="AE842" s="106">
        <v>70.354545454545459</v>
      </c>
      <c r="AF842" s="106">
        <v>2.8303453099730438E-2</v>
      </c>
      <c r="AG842" s="106">
        <v>3384</v>
      </c>
      <c r="AH842" s="106">
        <v>21984.638759689922</v>
      </c>
      <c r="AI842" s="106">
        <v>21984.638759689922</v>
      </c>
      <c r="AJ842" s="106">
        <v>22301.161240310077</v>
      </c>
      <c r="AK842" s="104">
        <v>19729.341860465116</v>
      </c>
      <c r="AL842" s="119">
        <v>11145547</v>
      </c>
      <c r="AM842" s="118">
        <v>1678</v>
      </c>
      <c r="AN842" s="118">
        <v>38695</v>
      </c>
      <c r="AO842" s="118">
        <v>264</v>
      </c>
      <c r="AP842" s="118">
        <f t="shared" si="13"/>
        <v>615</v>
      </c>
    </row>
    <row r="843" spans="1:42" ht="12.75">
      <c r="A843" s="106">
        <v>2018</v>
      </c>
      <c r="B843" s="106">
        <v>-155186</v>
      </c>
      <c r="C843" s="106">
        <v>0</v>
      </c>
      <c r="D843" s="106">
        <v>155186</v>
      </c>
      <c r="E843" s="106" t="s">
        <v>3930</v>
      </c>
      <c r="F843" s="106" t="s">
        <v>1472</v>
      </c>
      <c r="G843" s="106" t="s">
        <v>129</v>
      </c>
      <c r="H843" s="106">
        <v>4</v>
      </c>
      <c r="I843" s="106" t="s">
        <v>24</v>
      </c>
      <c r="J843" s="106">
        <v>3057</v>
      </c>
      <c r="K843" s="106">
        <v>6864</v>
      </c>
      <c r="L843" s="106">
        <v>6722</v>
      </c>
      <c r="M843" s="106">
        <v>0.91</v>
      </c>
      <c r="N843" s="106">
        <v>0.75</v>
      </c>
      <c r="O843" s="106">
        <v>0.65</v>
      </c>
      <c r="P843" s="106">
        <v>1838</v>
      </c>
      <c r="Q843" s="106">
        <v>1574.3852880658437</v>
      </c>
      <c r="R843" s="106">
        <v>0.66722599382305747</v>
      </c>
      <c r="S843" s="106">
        <v>12073.791666666666</v>
      </c>
      <c r="T843" s="106">
        <v>11957.280349794239</v>
      </c>
      <c r="U843" s="106">
        <v>8161.113413510162</v>
      </c>
      <c r="V843" s="106">
        <v>9.6213950618931107E-2</v>
      </c>
      <c r="W843" s="106">
        <v>43767.796875</v>
      </c>
      <c r="X843" s="110">
        <v>0.44185260344471333</v>
      </c>
      <c r="Y843" s="106">
        <v>531.72948328267478</v>
      </c>
      <c r="Z843" s="106">
        <v>17.726443768996962</v>
      </c>
      <c r="AA843" s="106">
        <v>22993.049965019934</v>
      </c>
      <c r="AB843" s="106">
        <v>272.0697696202177</v>
      </c>
      <c r="AC843" s="106">
        <v>4.349140290310908</v>
      </c>
      <c r="AD843" s="106">
        <v>36.898395721925134</v>
      </c>
      <c r="AE843" s="106">
        <v>84.51159420289855</v>
      </c>
      <c r="AF843" s="106">
        <v>1.8676458456903258E-2</v>
      </c>
      <c r="AG843" s="106">
        <v>1798</v>
      </c>
      <c r="AH843" s="106">
        <v>10310.220679012345</v>
      </c>
      <c r="AI843" s="106">
        <v>10310.220679012345</v>
      </c>
      <c r="AJ843" s="106">
        <v>12084.68878600823</v>
      </c>
      <c r="AK843" s="104">
        <v>10248.913065843621</v>
      </c>
      <c r="AL843" s="119">
        <v>5675240</v>
      </c>
      <c r="AM843" s="118">
        <v>3260</v>
      </c>
      <c r="AN843" s="118">
        <v>58313</v>
      </c>
      <c r="AO843" s="118">
        <v>252</v>
      </c>
      <c r="AP843" s="118">
        <f t="shared" si="13"/>
        <v>1259</v>
      </c>
    </row>
    <row r="844" spans="1:42" ht="12.75">
      <c r="A844" s="106">
        <v>2018</v>
      </c>
      <c r="B844" s="106">
        <v>-235431</v>
      </c>
      <c r="C844" s="106">
        <v>0</v>
      </c>
      <c r="D844" s="106">
        <v>235431</v>
      </c>
      <c r="E844" s="106" t="s">
        <v>1474</v>
      </c>
      <c r="F844" s="106" t="s">
        <v>1064</v>
      </c>
      <c r="G844" s="106" t="s">
        <v>182</v>
      </c>
      <c r="H844" s="106">
        <v>4</v>
      </c>
      <c r="I844" s="106" t="s">
        <v>24</v>
      </c>
      <c r="J844" s="106">
        <v>3936</v>
      </c>
      <c r="K844" s="106">
        <v>8319</v>
      </c>
      <c r="L844" s="106">
        <v>5856</v>
      </c>
      <c r="M844" s="106">
        <v>0.28000000000000003</v>
      </c>
      <c r="N844" s="106">
        <v>0.04</v>
      </c>
      <c r="O844" s="106">
        <v>0.26</v>
      </c>
      <c r="P844" s="106">
        <v>1374</v>
      </c>
      <c r="Q844" s="106">
        <v>382.44796302636081</v>
      </c>
      <c r="R844" s="106">
        <v>0.11273888933881622</v>
      </c>
      <c r="S844" s="106">
        <v>13135.609038000684</v>
      </c>
      <c r="T844" s="106">
        <v>13745.656110920918</v>
      </c>
      <c r="U844" s="106">
        <v>11103.606128038344</v>
      </c>
      <c r="V844" s="106">
        <v>0.27107283554893719</v>
      </c>
      <c r="W844" s="106">
        <v>91598.108786610886</v>
      </c>
      <c r="X844" s="110">
        <v>0.63611284598291384</v>
      </c>
      <c r="Y844" s="106">
        <v>1314.385</v>
      </c>
      <c r="Z844" s="106">
        <v>29.21</v>
      </c>
      <c r="AA844" s="106">
        <v>39553.211585365854</v>
      </c>
      <c r="AB844" s="106">
        <v>246.75900516211004</v>
      </c>
      <c r="AC844" s="106">
        <v>2.5282397052430157</v>
      </c>
      <c r="AD844" s="106">
        <v>32.494551218545666</v>
      </c>
      <c r="AE844" s="106">
        <v>160.29085365853658</v>
      </c>
      <c r="AF844" s="106">
        <v>-3.880537825625988E-3</v>
      </c>
      <c r="AG844" s="106">
        <v>3123</v>
      </c>
      <c r="AH844" s="106">
        <v>12664.97997261212</v>
      </c>
      <c r="AI844" s="106">
        <v>12664.97997261212</v>
      </c>
      <c r="AJ844" s="106">
        <v>13205.212940773708</v>
      </c>
      <c r="AK844" s="104">
        <v>12540.684525847313</v>
      </c>
      <c r="AL844" s="119">
        <v>27449432</v>
      </c>
      <c r="AM844" s="118">
        <v>6824</v>
      </c>
      <c r="AN844" s="118">
        <v>262877</v>
      </c>
      <c r="AO844" s="118">
        <v>1182</v>
      </c>
      <c r="AP844" s="118">
        <f t="shared" si="13"/>
        <v>813</v>
      </c>
    </row>
    <row r="845" spans="1:42" ht="12.75">
      <c r="A845" s="106">
        <v>2018</v>
      </c>
      <c r="B845" s="106">
        <v>-191621</v>
      </c>
      <c r="C845" s="106">
        <v>0</v>
      </c>
      <c r="D845" s="106">
        <v>191621</v>
      </c>
      <c r="E845" s="106" t="s">
        <v>1475</v>
      </c>
      <c r="F845" s="106" t="s">
        <v>1476</v>
      </c>
      <c r="G845" s="106" t="s">
        <v>69</v>
      </c>
      <c r="H845" s="106">
        <v>7</v>
      </c>
      <c r="I845" s="106" t="s">
        <v>3641</v>
      </c>
      <c r="J845" s="106">
        <v>21750</v>
      </c>
      <c r="K845" s="106">
        <v>15274</v>
      </c>
      <c r="L845" s="106">
        <v>10340</v>
      </c>
      <c r="M845" s="106">
        <v>0.56000000000000005</v>
      </c>
      <c r="N845" s="106">
        <v>0.84</v>
      </c>
      <c r="O845" s="106">
        <v>0.98</v>
      </c>
      <c r="P845" s="106">
        <v>9156</v>
      </c>
      <c r="Q845" s="106">
        <v>6030.6435006435004</v>
      </c>
      <c r="R845" s="106">
        <v>0.31787739380168217</v>
      </c>
      <c r="S845" s="106">
        <v>16366.056628056627</v>
      </c>
      <c r="T845" s="106">
        <v>19343.868725868724</v>
      </c>
      <c r="U845" s="106">
        <v>17734.521235521235</v>
      </c>
      <c r="V845" s="106">
        <v>0.7297044360035394</v>
      </c>
      <c r="W845" s="106">
        <v>59626.865934065936</v>
      </c>
      <c r="X845" s="110">
        <v>0.60168303971753911</v>
      </c>
      <c r="Y845" s="106">
        <v>383.6</v>
      </c>
      <c r="Z845" s="106">
        <v>12.95</v>
      </c>
      <c r="AA845" s="106">
        <v>62070.824324324327</v>
      </c>
      <c r="AB845" s="106">
        <v>598.70190302398328</v>
      </c>
      <c r="AC845" s="106">
        <v>1.6110628638906603</v>
      </c>
      <c r="AD845" s="106">
        <v>29.639519359145527</v>
      </c>
      <c r="AE845" s="106">
        <v>103.67567567567568</v>
      </c>
      <c r="AF845" s="106">
        <v>-4.7010331803122876E-2</v>
      </c>
      <c r="AG845" s="106">
        <v>21150</v>
      </c>
      <c r="AH845" s="106">
        <v>15942.272844272844</v>
      </c>
      <c r="AI845" s="106">
        <v>16454.938223938225</v>
      </c>
      <c r="AJ845" s="106">
        <v>17685.725868725869</v>
      </c>
      <c r="AK845" s="104">
        <v>17734.521235521235</v>
      </c>
      <c r="AL845" s="118"/>
      <c r="AM845" s="118">
        <v>746</v>
      </c>
      <c r="AN845" s="118">
        <v>23016</v>
      </c>
      <c r="AO845" s="118">
        <v>190</v>
      </c>
      <c r="AP845" s="118">
        <f t="shared" si="13"/>
        <v>600</v>
      </c>
    </row>
    <row r="846" spans="1:42" ht="12.75">
      <c r="A846" s="106">
        <v>2018</v>
      </c>
      <c r="B846" s="106">
        <v>-225371</v>
      </c>
      <c r="C846" s="106">
        <v>0</v>
      </c>
      <c r="D846" s="106">
        <v>225371</v>
      </c>
      <c r="E846" s="106" t="s">
        <v>1477</v>
      </c>
      <c r="F846" s="106" t="s">
        <v>1478</v>
      </c>
      <c r="G846" s="106" t="s">
        <v>60</v>
      </c>
      <c r="H846" s="106">
        <v>4</v>
      </c>
      <c r="I846" s="106" t="s">
        <v>24</v>
      </c>
      <c r="J846" s="106">
        <v>1995</v>
      </c>
      <c r="K846" s="106">
        <v>10038</v>
      </c>
      <c r="L846" s="106">
        <v>8509</v>
      </c>
      <c r="M846" s="106">
        <v>0.44</v>
      </c>
      <c r="N846" s="106">
        <v>0.2</v>
      </c>
      <c r="O846" s="106">
        <v>0.36</v>
      </c>
      <c r="P846" s="106">
        <v>2251</v>
      </c>
      <c r="Q846" s="106">
        <v>712.96310493531382</v>
      </c>
      <c r="R846" s="106">
        <v>0.164791386814443</v>
      </c>
      <c r="S846" s="106">
        <v>13033.193100143748</v>
      </c>
      <c r="T846" s="106">
        <v>12730.099185433637</v>
      </c>
      <c r="U846" s="106">
        <v>10051.999520843316</v>
      </c>
      <c r="V846" s="106">
        <v>0.35948026464970867</v>
      </c>
      <c r="W846" s="106">
        <v>60036.506988564171</v>
      </c>
      <c r="X846" s="110">
        <v>0.59280882132250956</v>
      </c>
      <c r="Y846" s="106">
        <v>375.72639999999996</v>
      </c>
      <c r="Z846" s="106">
        <v>15.652499999999998</v>
      </c>
      <c r="AA846" s="106">
        <v>31979.455792682926</v>
      </c>
      <c r="AB846" s="106">
        <v>418.75929532766395</v>
      </c>
      <c r="AC846" s="106">
        <v>3.1270075591117639</v>
      </c>
      <c r="AD846" s="106">
        <v>27.006998764923839</v>
      </c>
      <c r="AE846" s="106">
        <v>76.367154471544708</v>
      </c>
      <c r="AF846" s="106">
        <v>2.370773342128164E-2</v>
      </c>
      <c r="AG846" s="106">
        <v>1848</v>
      </c>
      <c r="AH846" s="106">
        <v>11956.152850982271</v>
      </c>
      <c r="AI846" s="106">
        <v>12385.226161954959</v>
      </c>
      <c r="AJ846" s="106">
        <v>13110.851461427887</v>
      </c>
      <c r="AK846" s="104">
        <v>11686.506468615236</v>
      </c>
      <c r="AL846" s="118">
        <v>14071086</v>
      </c>
      <c r="AM846" s="118">
        <v>4236</v>
      </c>
      <c r="AN846" s="118">
        <v>50096.853333333333</v>
      </c>
      <c r="AO846" s="118">
        <v>376</v>
      </c>
      <c r="AP846" s="118">
        <f t="shared" si="13"/>
        <v>147</v>
      </c>
    </row>
    <row r="847" spans="1:42" ht="12.75">
      <c r="A847" s="106">
        <v>2018</v>
      </c>
      <c r="B847" s="106">
        <v>-134495</v>
      </c>
      <c r="C847" s="106">
        <v>0</v>
      </c>
      <c r="D847" s="106">
        <v>134495</v>
      </c>
      <c r="E847" s="106" t="s">
        <v>1479</v>
      </c>
      <c r="F847" s="106" t="s">
        <v>1194</v>
      </c>
      <c r="G847" s="106" t="s">
        <v>258</v>
      </c>
      <c r="H847" s="106">
        <v>4</v>
      </c>
      <c r="I847" s="106" t="s">
        <v>24</v>
      </c>
      <c r="J847" s="106">
        <v>2506</v>
      </c>
      <c r="K847" s="106">
        <v>3978</v>
      </c>
      <c r="L847" s="106">
        <v>4613</v>
      </c>
      <c r="M847" s="106">
        <v>0.59</v>
      </c>
      <c r="N847" s="106">
        <v>0.72</v>
      </c>
      <c r="O847" s="106">
        <v>0.15</v>
      </c>
      <c r="P847" s="106">
        <v>1704</v>
      </c>
      <c r="Q847" s="107">
        <v>167.36672385950746</v>
      </c>
      <c r="R847" s="106">
        <v>5.3705336396782058E-2</v>
      </c>
      <c r="S847" s="106">
        <v>9309.1875756964073</v>
      </c>
      <c r="T847" s="106">
        <v>9634.3803996770293</v>
      </c>
      <c r="U847" s="106">
        <v>6772.5729542455811</v>
      </c>
      <c r="V847" s="106">
        <v>0.43543604116121115</v>
      </c>
      <c r="W847" s="106">
        <v>60562.795900374687</v>
      </c>
      <c r="X847" s="110">
        <v>0.47974853526609834</v>
      </c>
      <c r="Y847" s="106">
        <v>884.89434565434567</v>
      </c>
      <c r="Z847" s="106">
        <v>29.694305694305697</v>
      </c>
      <c r="AA847" s="106">
        <v>23388.86470221862</v>
      </c>
      <c r="AB847" s="106">
        <v>227.26651224293275</v>
      </c>
      <c r="AC847" s="106">
        <v>4.2755388631802305</v>
      </c>
      <c r="AD847" s="106">
        <v>34.742068297408572</v>
      </c>
      <c r="AE847" s="106">
        <v>102.91381898454745</v>
      </c>
      <c r="AF847" s="106">
        <v>6.0025532544592815E-2</v>
      </c>
      <c r="AG847" s="106">
        <v>1931</v>
      </c>
      <c r="AH847" s="106">
        <v>7832.6815704481223</v>
      </c>
      <c r="AI847" s="106">
        <v>7832.6815704481223</v>
      </c>
      <c r="AJ847" s="106">
        <v>9332.9537242632214</v>
      </c>
      <c r="AK847" s="104">
        <v>9090.2871921679452</v>
      </c>
      <c r="AL847" s="119">
        <v>66819219</v>
      </c>
      <c r="AM847" s="118">
        <v>27626</v>
      </c>
      <c r="AN847" s="118">
        <v>590519.49333333329</v>
      </c>
      <c r="AO847" s="118">
        <v>3920</v>
      </c>
      <c r="AP847" s="118">
        <f t="shared" si="13"/>
        <v>575</v>
      </c>
    </row>
    <row r="848" spans="1:42" ht="12.75">
      <c r="A848" s="106">
        <v>2018</v>
      </c>
      <c r="B848" s="106">
        <v>-170286</v>
      </c>
      <c r="C848" s="106">
        <v>0</v>
      </c>
      <c r="D848" s="106">
        <v>170286</v>
      </c>
      <c r="E848" s="106" t="s">
        <v>1480</v>
      </c>
      <c r="F848" s="106" t="s">
        <v>1481</v>
      </c>
      <c r="G848" s="106" t="s">
        <v>74</v>
      </c>
      <c r="H848" s="106">
        <v>7</v>
      </c>
      <c r="I848" s="106" t="s">
        <v>3641</v>
      </c>
      <c r="J848" s="106">
        <v>26742</v>
      </c>
      <c r="K848" s="106">
        <v>21918</v>
      </c>
      <c r="L848" s="106"/>
      <c r="M848" s="106">
        <v>0</v>
      </c>
      <c r="N848" s="106">
        <v>0.32</v>
      </c>
      <c r="O848" s="106">
        <v>0.96</v>
      </c>
      <c r="P848" s="107">
        <v>18634</v>
      </c>
      <c r="Q848" s="107">
        <v>19189.767379679146</v>
      </c>
      <c r="R848" s="106">
        <v>0.68769825178148725</v>
      </c>
      <c r="S848" s="106">
        <v>109263.24064171124</v>
      </c>
      <c r="T848" s="106">
        <v>81836.939839572195</v>
      </c>
      <c r="U848" s="106">
        <v>67322.324866310155</v>
      </c>
      <c r="V848" s="106">
        <v>0.12944554252420298</v>
      </c>
      <c r="W848" s="106">
        <v>85218.63122171945</v>
      </c>
      <c r="X848" s="110">
        <v>0.41021787962305573</v>
      </c>
      <c r="Y848" s="106">
        <v>283.40803382663847</v>
      </c>
      <c r="Z848" s="106">
        <v>9.4883720930232567</v>
      </c>
      <c r="AA848" s="106">
        <v>286935.03703703702</v>
      </c>
      <c r="AB848" s="106">
        <v>2253.9208217706559</v>
      </c>
      <c r="AC848" s="106">
        <v>0.34851094182371389</v>
      </c>
      <c r="AD848" s="106">
        <v>23.122529644268774</v>
      </c>
      <c r="AE848" s="106">
        <v>127.3048433048433</v>
      </c>
      <c r="AF848" s="106">
        <v>0.13058415721660913</v>
      </c>
      <c r="AG848" s="106">
        <v>25540</v>
      </c>
      <c r="AH848" s="106">
        <v>19434.343582887701</v>
      </c>
      <c r="AI848" s="106">
        <v>108966.44919786096</v>
      </c>
      <c r="AJ848" s="106">
        <v>138588.51737967914</v>
      </c>
      <c r="AK848" s="104">
        <v>67619.116310160432</v>
      </c>
      <c r="AM848" s="118">
        <v>1512</v>
      </c>
      <c r="AN848" s="118">
        <v>44684</v>
      </c>
      <c r="AO848" s="118">
        <v>339</v>
      </c>
      <c r="AP848" s="118">
        <f t="shared" si="13"/>
        <v>1202</v>
      </c>
    </row>
    <row r="849" spans="1:42" ht="12.75">
      <c r="A849" s="106">
        <v>2018</v>
      </c>
      <c r="B849" s="106">
        <v>-175786</v>
      </c>
      <c r="C849" s="106">
        <v>0</v>
      </c>
      <c r="D849" s="106">
        <v>175786</v>
      </c>
      <c r="E849" s="106" t="s">
        <v>1482</v>
      </c>
      <c r="F849" s="106" t="s">
        <v>1483</v>
      </c>
      <c r="G849" s="106" t="s">
        <v>107</v>
      </c>
      <c r="H849" s="106">
        <v>4</v>
      </c>
      <c r="I849" s="106" t="s">
        <v>24</v>
      </c>
      <c r="J849" s="106">
        <v>3080</v>
      </c>
      <c r="K849" s="106">
        <v>4089</v>
      </c>
      <c r="L849" s="106">
        <v>3370</v>
      </c>
      <c r="M849" s="106">
        <v>0.72</v>
      </c>
      <c r="N849" s="106">
        <v>0.46</v>
      </c>
      <c r="O849" s="106">
        <v>0.3</v>
      </c>
      <c r="P849" s="106">
        <v>2751</v>
      </c>
      <c r="Q849" s="106">
        <v>337.76003242805024</v>
      </c>
      <c r="R849" s="106">
        <v>9.3090984004124244E-2</v>
      </c>
      <c r="S849" s="106">
        <v>13175.029083907581</v>
      </c>
      <c r="T849" s="106">
        <v>14423.941730847182</v>
      </c>
      <c r="U849" s="106">
        <v>7649.0556343737335</v>
      </c>
      <c r="V849" s="106">
        <v>0.43018626133947746</v>
      </c>
      <c r="W849" s="106">
        <v>68319.179104477618</v>
      </c>
      <c r="X849" s="110">
        <v>0.58958411887489148</v>
      </c>
      <c r="Y849" s="106">
        <v>594.87608841259203</v>
      </c>
      <c r="Z849" s="106">
        <v>19.828533154722034</v>
      </c>
      <c r="AA849" s="106">
        <v>18536.56213163065</v>
      </c>
      <c r="AB849" s="106">
        <v>254.95990879918932</v>
      </c>
      <c r="AC849" s="106">
        <v>5.394743604012783</v>
      </c>
      <c r="AD849" s="106">
        <v>46.120738475478532</v>
      </c>
      <c r="AE849" s="106">
        <v>72.703831041257374</v>
      </c>
      <c r="AF849" s="106">
        <v>-5.6784861198353132E-2</v>
      </c>
      <c r="AG849" s="106">
        <v>2880</v>
      </c>
      <c r="AH849" s="106">
        <v>11879.032732063235</v>
      </c>
      <c r="AI849" s="106">
        <v>11879.032732063235</v>
      </c>
      <c r="AJ849" s="106">
        <v>13187.559991892987</v>
      </c>
      <c r="AK849" s="104">
        <v>9043.0275638427247</v>
      </c>
      <c r="AL849" s="119">
        <v>44321513</v>
      </c>
      <c r="AM849" s="118">
        <v>12061</v>
      </c>
      <c r="AN849" s="118">
        <v>296050</v>
      </c>
      <c r="AO849" s="118">
        <v>1736</v>
      </c>
      <c r="AP849" s="118">
        <f t="shared" si="13"/>
        <v>200</v>
      </c>
    </row>
    <row r="850" spans="1:42" ht="12.75">
      <c r="A850" s="106">
        <v>2018</v>
      </c>
      <c r="B850" s="106">
        <v>-203128</v>
      </c>
      <c r="C850" s="106">
        <v>0</v>
      </c>
      <c r="D850" s="106">
        <v>203128</v>
      </c>
      <c r="E850" s="106" t="s">
        <v>1484</v>
      </c>
      <c r="F850" s="106" t="s">
        <v>1485</v>
      </c>
      <c r="G850" s="106" t="s">
        <v>82</v>
      </c>
      <c r="H850" s="106">
        <v>7</v>
      </c>
      <c r="I850" s="106" t="s">
        <v>3641</v>
      </c>
      <c r="J850" s="106">
        <v>32899</v>
      </c>
      <c r="K850" s="106">
        <v>21700</v>
      </c>
      <c r="L850" s="106">
        <v>18506</v>
      </c>
      <c r="M850" s="106">
        <v>0.6</v>
      </c>
      <c r="N850" s="106">
        <v>0.86</v>
      </c>
      <c r="O850" s="106">
        <v>1</v>
      </c>
      <c r="P850" s="106">
        <v>20839</v>
      </c>
      <c r="Q850" s="106">
        <v>14014.542131979695</v>
      </c>
      <c r="R850" s="106">
        <v>0.5125798376158156</v>
      </c>
      <c r="S850" s="106">
        <v>34988.858883248729</v>
      </c>
      <c r="T850" s="106">
        <v>34897.214213197971</v>
      </c>
      <c r="U850" s="106">
        <v>25244.697461928936</v>
      </c>
      <c r="V850" s="106">
        <v>0.52789884769287831</v>
      </c>
      <c r="W850" s="106">
        <v>73183.013100436685</v>
      </c>
      <c r="X850" s="110">
        <v>0.48754957124848386</v>
      </c>
      <c r="Y850" s="106">
        <v>294.89999999999998</v>
      </c>
      <c r="Z850" s="106">
        <v>9.85</v>
      </c>
      <c r="AA850" s="106">
        <v>100266.2379032258</v>
      </c>
      <c r="AB850" s="106">
        <v>843.20200067819599</v>
      </c>
      <c r="AC850" s="106">
        <v>0.99734469040832296</v>
      </c>
      <c r="AD850" s="106">
        <v>24.8</v>
      </c>
      <c r="AE850" s="106">
        <v>118.91129032258064</v>
      </c>
      <c r="AF850" s="106">
        <v>5.4665611309872485E-2</v>
      </c>
      <c r="AG850" s="106">
        <v>31299</v>
      </c>
      <c r="AH850" s="106">
        <v>22517.345177664974</v>
      </c>
      <c r="AI850" s="106">
        <v>35058.580710659895</v>
      </c>
      <c r="AJ850" s="106">
        <v>39903.219289340101</v>
      </c>
      <c r="AK850" s="104">
        <v>25244.697461928936</v>
      </c>
      <c r="AL850" s="118"/>
      <c r="AM850" s="118">
        <v>1209</v>
      </c>
      <c r="AN850" s="118">
        <v>29490</v>
      </c>
      <c r="AO850" s="118">
        <v>242</v>
      </c>
      <c r="AP850" s="118">
        <f t="shared" si="13"/>
        <v>1600</v>
      </c>
    </row>
    <row r="851" spans="1:42" ht="12.75">
      <c r="A851" s="106">
        <v>2018</v>
      </c>
      <c r="B851" s="106">
        <v>-220312</v>
      </c>
      <c r="C851" s="106">
        <v>0</v>
      </c>
      <c r="D851" s="106">
        <v>220312</v>
      </c>
      <c r="E851" s="106" t="s">
        <v>1486</v>
      </c>
      <c r="F851" s="106" t="s">
        <v>1487</v>
      </c>
      <c r="G851" s="106" t="s">
        <v>255</v>
      </c>
      <c r="H851" s="106">
        <v>7</v>
      </c>
      <c r="I851" s="106" t="s">
        <v>3641</v>
      </c>
      <c r="J851" s="106">
        <v>16489</v>
      </c>
      <c r="K851" s="106">
        <v>11434</v>
      </c>
      <c r="L851" s="106">
        <v>13540</v>
      </c>
      <c r="M851" s="106">
        <v>0.75</v>
      </c>
      <c r="N851" s="106">
        <v>0.68</v>
      </c>
      <c r="O851" s="106">
        <v>0.95</v>
      </c>
      <c r="P851" s="106">
        <v>5309</v>
      </c>
      <c r="Q851" s="106">
        <v>1727.5941558441559</v>
      </c>
      <c r="R851" s="106">
        <v>0.17208543292940667</v>
      </c>
      <c r="S851" s="106">
        <v>19584.5487012987</v>
      </c>
      <c r="T851" s="106">
        <v>19728.217532467534</v>
      </c>
      <c r="U851" s="106">
        <v>14923.355427219502</v>
      </c>
      <c r="V851" s="106">
        <v>0.55695057784467905</v>
      </c>
      <c r="W851" s="106">
        <v>44168.396984924628</v>
      </c>
      <c r="X851" s="110">
        <v>0.48217522827659176</v>
      </c>
      <c r="Y851" s="106">
        <v>414</v>
      </c>
      <c r="Z851" s="106">
        <v>13.791044776119405</v>
      </c>
      <c r="AA851" s="106">
        <v>57454.918394795081</v>
      </c>
      <c r="AB851" s="106">
        <v>497.12237417084219</v>
      </c>
      <c r="AC851" s="106">
        <v>1.7404950314760022</v>
      </c>
      <c r="AD851" s="106">
        <v>26.755852842809364</v>
      </c>
      <c r="AE851" s="106">
        <v>115.575</v>
      </c>
      <c r="AF851" s="106">
        <v>2.5080509645406542E-2</v>
      </c>
      <c r="AG851" s="106">
        <v>15664</v>
      </c>
      <c r="AH851" s="106">
        <v>14742.532467532468</v>
      </c>
      <c r="AI851" s="106">
        <v>17856.954545454544</v>
      </c>
      <c r="AJ851" s="106">
        <v>20452</v>
      </c>
      <c r="AK851" s="104">
        <v>15887.857142857143</v>
      </c>
      <c r="AM851" s="118">
        <v>302</v>
      </c>
      <c r="AN851" s="118">
        <v>9246</v>
      </c>
      <c r="AO851" s="118">
        <v>80</v>
      </c>
      <c r="AP851" s="118">
        <f t="shared" si="13"/>
        <v>825</v>
      </c>
    </row>
    <row r="852" spans="1:42" ht="12.75">
      <c r="A852" s="106">
        <v>2018</v>
      </c>
      <c r="B852" s="106">
        <v>-191630</v>
      </c>
      <c r="C852" s="106">
        <v>0</v>
      </c>
      <c r="D852" s="106">
        <v>191630</v>
      </c>
      <c r="E852" s="106" t="s">
        <v>1488</v>
      </c>
      <c r="F852" s="106" t="s">
        <v>1489</v>
      </c>
      <c r="G852" s="106" t="s">
        <v>69</v>
      </c>
      <c r="H852" s="106">
        <v>7</v>
      </c>
      <c r="I852" s="106" t="s">
        <v>3641</v>
      </c>
      <c r="J852" s="106">
        <v>53525</v>
      </c>
      <c r="K852" s="106">
        <v>38311</v>
      </c>
      <c r="L852" s="106">
        <v>19123</v>
      </c>
      <c r="M852" s="106">
        <v>0.18</v>
      </c>
      <c r="N852" s="106">
        <v>0.64</v>
      </c>
      <c r="O852" s="106">
        <v>0.93</v>
      </c>
      <c r="P852" s="106">
        <v>30501</v>
      </c>
      <c r="Q852" s="106">
        <v>25900.54400364797</v>
      </c>
      <c r="R852" s="106">
        <v>0.4823589943536547</v>
      </c>
      <c r="S852" s="106">
        <v>46632.432740538075</v>
      </c>
      <c r="T852" s="106">
        <v>50949.053807569537</v>
      </c>
      <c r="U852" s="106">
        <v>41934.416311362496</v>
      </c>
      <c r="V852" s="106">
        <v>0.66282148088975157</v>
      </c>
      <c r="W852" s="106">
        <v>97119.717597471026</v>
      </c>
      <c r="X852" s="110">
        <v>0.54993025005756002</v>
      </c>
      <c r="Y852" s="106">
        <v>297.81046676096184</v>
      </c>
      <c r="Z852" s="106">
        <v>9.3055162659123063</v>
      </c>
      <c r="AA852" s="106">
        <v>171891.91583330458</v>
      </c>
      <c r="AB852" s="106">
        <v>1310.3011365954912</v>
      </c>
      <c r="AC852" s="106">
        <v>0.58176092526059731</v>
      </c>
      <c r="AD852" s="106">
        <v>23.94807520143241</v>
      </c>
      <c r="AE852" s="106">
        <v>131.18504672897197</v>
      </c>
      <c r="AF852" s="106">
        <v>4.4882705840201868E-2</v>
      </c>
      <c r="AG852" s="106">
        <v>52345</v>
      </c>
      <c r="AH852" s="106">
        <v>41263.347469220244</v>
      </c>
      <c r="AI852" s="106">
        <v>46632.432740538075</v>
      </c>
      <c r="AJ852" s="106">
        <v>57772.507523939807</v>
      </c>
      <c r="AK852" s="104">
        <v>43102.367533059733</v>
      </c>
      <c r="AL852" s="118">
        <v>155837</v>
      </c>
      <c r="AM852" s="118">
        <v>2237</v>
      </c>
      <c r="AN852" s="118">
        <v>70184</v>
      </c>
      <c r="AO852" s="118">
        <v>529</v>
      </c>
      <c r="AP852" s="118">
        <f t="shared" si="13"/>
        <v>1180</v>
      </c>
    </row>
    <row r="853" spans="1:42" ht="12.75">
      <c r="A853" s="106">
        <v>2018</v>
      </c>
      <c r="B853" s="106">
        <v>-203155</v>
      </c>
      <c r="C853" s="106">
        <v>0</v>
      </c>
      <c r="D853" s="106">
        <v>203155</v>
      </c>
      <c r="E853" s="106" t="s">
        <v>1490</v>
      </c>
      <c r="F853" s="106" t="s">
        <v>1491</v>
      </c>
      <c r="G853" s="106" t="s">
        <v>82</v>
      </c>
      <c r="H853" s="106">
        <v>4</v>
      </c>
      <c r="I853" s="106" t="s">
        <v>24</v>
      </c>
      <c r="J853" s="106">
        <v>4390</v>
      </c>
      <c r="K853" s="106">
        <v>11391</v>
      </c>
      <c r="L853" s="106">
        <v>11107</v>
      </c>
      <c r="M853" s="106">
        <v>0.6</v>
      </c>
      <c r="N853" s="106">
        <v>0.66</v>
      </c>
      <c r="O853" s="106">
        <v>0.08</v>
      </c>
      <c r="P853" s="106">
        <v>991</v>
      </c>
      <c r="Q853" s="106">
        <v>177.09083601286173</v>
      </c>
      <c r="R853" s="106">
        <v>2.7236555519852986E-2</v>
      </c>
      <c r="S853" s="106">
        <v>15995.924035369775</v>
      </c>
      <c r="T853" s="106">
        <v>9277.1450964630221</v>
      </c>
      <c r="U853" s="106">
        <v>6577.5999867317696</v>
      </c>
      <c r="V853" s="106">
        <v>0.96157616103287846</v>
      </c>
      <c r="W853" s="106">
        <v>62884.530612244896</v>
      </c>
      <c r="X853" s="110">
        <v>0.75648939669832216</v>
      </c>
      <c r="Y853" s="106">
        <v>571.10969387755108</v>
      </c>
      <c r="Z853" s="106">
        <v>19.040816326530614</v>
      </c>
      <c r="AA853" s="106">
        <v>17521.486902557433</v>
      </c>
      <c r="AB853" s="106">
        <v>219.29740391274564</v>
      </c>
      <c r="AC853" s="106">
        <v>5.7072781868417808</v>
      </c>
      <c r="AD853" s="106">
        <v>36.829652996845425</v>
      </c>
      <c r="AE853" s="106">
        <v>79.898286937901503</v>
      </c>
      <c r="AF853" s="106">
        <v>2.6906538710388097</v>
      </c>
      <c r="AG853" s="106">
        <v>3696</v>
      </c>
      <c r="AH853" s="106">
        <v>14994.350080385851</v>
      </c>
      <c r="AI853" s="106">
        <v>14994.350080385851</v>
      </c>
      <c r="AJ853" s="106">
        <v>16038.114549839229</v>
      </c>
      <c r="AK853" s="104">
        <v>7808.6889067524116</v>
      </c>
      <c r="AL853" s="119">
        <v>12499975</v>
      </c>
      <c r="AM853" s="118">
        <v>3375</v>
      </c>
      <c r="AN853" s="118">
        <v>74625</v>
      </c>
      <c r="AO853" s="118">
        <v>631</v>
      </c>
      <c r="AP853" s="118">
        <f t="shared" si="13"/>
        <v>694</v>
      </c>
    </row>
    <row r="854" spans="1:42" ht="12.75">
      <c r="A854" s="106">
        <v>2018</v>
      </c>
      <c r="B854" s="106">
        <v>-367884</v>
      </c>
      <c r="C854" s="106">
        <v>0</v>
      </c>
      <c r="D854" s="106">
        <v>367884</v>
      </c>
      <c r="E854" s="106" t="s">
        <v>1492</v>
      </c>
      <c r="F854" s="106" t="s">
        <v>1493</v>
      </c>
      <c r="G854" s="106" t="s">
        <v>258</v>
      </c>
      <c r="H854" s="106">
        <v>6</v>
      </c>
      <c r="I854" s="106" t="s">
        <v>3640</v>
      </c>
      <c r="J854" s="106">
        <v>13940</v>
      </c>
      <c r="K854" s="106">
        <v>18686</v>
      </c>
      <c r="L854" s="106">
        <v>18031</v>
      </c>
      <c r="M854" s="106">
        <v>0.72</v>
      </c>
      <c r="N854" s="106">
        <v>0.55000000000000004</v>
      </c>
      <c r="O854" s="106">
        <v>0.01</v>
      </c>
      <c r="P854" s="106">
        <v>1500</v>
      </c>
      <c r="Q854" s="106">
        <v>133.73991031390133</v>
      </c>
      <c r="R854" s="106">
        <v>6.5481115381571964E-3</v>
      </c>
      <c r="S854" s="106">
        <v>19114.600896860986</v>
      </c>
      <c r="T854" s="106">
        <v>20943.400000000001</v>
      </c>
      <c r="U854" s="106">
        <v>20724.311210762331</v>
      </c>
      <c r="V854" s="106">
        <v>0.97906537877331912</v>
      </c>
      <c r="W854" s="106">
        <v>71783.389112903227</v>
      </c>
      <c r="X854" s="110">
        <v>0.50823237398632937</v>
      </c>
      <c r="Y854" s="106">
        <v>451.19444444444446</v>
      </c>
      <c r="Z854" s="106">
        <v>15.486111111111111</v>
      </c>
      <c r="AA854" s="106">
        <v>56915.288177339899</v>
      </c>
      <c r="AB854" s="106">
        <v>711.30970264113773</v>
      </c>
      <c r="AC854" s="106">
        <v>1.7569971654788832</v>
      </c>
      <c r="AD854" s="106">
        <v>45.566778900112233</v>
      </c>
      <c r="AE854" s="106">
        <v>80.014778325123146</v>
      </c>
      <c r="AF854" s="106">
        <v>-3.7290671385905902E-2</v>
      </c>
      <c r="AG854" s="106">
        <v>13440</v>
      </c>
      <c r="AH854" s="106">
        <v>20445.793721973096</v>
      </c>
      <c r="AI854" s="106">
        <v>20920.623318385649</v>
      </c>
      <c r="AJ854" s="106">
        <v>19214.434977578476</v>
      </c>
      <c r="AK854" s="104">
        <v>20724.311210762331</v>
      </c>
      <c r="AL854" s="118"/>
      <c r="AM854" s="118">
        <v>1078</v>
      </c>
      <c r="AN854" s="118">
        <v>32486</v>
      </c>
      <c r="AO854" s="118">
        <v>307</v>
      </c>
      <c r="AP854" s="118">
        <f t="shared" si="13"/>
        <v>500</v>
      </c>
    </row>
    <row r="855" spans="1:42" ht="12.75">
      <c r="A855" s="106">
        <v>2018</v>
      </c>
      <c r="B855" s="106">
        <v>-191649</v>
      </c>
      <c r="C855" s="106">
        <v>0</v>
      </c>
      <c r="D855" s="106">
        <v>191649</v>
      </c>
      <c r="E855" s="106" t="s">
        <v>1494</v>
      </c>
      <c r="F855" s="106" t="s">
        <v>1495</v>
      </c>
      <c r="G855" s="106" t="s">
        <v>69</v>
      </c>
      <c r="H855" s="106">
        <v>5</v>
      </c>
      <c r="I855" s="106" t="s">
        <v>3639</v>
      </c>
      <c r="J855" s="106">
        <v>43960</v>
      </c>
      <c r="K855" s="106">
        <v>32443</v>
      </c>
      <c r="L855" s="106">
        <v>29282</v>
      </c>
      <c r="M855" s="106">
        <v>0.24</v>
      </c>
      <c r="N855" s="106">
        <v>0.53</v>
      </c>
      <c r="O855" s="106">
        <v>0.97</v>
      </c>
      <c r="P855" s="106">
        <v>23719</v>
      </c>
      <c r="Q855" s="106">
        <v>13902.13235157051</v>
      </c>
      <c r="R855" s="106">
        <v>0.33695143373527148</v>
      </c>
      <c r="S855" s="106">
        <v>37662.617951346816</v>
      </c>
      <c r="T855" s="106">
        <v>35132.045111380372</v>
      </c>
      <c r="U855" s="106">
        <v>29487.464541267298</v>
      </c>
      <c r="V855" s="106">
        <v>0.92773089330943226</v>
      </c>
      <c r="W855" s="106">
        <v>114168.95617144699</v>
      </c>
      <c r="X855" s="110">
        <v>0.62657904994738145</v>
      </c>
      <c r="Y855" s="106">
        <v>365.56143497757847</v>
      </c>
      <c r="Z855" s="106">
        <v>14.433632286995515</v>
      </c>
      <c r="AA855" s="106">
        <v>100212.54579133888</v>
      </c>
      <c r="AB855" s="106">
        <v>1164.2672873591705</v>
      </c>
      <c r="AC855" s="106">
        <v>0.99787905007641009</v>
      </c>
      <c r="AD855" s="106">
        <v>31.180246913580245</v>
      </c>
      <c r="AE855" s="106">
        <v>86.073487488121629</v>
      </c>
      <c r="AF855" s="106">
        <v>0.10886894040037344</v>
      </c>
      <c r="AG855" s="106">
        <v>42900</v>
      </c>
      <c r="AH855" s="106">
        <v>34818.130767079878</v>
      </c>
      <c r="AI855" s="106">
        <v>37879.172429862985</v>
      </c>
      <c r="AJ855" s="106">
        <v>42934.792338521765</v>
      </c>
      <c r="AK855" s="104">
        <v>31080.749743685337</v>
      </c>
      <c r="AL855" s="118">
        <v>781877</v>
      </c>
      <c r="AM855" s="118">
        <v>6861</v>
      </c>
      <c r="AN855" s="118">
        <v>271734</v>
      </c>
      <c r="AO855" s="118">
        <v>1507</v>
      </c>
      <c r="AP855" s="118">
        <f t="shared" si="13"/>
        <v>1060</v>
      </c>
    </row>
    <row r="856" spans="1:42" ht="12.75">
      <c r="A856" s="106">
        <v>2018</v>
      </c>
      <c r="B856" s="106">
        <v>-232308</v>
      </c>
      <c r="C856" s="106">
        <v>0</v>
      </c>
      <c r="D856" s="106">
        <v>232308</v>
      </c>
      <c r="E856" s="106" t="s">
        <v>1496</v>
      </c>
      <c r="F856" s="106" t="s">
        <v>1497</v>
      </c>
      <c r="G856" s="106" t="s">
        <v>261</v>
      </c>
      <c r="H856" s="106">
        <v>7</v>
      </c>
      <c r="I856" s="106" t="s">
        <v>3641</v>
      </c>
      <c r="J856" s="106">
        <v>38285</v>
      </c>
      <c r="K856" s="106">
        <v>20560</v>
      </c>
      <c r="L856" s="106">
        <v>17012</v>
      </c>
      <c r="M856" s="106">
        <v>0.35</v>
      </c>
      <c r="N856" s="106">
        <v>0.74</v>
      </c>
      <c r="O856" s="106">
        <v>1</v>
      </c>
      <c r="P856" s="106">
        <v>29732</v>
      </c>
      <c r="Q856" s="106">
        <v>20258.04</v>
      </c>
      <c r="R856" s="106">
        <v>0.65895045860471635</v>
      </c>
      <c r="S856" s="106">
        <v>28659.005555555555</v>
      </c>
      <c r="T856" s="106">
        <v>41914.06</v>
      </c>
      <c r="U856" s="106">
        <v>34237.243219440323</v>
      </c>
      <c r="V856" s="106">
        <v>0.30624100517019298</v>
      </c>
      <c r="W856" s="106">
        <v>63868.313769751694</v>
      </c>
      <c r="X856" s="110">
        <v>0.50002955783545877</v>
      </c>
      <c r="Y856" s="106">
        <v>252.17532467532467</v>
      </c>
      <c r="Z856" s="106">
        <v>8.7662337662337659</v>
      </c>
      <c r="AA856" s="106">
        <v>152542.17275988264</v>
      </c>
      <c r="AB856" s="106">
        <v>1190.1706797024447</v>
      </c>
      <c r="AC856" s="106">
        <v>0.65555641558489197</v>
      </c>
      <c r="AD856" s="106">
        <v>27.785419532324624</v>
      </c>
      <c r="AE856" s="106">
        <v>128.16831683168317</v>
      </c>
      <c r="AF856" s="106">
        <v>2.3817900009949731E-3</v>
      </c>
      <c r="AG856" s="106">
        <v>37650</v>
      </c>
      <c r="AH856" s="106">
        <v>19902.467777777776</v>
      </c>
      <c r="AI856" s="106">
        <v>28659.005555555555</v>
      </c>
      <c r="AJ856" s="106">
        <v>42636.276666666665</v>
      </c>
      <c r="AK856" s="104">
        <v>35053.153333333335</v>
      </c>
      <c r="AL856" s="118"/>
      <c r="AM856" s="118">
        <v>645</v>
      </c>
      <c r="AN856" s="118">
        <v>25890</v>
      </c>
      <c r="AO856" s="118">
        <v>124</v>
      </c>
      <c r="AP856" s="118">
        <f t="shared" si="13"/>
        <v>635</v>
      </c>
    </row>
    <row r="857" spans="1:42" ht="12.75">
      <c r="A857" s="106">
        <v>2018</v>
      </c>
      <c r="B857" s="106">
        <v>-175810</v>
      </c>
      <c r="C857" s="106">
        <v>0</v>
      </c>
      <c r="D857" s="106">
        <v>175810</v>
      </c>
      <c r="E857" s="106" t="s">
        <v>1498</v>
      </c>
      <c r="F857" s="106" t="s">
        <v>1499</v>
      </c>
      <c r="G857" s="106" t="s">
        <v>107</v>
      </c>
      <c r="H857" s="106">
        <v>4</v>
      </c>
      <c r="I857" s="106" t="s">
        <v>24</v>
      </c>
      <c r="J857" s="106">
        <v>3110</v>
      </c>
      <c r="K857" s="106">
        <v>5723</v>
      </c>
      <c r="L857" s="106">
        <v>3600</v>
      </c>
      <c r="M857" s="106">
        <v>0.6</v>
      </c>
      <c r="N857" s="106">
        <v>0.3</v>
      </c>
      <c r="O857" s="106">
        <v>0.51</v>
      </c>
      <c r="P857" s="106">
        <v>2070</v>
      </c>
      <c r="Q857" s="106">
        <v>767.50779967159281</v>
      </c>
      <c r="R857" s="106">
        <v>0.21981017885150192</v>
      </c>
      <c r="S857" s="106">
        <v>10411.023809523809</v>
      </c>
      <c r="T857" s="106">
        <v>10828.524630541871</v>
      </c>
      <c r="U857" s="106">
        <v>7309.5318144499179</v>
      </c>
      <c r="V857" s="106">
        <v>0.37268826421312184</v>
      </c>
      <c r="W857" s="106">
        <v>69405.391799544421</v>
      </c>
      <c r="X857" s="110">
        <v>0.57753879459795077</v>
      </c>
      <c r="Y857" s="106">
        <v>653.50372578241422</v>
      </c>
      <c r="Z857" s="106">
        <v>21.782414307004469</v>
      </c>
      <c r="AA857" s="106">
        <v>21084.688573120191</v>
      </c>
      <c r="AB857" s="106">
        <v>243.63939192841065</v>
      </c>
      <c r="AC857" s="106">
        <v>4.7427781374719933</v>
      </c>
      <c r="AD857" s="106">
        <v>38.342792281498298</v>
      </c>
      <c r="AE857" s="106">
        <v>86.540556542332737</v>
      </c>
      <c r="AF857" s="106">
        <v>0.17448304336715395</v>
      </c>
      <c r="AG857" s="106">
        <v>2600</v>
      </c>
      <c r="AH857" s="106">
        <v>9099.9573070607548</v>
      </c>
      <c r="AI857" s="106">
        <v>9099.9573070607548</v>
      </c>
      <c r="AJ857" s="106">
        <v>10417.710796387521</v>
      </c>
      <c r="AK857" s="104">
        <v>8729.5332512315272</v>
      </c>
      <c r="AL857" s="119">
        <v>20953929</v>
      </c>
      <c r="AM857" s="118">
        <v>5789</v>
      </c>
      <c r="AN857" s="118">
        <v>146167</v>
      </c>
      <c r="AO857" s="118">
        <v>1185</v>
      </c>
      <c r="AP857" s="118">
        <f t="shared" si="13"/>
        <v>510</v>
      </c>
    </row>
    <row r="858" spans="1:42" ht="12.75">
      <c r="A858" s="106">
        <v>2018</v>
      </c>
      <c r="B858" s="106">
        <v>-150774</v>
      </c>
      <c r="C858" s="106">
        <v>0</v>
      </c>
      <c r="D858" s="106">
        <v>150774</v>
      </c>
      <c r="E858" s="106" t="s">
        <v>1500</v>
      </c>
      <c r="F858" s="106" t="s">
        <v>1501</v>
      </c>
      <c r="G858" s="106" t="s">
        <v>161</v>
      </c>
      <c r="H858" s="106">
        <v>7</v>
      </c>
      <c r="I858" s="106" t="s">
        <v>3641</v>
      </c>
      <c r="J858" s="106">
        <v>29734</v>
      </c>
      <c r="K858" s="106">
        <v>24399</v>
      </c>
      <c r="L858" s="106">
        <v>19681</v>
      </c>
      <c r="M858" s="106">
        <v>0.26</v>
      </c>
      <c r="N858" s="106">
        <v>0.49</v>
      </c>
      <c r="O858" s="106">
        <v>0.71</v>
      </c>
      <c r="P858" s="106">
        <v>15429</v>
      </c>
      <c r="Q858" s="106">
        <v>13440.388888888889</v>
      </c>
      <c r="R858" s="106">
        <v>0.47602994016806827</v>
      </c>
      <c r="S858" s="106">
        <v>24956.016666666666</v>
      </c>
      <c r="T858" s="106">
        <v>20977.981481481482</v>
      </c>
      <c r="U858" s="106">
        <v>15321.644503684847</v>
      </c>
      <c r="V858" s="106">
        <v>0.96555864435690042</v>
      </c>
      <c r="W858" s="106">
        <v>62046.614173228343</v>
      </c>
      <c r="X858" s="110">
        <v>0.46373843474330667</v>
      </c>
      <c r="Y858" s="106">
        <v>476.05882352941177</v>
      </c>
      <c r="Z858" s="106">
        <v>15.882352941176471</v>
      </c>
      <c r="AA858" s="106">
        <v>56669.096109519298</v>
      </c>
      <c r="AB858" s="106">
        <v>511.16322945692684</v>
      </c>
      <c r="AC858" s="106">
        <v>1.7646302282065509</v>
      </c>
      <c r="AD858" s="106">
        <v>27.137546468401485</v>
      </c>
      <c r="AE858" s="106">
        <v>110.86301369863014</v>
      </c>
      <c r="AF858" s="106">
        <v>0.17009747992288071</v>
      </c>
      <c r="AG858" s="106">
        <v>28784</v>
      </c>
      <c r="AH858" s="106">
        <v>24634.392592592594</v>
      </c>
      <c r="AI858" s="106">
        <v>26391.616666666665</v>
      </c>
      <c r="AJ858" s="106">
        <v>25290.231481481482</v>
      </c>
      <c r="AK858" s="104">
        <v>16253.62962962963</v>
      </c>
      <c r="AM858" s="118">
        <v>557</v>
      </c>
      <c r="AN858" s="118">
        <v>16186</v>
      </c>
      <c r="AO858" s="118">
        <v>146</v>
      </c>
      <c r="AP858" s="118">
        <f t="shared" si="13"/>
        <v>950</v>
      </c>
    </row>
    <row r="859" spans="1:42" ht="12.75">
      <c r="A859" s="106">
        <v>2018</v>
      </c>
      <c r="B859" s="106">
        <v>-212984</v>
      </c>
      <c r="C859" s="106">
        <v>0</v>
      </c>
      <c r="D859" s="106">
        <v>212984</v>
      </c>
      <c r="E859" s="106" t="s">
        <v>1502</v>
      </c>
      <c r="F859" s="106" t="s">
        <v>721</v>
      </c>
      <c r="G859" s="106" t="s">
        <v>104</v>
      </c>
      <c r="H859" s="106">
        <v>6</v>
      </c>
      <c r="I859" s="106" t="s">
        <v>3640</v>
      </c>
      <c r="J859" s="106">
        <v>30346</v>
      </c>
      <c r="K859" s="106">
        <v>15074</v>
      </c>
      <c r="L859" s="106">
        <v>11239</v>
      </c>
      <c r="M859" s="106">
        <v>0.46</v>
      </c>
      <c r="N859" s="106">
        <v>0.81</v>
      </c>
      <c r="O859" s="106">
        <v>0.99</v>
      </c>
      <c r="P859" s="106">
        <v>17133</v>
      </c>
      <c r="Q859" s="106">
        <v>7994.3072734344614</v>
      </c>
      <c r="R859" s="106">
        <v>0.33376451465469509</v>
      </c>
      <c r="S859" s="106">
        <v>18812.362893815636</v>
      </c>
      <c r="T859" s="106">
        <v>17015.542590431738</v>
      </c>
      <c r="U859" s="106">
        <v>15845.877479579931</v>
      </c>
      <c r="V859" s="106">
        <v>1.0070525713326033</v>
      </c>
      <c r="W859" s="106">
        <v>74327.130143540679</v>
      </c>
      <c r="X859" s="110">
        <v>0.59182665492642228</v>
      </c>
      <c r="Y859" s="106">
        <v>398.61202185792348</v>
      </c>
      <c r="Z859" s="106">
        <v>14.049180327868852</v>
      </c>
      <c r="AA859" s="106">
        <v>49084.037349397593</v>
      </c>
      <c r="AB859" s="106">
        <v>558.49191182518575</v>
      </c>
      <c r="AC859" s="106">
        <v>2.0373222212379254</v>
      </c>
      <c r="AD859" s="106">
        <v>36.3079615048119</v>
      </c>
      <c r="AE859" s="106">
        <v>87.88674698795181</v>
      </c>
      <c r="AF859" s="106">
        <v>0.11387799656147347</v>
      </c>
      <c r="AG859" s="106">
        <v>29338</v>
      </c>
      <c r="AH859" s="106">
        <v>17534.436406067678</v>
      </c>
      <c r="AI859" s="106">
        <v>18812.362893815636</v>
      </c>
      <c r="AJ859" s="106">
        <v>19462.763905095293</v>
      </c>
      <c r="AK859" s="104">
        <v>15845.877479579931</v>
      </c>
      <c r="AL859" s="118"/>
      <c r="AM859" s="118">
        <v>2093</v>
      </c>
      <c r="AN859" s="118">
        <v>72946</v>
      </c>
      <c r="AO859" s="118">
        <v>487</v>
      </c>
      <c r="AP859" s="118">
        <f t="shared" si="13"/>
        <v>1008</v>
      </c>
    </row>
    <row r="860" spans="1:42" ht="12.75">
      <c r="A860" s="106">
        <v>2018</v>
      </c>
      <c r="B860" s="106">
        <v>-115728</v>
      </c>
      <c r="C860" s="106">
        <v>0</v>
      </c>
      <c r="D860" s="106">
        <v>115728</v>
      </c>
      <c r="E860" s="106" t="s">
        <v>1503</v>
      </c>
      <c r="F860" s="106" t="s">
        <v>1504</v>
      </c>
      <c r="G860" s="106" t="s">
        <v>121</v>
      </c>
      <c r="H860" s="106">
        <v>6</v>
      </c>
      <c r="I860" s="106" t="s">
        <v>3640</v>
      </c>
      <c r="J860" s="106">
        <v>38188</v>
      </c>
      <c r="K860" s="106">
        <v>23416</v>
      </c>
      <c r="L860" s="106">
        <v>17925</v>
      </c>
      <c r="M860" s="106">
        <v>0.54</v>
      </c>
      <c r="N860" s="106">
        <v>0.9</v>
      </c>
      <c r="O860" s="106">
        <v>0.98</v>
      </c>
      <c r="P860" s="106">
        <v>26598</v>
      </c>
      <c r="Q860" s="106">
        <v>17535.2899869961</v>
      </c>
      <c r="R860" s="106">
        <v>0.52232528960490154</v>
      </c>
      <c r="S860" s="106">
        <v>35232.565669700911</v>
      </c>
      <c r="T860" s="106">
        <v>41099.946684005205</v>
      </c>
      <c r="U860" s="106">
        <v>28974.104594763219</v>
      </c>
      <c r="V860" s="106">
        <v>0.55347004899765984</v>
      </c>
      <c r="W860" s="106">
        <v>87100.735537190092</v>
      </c>
      <c r="X860" s="110">
        <v>0.55576135424764128</v>
      </c>
      <c r="Y860" s="106">
        <v>306.36619718309856</v>
      </c>
      <c r="Z860" s="106">
        <v>10.830985915492958</v>
      </c>
      <c r="AA860" s="106">
        <v>96039.165661090155</v>
      </c>
      <c r="AB860" s="106">
        <v>1024.3235763779383</v>
      </c>
      <c r="AC860" s="106">
        <v>1.0412418653540485</v>
      </c>
      <c r="AD860" s="106">
        <v>31.521739130434785</v>
      </c>
      <c r="AE860" s="106">
        <v>93.758620689655174</v>
      </c>
      <c r="AF860" s="106">
        <v>-2.3143272216082932E-2</v>
      </c>
      <c r="AG860" s="106">
        <v>37672</v>
      </c>
      <c r="AH860" s="106">
        <v>27666.072821846556</v>
      </c>
      <c r="AI860" s="106">
        <v>35476.83485045514</v>
      </c>
      <c r="AJ860" s="106">
        <v>39498.600780234068</v>
      </c>
      <c r="AK860" s="104">
        <v>36221.206762028611</v>
      </c>
      <c r="AL860" s="118"/>
      <c r="AM860" s="118">
        <v>591</v>
      </c>
      <c r="AN860" s="118">
        <v>21752</v>
      </c>
      <c r="AO860" s="118">
        <v>104</v>
      </c>
      <c r="AP860" s="118">
        <f t="shared" si="13"/>
        <v>516</v>
      </c>
    </row>
    <row r="861" spans="1:42" ht="12.75">
      <c r="A861" s="106">
        <v>2018</v>
      </c>
      <c r="B861" s="106">
        <v>-166133</v>
      </c>
      <c r="C861" s="106">
        <v>0</v>
      </c>
      <c r="D861" s="106">
        <v>166133</v>
      </c>
      <c r="E861" s="106" t="s">
        <v>1505</v>
      </c>
      <c r="F861" s="106" t="s">
        <v>1506</v>
      </c>
      <c r="G861" s="106" t="s">
        <v>150</v>
      </c>
      <c r="H861" s="106">
        <v>4</v>
      </c>
      <c r="I861" s="106" t="s">
        <v>24</v>
      </c>
      <c r="J861" s="106">
        <v>4662</v>
      </c>
      <c r="K861" s="106">
        <v>7580</v>
      </c>
      <c r="L861" s="106">
        <v>6477</v>
      </c>
      <c r="M861" s="106">
        <v>0.63</v>
      </c>
      <c r="N861" s="106">
        <v>0.28999999999999998</v>
      </c>
      <c r="O861" s="106">
        <v>0.31</v>
      </c>
      <c r="P861" s="106">
        <v>476</v>
      </c>
      <c r="Q861" s="106">
        <v>167.46077348066299</v>
      </c>
      <c r="R861" s="106">
        <v>2.703193454059517E-2</v>
      </c>
      <c r="S861" s="106">
        <v>16937.097513812154</v>
      </c>
      <c r="T861" s="106">
        <v>17275.132044198894</v>
      </c>
      <c r="U861" s="106">
        <v>14142.881491712707</v>
      </c>
      <c r="V861" s="106">
        <v>0.4261835176203182</v>
      </c>
      <c r="W861" s="106">
        <v>78162.890441587471</v>
      </c>
      <c r="X861" s="110">
        <v>0.74534913326213592</v>
      </c>
      <c r="Y861" s="106">
        <v>458.1856540084388</v>
      </c>
      <c r="Z861" s="106">
        <v>15.274261603375528</v>
      </c>
      <c r="AA861" s="106">
        <v>54407.25929861849</v>
      </c>
      <c r="AB861" s="106">
        <v>471.47279675844919</v>
      </c>
      <c r="AC861" s="106">
        <v>1.8379900272340899</v>
      </c>
      <c r="AD861" s="106">
        <v>26.63458816869516</v>
      </c>
      <c r="AE861" s="106">
        <v>115.39851222104144</v>
      </c>
      <c r="AF861" s="106">
        <v>0.30516522826037212</v>
      </c>
      <c r="AG861" s="106">
        <v>4392</v>
      </c>
      <c r="AH861" s="106">
        <v>16712.904972375691</v>
      </c>
      <c r="AI861" s="106">
        <v>16739.80276243094</v>
      </c>
      <c r="AJ861" s="106">
        <v>17237.699171270717</v>
      </c>
      <c r="AK861" s="104">
        <v>14978.268508287292</v>
      </c>
      <c r="AL861" s="118">
        <v>26611846</v>
      </c>
      <c r="AM861" s="118">
        <v>5565</v>
      </c>
      <c r="AN861" s="118">
        <v>108590</v>
      </c>
      <c r="AO861" s="118">
        <v>785</v>
      </c>
      <c r="AP861" s="118">
        <f t="shared" si="13"/>
        <v>270</v>
      </c>
    </row>
    <row r="862" spans="1:42" ht="12.75">
      <c r="A862" s="106">
        <v>2018</v>
      </c>
      <c r="B862" s="106">
        <v>-141680</v>
      </c>
      <c r="C862" s="106">
        <v>0</v>
      </c>
      <c r="D862" s="106">
        <v>141680</v>
      </c>
      <c r="E862" s="106" t="s">
        <v>1507</v>
      </c>
      <c r="F862" s="106" t="s">
        <v>703</v>
      </c>
      <c r="G862" s="106" t="s">
        <v>453</v>
      </c>
      <c r="H862" s="106">
        <v>4</v>
      </c>
      <c r="I862" s="106" t="s">
        <v>24</v>
      </c>
      <c r="J862" s="106">
        <v>3054</v>
      </c>
      <c r="K862" s="106">
        <v>7897</v>
      </c>
      <c r="L862" s="106">
        <v>6940</v>
      </c>
      <c r="M862" s="106">
        <v>0.44</v>
      </c>
      <c r="N862" s="106">
        <v>0.17</v>
      </c>
      <c r="O862" s="106">
        <v>0.3</v>
      </c>
      <c r="P862" s="106">
        <v>1517</v>
      </c>
      <c r="Q862" s="106">
        <v>492.8860946745562</v>
      </c>
      <c r="R862" s="106">
        <v>0.10978059980749437</v>
      </c>
      <c r="S862" s="106">
        <v>23698.07593688363</v>
      </c>
      <c r="T862" s="106">
        <v>23983.50641025641</v>
      </c>
      <c r="U862" s="106">
        <v>19074.82373639931</v>
      </c>
      <c r="V862" s="106">
        <v>0.20953543965296648</v>
      </c>
      <c r="W862" s="106">
        <v>117547.84290030212</v>
      </c>
      <c r="X862" s="110">
        <v>0.79994850175532572</v>
      </c>
      <c r="Y862" s="106">
        <v>481.68601583113457</v>
      </c>
      <c r="Z862" s="106">
        <v>16.052770448548813</v>
      </c>
      <c r="AA862" s="106">
        <v>49722.034109791515</v>
      </c>
      <c r="AB862" s="106">
        <v>635.69162633588815</v>
      </c>
      <c r="AC862" s="106">
        <v>2.0111807931909911</v>
      </c>
      <c r="AD862" s="106">
        <v>39.233484619263741</v>
      </c>
      <c r="AE862" s="106">
        <v>78.217223650385606</v>
      </c>
      <c r="AF862" s="106">
        <v>-3.1755780069594154E-2</v>
      </c>
      <c r="AG862" s="106">
        <v>3024</v>
      </c>
      <c r="AH862" s="106">
        <v>23035.125739644969</v>
      </c>
      <c r="AI862" s="106">
        <v>23035.125739644969</v>
      </c>
      <c r="AJ862" s="106">
        <v>23736.596153846152</v>
      </c>
      <c r="AK862" s="104">
        <v>22615.220907297829</v>
      </c>
      <c r="AL862" s="119">
        <v>24209520</v>
      </c>
      <c r="AM862" s="118">
        <v>3563</v>
      </c>
      <c r="AN862" s="118">
        <v>60853</v>
      </c>
      <c r="AO862" s="118">
        <v>512</v>
      </c>
      <c r="AP862" s="118">
        <f t="shared" si="13"/>
        <v>30</v>
      </c>
    </row>
    <row r="863" spans="1:42" ht="12.75">
      <c r="A863" s="106">
        <v>2018</v>
      </c>
      <c r="B863" s="106">
        <v>-162760</v>
      </c>
      <c r="C863" s="106">
        <v>0</v>
      </c>
      <c r="D863" s="106">
        <v>162760</v>
      </c>
      <c r="E863" s="106" t="s">
        <v>1508</v>
      </c>
      <c r="F863" s="106" t="s">
        <v>1284</v>
      </c>
      <c r="G863" s="106" t="s">
        <v>124</v>
      </c>
      <c r="H863" s="106">
        <v>6</v>
      </c>
      <c r="I863" s="106" t="s">
        <v>3640</v>
      </c>
      <c r="J863" s="106">
        <v>37960</v>
      </c>
      <c r="K863" s="106">
        <v>23149</v>
      </c>
      <c r="L863" s="106">
        <v>13145</v>
      </c>
      <c r="M863" s="106">
        <v>0.45</v>
      </c>
      <c r="N863" s="106">
        <v>0.78</v>
      </c>
      <c r="O863" s="106">
        <v>0.99</v>
      </c>
      <c r="P863" s="106">
        <v>24831</v>
      </c>
      <c r="Q863" s="106">
        <v>14665.615989515072</v>
      </c>
      <c r="R863" s="106">
        <v>0.48956954898418997</v>
      </c>
      <c r="S863" s="106">
        <v>27467.081258191349</v>
      </c>
      <c r="T863" s="106">
        <v>26220.050458715596</v>
      </c>
      <c r="U863" s="106">
        <v>22869.918741808651</v>
      </c>
      <c r="V863" s="106">
        <v>0.6685869045214865</v>
      </c>
      <c r="W863" s="106">
        <v>73262.726027397264</v>
      </c>
      <c r="X863" s="110">
        <v>0.53466021533599206</v>
      </c>
      <c r="Y863" s="106">
        <v>287.8724832214765</v>
      </c>
      <c r="Z863" s="106">
        <v>10.241610738255034</v>
      </c>
      <c r="AA863" s="106">
        <v>59964.769759450173</v>
      </c>
      <c r="AB863" s="106">
        <v>813.64082717459723</v>
      </c>
      <c r="AC863" s="106">
        <v>1.6676458594129842</v>
      </c>
      <c r="AD863" s="106">
        <v>37.046467218332275</v>
      </c>
      <c r="AE863" s="106">
        <v>73.699312714776639</v>
      </c>
      <c r="AF863" s="106">
        <v>6.9049479027723931E-2</v>
      </c>
      <c r="AG863" s="106">
        <v>37400</v>
      </c>
      <c r="AH863" s="106">
        <v>22610.51376146789</v>
      </c>
      <c r="AI863" s="106">
        <v>27864.771297509829</v>
      </c>
      <c r="AJ863" s="106">
        <v>32326.254259501966</v>
      </c>
      <c r="AK863" s="104">
        <v>22869.918741808651</v>
      </c>
      <c r="AM863" s="118">
        <v>1128</v>
      </c>
      <c r="AN863" s="118">
        <v>42893</v>
      </c>
      <c r="AO863" s="118">
        <v>285</v>
      </c>
      <c r="AP863" s="118">
        <f t="shared" si="13"/>
        <v>560</v>
      </c>
    </row>
    <row r="864" spans="1:42" ht="12.75">
      <c r="A864" s="106">
        <v>2018</v>
      </c>
      <c r="B864" s="106">
        <v>-170301</v>
      </c>
      <c r="C864" s="106">
        <v>0</v>
      </c>
      <c r="D864" s="106">
        <v>170301</v>
      </c>
      <c r="E864" s="106" t="s">
        <v>1509</v>
      </c>
      <c r="F864" s="106" t="s">
        <v>1510</v>
      </c>
      <c r="G864" s="106" t="s">
        <v>74</v>
      </c>
      <c r="H864" s="106">
        <v>7</v>
      </c>
      <c r="I864" s="106" t="s">
        <v>3641</v>
      </c>
      <c r="J864" s="106">
        <v>32780</v>
      </c>
      <c r="K864" s="106">
        <v>27812</v>
      </c>
      <c r="L864" s="106">
        <v>15816</v>
      </c>
      <c r="M864" s="106">
        <v>0.21</v>
      </c>
      <c r="N864" s="106">
        <v>0.59</v>
      </c>
      <c r="O864" s="106">
        <v>0.97</v>
      </c>
      <c r="P864" s="106">
        <v>15687</v>
      </c>
      <c r="Q864" s="106">
        <v>10952.321595512622</v>
      </c>
      <c r="R864" s="106">
        <v>0.36180025117868686</v>
      </c>
      <c r="S864" s="106">
        <v>36372.078529136801</v>
      </c>
      <c r="T864" s="106">
        <v>36752.570894359611</v>
      </c>
      <c r="U864" s="106">
        <v>23429.255902747034</v>
      </c>
      <c r="V864" s="106">
        <v>0.82458504990098314</v>
      </c>
      <c r="W864" s="106">
        <v>94372.222222222219</v>
      </c>
      <c r="X864" s="110">
        <v>0.57612833753041826</v>
      </c>
      <c r="Y864" s="106">
        <v>339.20973995271868</v>
      </c>
      <c r="Z864" s="106">
        <v>11.379432624113475</v>
      </c>
      <c r="AA864" s="106">
        <v>108805.32878714215</v>
      </c>
      <c r="AB864" s="106">
        <v>785.97872518514623</v>
      </c>
      <c r="AC864" s="106">
        <v>0.91907263288208818</v>
      </c>
      <c r="AD864" s="106">
        <v>22.508143322475572</v>
      </c>
      <c r="AE864" s="106">
        <v>138.43291847563918</v>
      </c>
      <c r="AF864" s="106">
        <v>5.250485103286575E-2</v>
      </c>
      <c r="AG864" s="106">
        <v>32490</v>
      </c>
      <c r="AH864" s="106">
        <v>31128.700529760048</v>
      </c>
      <c r="AI864" s="106">
        <v>36372.078529136801</v>
      </c>
      <c r="AJ864" s="106">
        <v>43228.420068557185</v>
      </c>
      <c r="AK864" s="104">
        <v>26227.796821439701</v>
      </c>
      <c r="AM864" s="118">
        <v>3150</v>
      </c>
      <c r="AN864" s="118">
        <v>95657.146666666667</v>
      </c>
      <c r="AO864" s="118">
        <v>691</v>
      </c>
      <c r="AP864" s="118">
        <f t="shared" si="13"/>
        <v>290</v>
      </c>
    </row>
    <row r="865" spans="1:42" ht="12.75">
      <c r="A865" s="106">
        <v>2018</v>
      </c>
      <c r="B865" s="106">
        <v>-120537</v>
      </c>
      <c r="C865" s="106">
        <v>0</v>
      </c>
      <c r="D865" s="106">
        <v>120537</v>
      </c>
      <c r="E865" s="106" t="s">
        <v>1511</v>
      </c>
      <c r="F865" s="106" t="s">
        <v>550</v>
      </c>
      <c r="G865" s="106" t="s">
        <v>121</v>
      </c>
      <c r="H865" s="106">
        <v>6</v>
      </c>
      <c r="I865" s="106" t="s">
        <v>3640</v>
      </c>
      <c r="J865" s="106">
        <v>31800</v>
      </c>
      <c r="K865" s="106">
        <v>22354</v>
      </c>
      <c r="L865" s="106">
        <v>16300</v>
      </c>
      <c r="M865" s="106">
        <v>0.42</v>
      </c>
      <c r="N865" s="106">
        <v>0.79</v>
      </c>
      <c r="O865" s="106">
        <v>0.93</v>
      </c>
      <c r="P865" s="106">
        <v>15446</v>
      </c>
      <c r="Q865" s="106">
        <v>7530.9516562220233</v>
      </c>
      <c r="R865" s="106">
        <v>0.59317999824557888</v>
      </c>
      <c r="S865" s="106">
        <v>22620.022381378694</v>
      </c>
      <c r="T865" s="106">
        <v>22647.54521038496</v>
      </c>
      <c r="U865" s="106">
        <v>20536.173679498657</v>
      </c>
      <c r="V865" s="106">
        <v>0.25150471430503268</v>
      </c>
      <c r="W865" s="106">
        <v>69216.98984771574</v>
      </c>
      <c r="X865" s="110">
        <v>0.53901968541474843</v>
      </c>
      <c r="Y865" s="106">
        <v>334.36170212765956</v>
      </c>
      <c r="Z865" s="106">
        <v>11.882978723404255</v>
      </c>
      <c r="AA865" s="106">
        <v>86236.488721804504</v>
      </c>
      <c r="AB865" s="106">
        <v>729.84110722239893</v>
      </c>
      <c r="AC865" s="106">
        <v>1.1596019443996153</v>
      </c>
      <c r="AD865" s="106">
        <v>24.883068288119738</v>
      </c>
      <c r="AE865" s="106">
        <v>118.15789473684211</v>
      </c>
      <c r="AF865" s="106">
        <v>2.842407185322474E-2</v>
      </c>
      <c r="AG865" s="106">
        <v>30700</v>
      </c>
      <c r="AH865" s="106">
        <v>11956.256042972247</v>
      </c>
      <c r="AI865" s="106">
        <v>15533.949865711727</v>
      </c>
      <c r="AJ865" s="106">
        <v>23120.193375111907</v>
      </c>
      <c r="AK865" s="105">
        <v>20536.173679498657</v>
      </c>
      <c r="AM865" s="119">
        <v>868</v>
      </c>
      <c r="AN865" s="119">
        <v>31430</v>
      </c>
      <c r="AO865" s="119">
        <v>151</v>
      </c>
      <c r="AP865" s="118">
        <f t="shared" si="13"/>
        <v>1100</v>
      </c>
    </row>
    <row r="866" spans="1:42" ht="12.75">
      <c r="A866" s="106">
        <v>2018</v>
      </c>
      <c r="B866" s="106">
        <v>-156860</v>
      </c>
      <c r="C866" s="106">
        <v>0</v>
      </c>
      <c r="D866" s="106">
        <v>156860</v>
      </c>
      <c r="E866" s="106" t="s">
        <v>4110</v>
      </c>
      <c r="F866" s="106" t="s">
        <v>4111</v>
      </c>
      <c r="G866" s="106" t="s">
        <v>118</v>
      </c>
      <c r="H866" s="106">
        <v>4</v>
      </c>
      <c r="I866" s="106" t="s">
        <v>24</v>
      </c>
      <c r="J866" s="106">
        <v>4080</v>
      </c>
      <c r="K866" s="106">
        <v>5556</v>
      </c>
      <c r="L866" s="106">
        <v>4390</v>
      </c>
      <c r="M866" s="106">
        <v>0.7</v>
      </c>
      <c r="N866" s="106">
        <v>0.16</v>
      </c>
      <c r="O866" s="106">
        <v>0.17</v>
      </c>
      <c r="P866" s="106">
        <v>2003</v>
      </c>
      <c r="Q866" s="106">
        <v>2783.3963254593177</v>
      </c>
      <c r="R866" s="106">
        <v>0.50204028398045097</v>
      </c>
      <c r="S866" s="106">
        <v>13263.448162729659</v>
      </c>
      <c r="T866" s="106">
        <v>11682.991469816274</v>
      </c>
      <c r="U866" s="106">
        <v>9379.042963627202</v>
      </c>
      <c r="V866" s="106">
        <v>0.29435550904135938</v>
      </c>
      <c r="W866" s="106">
        <v>64349.820809248558</v>
      </c>
      <c r="X866" s="110">
        <v>0.62525103371946533</v>
      </c>
      <c r="Y866" s="106">
        <v>569.30290456431544</v>
      </c>
      <c r="Z866" s="106">
        <v>18.970954356846473</v>
      </c>
      <c r="AA866" s="106">
        <v>12982.435491887245</v>
      </c>
      <c r="AB866" s="106">
        <v>312.53906232929239</v>
      </c>
      <c r="AC866" s="106">
        <v>7.7027149537920083</v>
      </c>
      <c r="AD866" s="106">
        <v>73.059057730590581</v>
      </c>
      <c r="AE866" s="106">
        <v>41.538601271571302</v>
      </c>
      <c r="AF866" s="106"/>
      <c r="AG866" s="106">
        <v>3888</v>
      </c>
      <c r="AH866" s="106">
        <v>11195.95406824147</v>
      </c>
      <c r="AI866" s="106">
        <v>11603.145669291338</v>
      </c>
      <c r="AJ866" s="106">
        <v>13308.677165354331</v>
      </c>
      <c r="AK866" s="104">
        <v>11512.36220472441</v>
      </c>
      <c r="AL866" s="119">
        <v>6349700</v>
      </c>
      <c r="AM866" s="118">
        <v>2640</v>
      </c>
      <c r="AN866" s="118">
        <v>45734</v>
      </c>
      <c r="AO866" s="118">
        <v>447</v>
      </c>
      <c r="AP866" s="118">
        <f t="shared" si="13"/>
        <v>192</v>
      </c>
    </row>
    <row r="867" spans="1:42" ht="12.75">
      <c r="A867" s="106">
        <v>2018</v>
      </c>
      <c r="B867" s="106">
        <v>-218140</v>
      </c>
      <c r="C867" s="106">
        <v>0</v>
      </c>
      <c r="D867" s="106">
        <v>218140</v>
      </c>
      <c r="E867" s="106" t="s">
        <v>1512</v>
      </c>
      <c r="F867" s="106" t="s">
        <v>651</v>
      </c>
      <c r="G867" s="106" t="s">
        <v>79</v>
      </c>
      <c r="H867" s="106">
        <v>4</v>
      </c>
      <c r="I867" s="106" t="s">
        <v>24</v>
      </c>
      <c r="J867" s="106">
        <v>4108</v>
      </c>
      <c r="K867" s="106">
        <v>5760</v>
      </c>
      <c r="L867" s="106">
        <v>4451</v>
      </c>
      <c r="M867" s="106">
        <v>0.56000000000000005</v>
      </c>
      <c r="N867" s="106">
        <v>0.39</v>
      </c>
      <c r="O867" s="106">
        <v>0.01</v>
      </c>
      <c r="P867" s="106">
        <v>1336</v>
      </c>
      <c r="Q867" s="106">
        <v>81.297018348623851</v>
      </c>
      <c r="R867" s="106">
        <v>1.3732776035994902E-2</v>
      </c>
      <c r="S867" s="106">
        <v>12023.495221712537</v>
      </c>
      <c r="T867" s="106">
        <v>12276.813646788991</v>
      </c>
      <c r="U867" s="106">
        <v>9562.8534021406722</v>
      </c>
      <c r="V867" s="106">
        <v>0.61055301887765778</v>
      </c>
      <c r="W867" s="106">
        <v>79131.506584043382</v>
      </c>
      <c r="X867" s="110">
        <v>0.53015275541558238</v>
      </c>
      <c r="Y867" s="106">
        <v>727.7712519319939</v>
      </c>
      <c r="Z867" s="106">
        <v>24.259659969088101</v>
      </c>
      <c r="AA867" s="106">
        <v>34696.843966712899</v>
      </c>
      <c r="AB867" s="106">
        <v>318.76990366726983</v>
      </c>
      <c r="AC867" s="106">
        <v>2.882106513662654</v>
      </c>
      <c r="AD867" s="106">
        <v>32.158786797502231</v>
      </c>
      <c r="AE867" s="106">
        <v>108.84604715672677</v>
      </c>
      <c r="AF867" s="106">
        <v>5.2874055809223108E-2</v>
      </c>
      <c r="AG867" s="106">
        <v>3840</v>
      </c>
      <c r="AH867" s="106">
        <v>11034.560015290519</v>
      </c>
      <c r="AI867" s="106">
        <v>11095.439029051988</v>
      </c>
      <c r="AJ867" s="106">
        <v>12048.682721712537</v>
      </c>
      <c r="AK867" s="104">
        <v>12188.469418960245</v>
      </c>
      <c r="AL867" s="118">
        <v>14822056</v>
      </c>
      <c r="AM867" s="118">
        <v>7079</v>
      </c>
      <c r="AN867" s="118">
        <v>156956</v>
      </c>
      <c r="AO867" s="118">
        <v>969</v>
      </c>
      <c r="AP867" s="118">
        <f t="shared" si="13"/>
        <v>268</v>
      </c>
    </row>
    <row r="868" spans="1:42" ht="12.75">
      <c r="A868" s="106">
        <v>2018</v>
      </c>
      <c r="B868" s="106">
        <v>-191676</v>
      </c>
      <c r="C868" s="106">
        <v>0</v>
      </c>
      <c r="D868" s="106">
        <v>191676</v>
      </c>
      <c r="E868" s="106" t="s">
        <v>1513</v>
      </c>
      <c r="F868" s="106" t="s">
        <v>1514</v>
      </c>
      <c r="G868" s="106" t="s">
        <v>69</v>
      </c>
      <c r="H868" s="106">
        <v>7</v>
      </c>
      <c r="I868" s="106" t="s">
        <v>3641</v>
      </c>
      <c r="J868" s="106">
        <v>31540</v>
      </c>
      <c r="K868" s="106">
        <v>24938</v>
      </c>
      <c r="L868" s="106">
        <v>24162</v>
      </c>
      <c r="M868" s="106">
        <v>0.53</v>
      </c>
      <c r="N868" s="106">
        <v>0.61</v>
      </c>
      <c r="O868" s="106">
        <v>0.85</v>
      </c>
      <c r="P868" s="106">
        <v>15655</v>
      </c>
      <c r="Q868" s="106">
        <v>12156.957242582897</v>
      </c>
      <c r="R868" s="106">
        <v>0.48085866844009367</v>
      </c>
      <c r="S868" s="106">
        <v>28580.681500872601</v>
      </c>
      <c r="T868" s="106">
        <v>28750.356020942407</v>
      </c>
      <c r="U868" s="106">
        <v>22954.59521296919</v>
      </c>
      <c r="V868" s="106">
        <v>0.57177268969259931</v>
      </c>
      <c r="W868" s="106">
        <v>74386.659874608158</v>
      </c>
      <c r="X868" s="110">
        <v>0.48013861760206444</v>
      </c>
      <c r="Y868" s="106">
        <v>408.84523809523807</v>
      </c>
      <c r="Z868" s="106">
        <v>13.642857142857142</v>
      </c>
      <c r="AA868" s="106">
        <v>108702.33931430864</v>
      </c>
      <c r="AB868" s="106">
        <v>765.97752421345524</v>
      </c>
      <c r="AC868" s="106">
        <v>0.91994340352560233</v>
      </c>
      <c r="AD868" s="106">
        <v>24.079601990049753</v>
      </c>
      <c r="AE868" s="106">
        <v>141.91322314049586</v>
      </c>
      <c r="AF868" s="106">
        <v>7.8906910848817416E-2</v>
      </c>
      <c r="AG868" s="106">
        <v>31040</v>
      </c>
      <c r="AH868" s="106">
        <v>21705.388307155325</v>
      </c>
      <c r="AI868" s="106">
        <v>28637.68062827225</v>
      </c>
      <c r="AJ868" s="106">
        <v>34135.912739965097</v>
      </c>
      <c r="AK868" s="104">
        <v>23023.012216404888</v>
      </c>
      <c r="AL868" s="118"/>
      <c r="AM868" s="118">
        <v>1030</v>
      </c>
      <c r="AN868" s="118">
        <v>34343</v>
      </c>
      <c r="AO868" s="118">
        <v>234</v>
      </c>
      <c r="AP868" s="118">
        <f t="shared" si="13"/>
        <v>500</v>
      </c>
    </row>
    <row r="869" spans="1:42" ht="12.75">
      <c r="A869" s="106">
        <v>2018</v>
      </c>
      <c r="B869" s="106">
        <v>-129543</v>
      </c>
      <c r="C869" s="106">
        <v>0</v>
      </c>
      <c r="D869" s="106">
        <v>129543</v>
      </c>
      <c r="E869" s="106" t="s">
        <v>1515</v>
      </c>
      <c r="F869" s="106" t="s">
        <v>1516</v>
      </c>
      <c r="G869" s="106" t="s">
        <v>99</v>
      </c>
      <c r="H869" s="106">
        <v>4</v>
      </c>
      <c r="I869" s="106" t="s">
        <v>24</v>
      </c>
      <c r="J869" s="106">
        <v>4296</v>
      </c>
      <c r="K869" s="106">
        <v>6270</v>
      </c>
      <c r="L869" s="106">
        <v>6031</v>
      </c>
      <c r="M869" s="106">
        <v>0.66</v>
      </c>
      <c r="N869" s="106">
        <v>0.03</v>
      </c>
      <c r="O869" s="106">
        <v>0.48</v>
      </c>
      <c r="P869" s="106">
        <v>786</v>
      </c>
      <c r="Q869" s="106">
        <v>827.85241472475514</v>
      </c>
      <c r="R869" s="106">
        <v>0.14082801394359185</v>
      </c>
      <c r="S869" s="106">
        <v>15142.600135089497</v>
      </c>
      <c r="T869" s="106">
        <v>17671.647416413372</v>
      </c>
      <c r="U869" s="106">
        <v>13229.918946301925</v>
      </c>
      <c r="V869" s="106">
        <v>0.38175680729385641</v>
      </c>
      <c r="W869" s="106">
        <v>104486.58799593082</v>
      </c>
      <c r="X869" s="110">
        <v>0.65430067048444296</v>
      </c>
      <c r="Y869" s="106">
        <v>470.79858657243813</v>
      </c>
      <c r="Z869" s="106">
        <v>15.694346289752648</v>
      </c>
      <c r="AA869" s="106">
        <v>66735.587734241912</v>
      </c>
      <c r="AB869" s="106">
        <v>441.02708727370981</v>
      </c>
      <c r="AC869" s="106">
        <v>1.4984508774872178</v>
      </c>
      <c r="AD869" s="106">
        <v>20.424495476687543</v>
      </c>
      <c r="AE869" s="106">
        <v>151.31856899488926</v>
      </c>
      <c r="AF869" s="106">
        <v>-3.5955890151483379E-2</v>
      </c>
      <c r="AG869" s="106">
        <v>3816</v>
      </c>
      <c r="AH869" s="106">
        <v>14333.407294832827</v>
      </c>
      <c r="AI869" s="106">
        <v>14333.407294832827</v>
      </c>
      <c r="AJ869" s="106">
        <v>15219.956433637284</v>
      </c>
      <c r="AK869" s="104">
        <v>14468.273218507262</v>
      </c>
      <c r="AL869" s="118">
        <v>23862897</v>
      </c>
      <c r="AM869" s="118">
        <v>5138</v>
      </c>
      <c r="AN869" s="118">
        <v>88824</v>
      </c>
      <c r="AO869" s="118">
        <v>445</v>
      </c>
      <c r="AP869" s="118">
        <f t="shared" si="13"/>
        <v>480</v>
      </c>
    </row>
    <row r="870" spans="1:42" ht="12.75">
      <c r="A870" s="106">
        <v>2018</v>
      </c>
      <c r="B870" s="106">
        <v>-225399</v>
      </c>
      <c r="C870" s="106">
        <v>0</v>
      </c>
      <c r="D870" s="106">
        <v>225399</v>
      </c>
      <c r="E870" s="106" t="s">
        <v>1517</v>
      </c>
      <c r="F870" s="106" t="s">
        <v>1518</v>
      </c>
      <c r="G870" s="106" t="s">
        <v>60</v>
      </c>
      <c r="H870" s="106">
        <v>6</v>
      </c>
      <c r="I870" s="106" t="s">
        <v>3640</v>
      </c>
      <c r="J870" s="106">
        <v>31730</v>
      </c>
      <c r="K870" s="106">
        <v>21479</v>
      </c>
      <c r="L870" s="106">
        <v>19128</v>
      </c>
      <c r="M870" s="106">
        <v>0.48</v>
      </c>
      <c r="N870" s="106">
        <v>0.61</v>
      </c>
      <c r="O870" s="106">
        <v>1</v>
      </c>
      <c r="P870" s="106">
        <v>16269</v>
      </c>
      <c r="Q870" s="106">
        <v>14698.841887702376</v>
      </c>
      <c r="R870" s="106">
        <v>0.52607472575454206</v>
      </c>
      <c r="S870" s="106">
        <v>24293.232173613502</v>
      </c>
      <c r="T870" s="106">
        <v>24556.389596968653</v>
      </c>
      <c r="U870" s="106">
        <v>18090.480881846364</v>
      </c>
      <c r="V870" s="106">
        <v>0.73197363671182025</v>
      </c>
      <c r="W870" s="106">
        <v>75314.533711852375</v>
      </c>
      <c r="X870" s="110">
        <v>0.49620025048255861</v>
      </c>
      <c r="Y870" s="106">
        <v>442.13167259786474</v>
      </c>
      <c r="Z870" s="106">
        <v>15.496441281138789</v>
      </c>
      <c r="AA870" s="106">
        <v>69743.248339973434</v>
      </c>
      <c r="AB870" s="106">
        <v>634.06015019438337</v>
      </c>
      <c r="AC870" s="106">
        <v>1.433830548192073</v>
      </c>
      <c r="AD870" s="106">
        <v>26.854493580599144</v>
      </c>
      <c r="AE870" s="106">
        <v>109.99468791500664</v>
      </c>
      <c r="AF870" s="106">
        <v>9.8423230710802355E-3</v>
      </c>
      <c r="AG870" s="106">
        <v>29730</v>
      </c>
      <c r="AH870" s="106">
        <v>19479.938339648641</v>
      </c>
      <c r="AI870" s="106">
        <v>24293.232173613502</v>
      </c>
      <c r="AJ870" s="106">
        <v>25012.468480881846</v>
      </c>
      <c r="AK870" s="104">
        <v>18090.480881846364</v>
      </c>
      <c r="AM870" s="118">
        <v>2316</v>
      </c>
      <c r="AN870" s="118">
        <v>82826</v>
      </c>
      <c r="AO870" s="118">
        <v>462</v>
      </c>
      <c r="AP870" s="118">
        <f t="shared" si="13"/>
        <v>2000</v>
      </c>
    </row>
    <row r="871" spans="1:42" ht="12.75">
      <c r="A871" s="106">
        <v>2018</v>
      </c>
      <c r="B871" s="106">
        <v>-225423</v>
      </c>
      <c r="C871" s="106">
        <v>0</v>
      </c>
      <c r="D871" s="106">
        <v>225423</v>
      </c>
      <c r="E871" s="106" t="s">
        <v>1519</v>
      </c>
      <c r="F871" s="106" t="s">
        <v>1518</v>
      </c>
      <c r="G871" s="106" t="s">
        <v>60</v>
      </c>
      <c r="H871" s="106">
        <v>4</v>
      </c>
      <c r="I871" s="106" t="s">
        <v>24</v>
      </c>
      <c r="J871" s="106">
        <v>1632</v>
      </c>
      <c r="K871" s="106">
        <v>5387</v>
      </c>
      <c r="L871" s="106">
        <v>5790</v>
      </c>
      <c r="M871" s="106">
        <v>0.53</v>
      </c>
      <c r="N871" s="106">
        <v>0.16</v>
      </c>
      <c r="O871" s="106">
        <v>7.0000000000000007E-2</v>
      </c>
      <c r="P871" s="106">
        <v>2069</v>
      </c>
      <c r="Q871" s="106">
        <v>474.89915798487226</v>
      </c>
      <c r="R871" s="106">
        <v>0.13235369548438861</v>
      </c>
      <c r="S871" s="106">
        <v>13792.49307835022</v>
      </c>
      <c r="T871" s="106">
        <v>13268.045754245753</v>
      </c>
      <c r="U871" s="106">
        <v>10158.805122918475</v>
      </c>
      <c r="V871" s="106">
        <v>0.30645408848734057</v>
      </c>
      <c r="W871" s="106">
        <v>75839.535365492746</v>
      </c>
      <c r="X871" s="110">
        <v>0.55128321932815327</v>
      </c>
      <c r="Y871" s="106">
        <v>729.724832214765</v>
      </c>
      <c r="Z871" s="106">
        <v>24.324230502198564</v>
      </c>
      <c r="AA871" s="106">
        <v>50441.289325602149</v>
      </c>
      <c r="AB871" s="106">
        <v>338.6278039720857</v>
      </c>
      <c r="AC871" s="106">
        <v>1.982502853059382</v>
      </c>
      <c r="AD871" s="106">
        <v>23.043762246897455</v>
      </c>
      <c r="AE871" s="106">
        <v>148.9579081632653</v>
      </c>
      <c r="AF871" s="106">
        <v>4.8439609881648783E-2</v>
      </c>
      <c r="AG871" s="106">
        <v>744</v>
      </c>
      <c r="AH871" s="106">
        <v>12213.777708006279</v>
      </c>
      <c r="AI871" s="106">
        <v>12271.148308834023</v>
      </c>
      <c r="AJ871" s="106">
        <v>13912.979078064793</v>
      </c>
      <c r="AK871" s="104">
        <v>12507.045040673613</v>
      </c>
      <c r="AL871" s="119">
        <v>280393244</v>
      </c>
      <c r="AM871" s="118">
        <v>57120</v>
      </c>
      <c r="AN871" s="118">
        <v>1051047</v>
      </c>
      <c r="AO871" s="118">
        <v>5706</v>
      </c>
      <c r="AP871" s="118">
        <f t="shared" si="13"/>
        <v>888</v>
      </c>
    </row>
    <row r="872" spans="1:42" ht="12.75">
      <c r="A872" s="106">
        <v>2018</v>
      </c>
      <c r="B872" s="106">
        <v>1980</v>
      </c>
      <c r="C872" s="106">
        <v>1</v>
      </c>
      <c r="D872" s="106">
        <v>225520</v>
      </c>
      <c r="E872" s="106" t="s">
        <v>3906</v>
      </c>
      <c r="F872" s="106" t="s">
        <v>1520</v>
      </c>
      <c r="G872" s="106" t="s">
        <v>60</v>
      </c>
      <c r="H872" s="106">
        <v>4</v>
      </c>
      <c r="I872" s="106" t="s">
        <v>24</v>
      </c>
      <c r="J872" s="106">
        <v>2560</v>
      </c>
      <c r="K872" s="106">
        <v>5557</v>
      </c>
      <c r="L872" s="106">
        <v>3964</v>
      </c>
      <c r="M872" s="106">
        <v>0.55000000000000004</v>
      </c>
      <c r="N872" s="106">
        <v>0.11</v>
      </c>
      <c r="O872" s="106">
        <v>0.28999999999999998</v>
      </c>
      <c r="P872" s="106">
        <v>3656</v>
      </c>
      <c r="Q872" s="107">
        <v>789.3810592459605</v>
      </c>
      <c r="R872" s="106">
        <v>0.17861220727632535</v>
      </c>
      <c r="S872" s="106">
        <v>16248.936714542191</v>
      </c>
      <c r="T872" s="106">
        <v>14997.134201077199</v>
      </c>
      <c r="U872" s="106">
        <v>11504.318362530374</v>
      </c>
      <c r="V872" s="106">
        <v>0.31554617250460598</v>
      </c>
      <c r="W872" s="106">
        <v>56220.698630136991</v>
      </c>
      <c r="X872" s="110">
        <v>0.5322525264027852</v>
      </c>
      <c r="Y872" s="106">
        <v>465.24361948955919</v>
      </c>
      <c r="Z872" s="106">
        <v>15.508120649651973</v>
      </c>
      <c r="AA872" s="106">
        <v>35599.474044052324</v>
      </c>
      <c r="AB872" s="106">
        <v>383.47727875101248</v>
      </c>
      <c r="AC872" s="106">
        <v>2.8090302647801955</v>
      </c>
      <c r="AD872" s="106">
        <v>30.848329048843187</v>
      </c>
      <c r="AE872" s="106">
        <v>92.833333333333329</v>
      </c>
      <c r="AF872" s="106">
        <v>6.8598713782294887E-2</v>
      </c>
      <c r="AG872" s="106">
        <v>2310</v>
      </c>
      <c r="AH872" s="106">
        <v>15937.644524236985</v>
      </c>
      <c r="AI872" s="106">
        <v>16237.109066427289</v>
      </c>
      <c r="AJ872" s="106">
        <v>16300.182675044884</v>
      </c>
      <c r="AK872" s="104">
        <v>13656.137791741472</v>
      </c>
      <c r="AL872" s="118">
        <v>20709987</v>
      </c>
      <c r="AM872" s="118">
        <v>4356</v>
      </c>
      <c r="AN872" s="118">
        <v>66840</v>
      </c>
      <c r="AO872" s="118">
        <v>519</v>
      </c>
      <c r="AP872" s="118">
        <f t="shared" si="13"/>
        <v>250</v>
      </c>
    </row>
    <row r="873" spans="1:42" ht="12.75">
      <c r="A873" s="106">
        <v>2018</v>
      </c>
      <c r="B873" s="106">
        <v>-162779</v>
      </c>
      <c r="C873" s="106">
        <v>0</v>
      </c>
      <c r="D873" s="106">
        <v>162779</v>
      </c>
      <c r="E873" s="106" t="s">
        <v>1521</v>
      </c>
      <c r="F873" s="106" t="s">
        <v>131</v>
      </c>
      <c r="G873" s="106" t="s">
        <v>124</v>
      </c>
      <c r="H873" s="106">
        <v>4</v>
      </c>
      <c r="I873" s="106" t="s">
        <v>24</v>
      </c>
      <c r="J873" s="106">
        <v>4363</v>
      </c>
      <c r="K873" s="106">
        <v>10132</v>
      </c>
      <c r="L873" s="106">
        <v>8817</v>
      </c>
      <c r="M873" s="106">
        <v>0.38</v>
      </c>
      <c r="N873" s="106">
        <v>0.12</v>
      </c>
      <c r="O873" s="106">
        <v>0.28000000000000003</v>
      </c>
      <c r="P873" s="106">
        <v>1381</v>
      </c>
      <c r="Q873" s="106">
        <v>335.1304487179487</v>
      </c>
      <c r="R873" s="106">
        <v>4.9107913706569931E-2</v>
      </c>
      <c r="S873" s="106">
        <v>17233.773237179488</v>
      </c>
      <c r="T873" s="106">
        <v>18471.460737179488</v>
      </c>
      <c r="U873" s="106">
        <v>17261.63784519221</v>
      </c>
      <c r="V873" s="106">
        <v>0.37593402650595992</v>
      </c>
      <c r="W873" s="106">
        <v>78576.598674521345</v>
      </c>
      <c r="X873" s="110">
        <v>0.61718577207397607</v>
      </c>
      <c r="Y873" s="106">
        <v>424.14652567975827</v>
      </c>
      <c r="Z873" s="106">
        <v>14.138972809667672</v>
      </c>
      <c r="AA873" s="106">
        <v>77714.733155843714</v>
      </c>
      <c r="AB873" s="106">
        <v>575.41866634969494</v>
      </c>
      <c r="AC873" s="106">
        <v>1.2867572973514168</v>
      </c>
      <c r="AD873" s="106">
        <v>25.421863536316948</v>
      </c>
      <c r="AE873" s="106">
        <v>135.05772005772005</v>
      </c>
      <c r="AF873" s="106">
        <v>5.8569989938431592E-2</v>
      </c>
      <c r="AG873" s="106">
        <v>3672</v>
      </c>
      <c r="AH873" s="106">
        <v>16988.185096153848</v>
      </c>
      <c r="AI873" s="106">
        <v>17054.407692307694</v>
      </c>
      <c r="AJ873" s="106">
        <v>17314.085897435896</v>
      </c>
      <c r="AK873" s="104">
        <v>17910.555448717947</v>
      </c>
      <c r="AL873" s="118">
        <v>58018082</v>
      </c>
      <c r="AM873" s="118">
        <v>9476</v>
      </c>
      <c r="AN873" s="118">
        <v>187190</v>
      </c>
      <c r="AO873" s="118">
        <v>1290</v>
      </c>
      <c r="AP873" s="118">
        <f t="shared" si="13"/>
        <v>691</v>
      </c>
    </row>
    <row r="874" spans="1:42" ht="12.75">
      <c r="A874" s="106">
        <v>2018</v>
      </c>
      <c r="B874" s="106">
        <v>-225548</v>
      </c>
      <c r="C874" s="106">
        <v>0</v>
      </c>
      <c r="D874" s="106">
        <v>225548</v>
      </c>
      <c r="E874" s="106" t="s">
        <v>1522</v>
      </c>
      <c r="F874" s="106" t="s">
        <v>1523</v>
      </c>
      <c r="G874" s="106" t="s">
        <v>60</v>
      </c>
      <c r="H874" s="106">
        <v>7</v>
      </c>
      <c r="I874" s="106" t="s">
        <v>3641</v>
      </c>
      <c r="J874" s="106">
        <v>27690</v>
      </c>
      <c r="K874" s="106">
        <v>22493</v>
      </c>
      <c r="L874" s="106">
        <v>18482</v>
      </c>
      <c r="M874" s="106">
        <v>0.5</v>
      </c>
      <c r="N874" s="106">
        <v>0.83</v>
      </c>
      <c r="O874" s="106">
        <v>0.96</v>
      </c>
      <c r="P874" s="106">
        <v>12445</v>
      </c>
      <c r="Q874" s="106">
        <v>12446.986827661911</v>
      </c>
      <c r="R874" s="106">
        <v>0.49260835819500159</v>
      </c>
      <c r="S874" s="106">
        <v>20044.133918770582</v>
      </c>
      <c r="T874" s="106">
        <v>25681.166849615805</v>
      </c>
      <c r="U874" s="106">
        <v>22578.39297475302</v>
      </c>
      <c r="V874" s="106">
        <v>0.56782267962006361</v>
      </c>
      <c r="W874" s="106">
        <v>50599.048342541435</v>
      </c>
      <c r="X874" s="110">
        <v>0.5219471503610752</v>
      </c>
      <c r="Y874" s="106">
        <v>284.18947368421055</v>
      </c>
      <c r="Z874" s="106">
        <v>9.5894736842105264</v>
      </c>
      <c r="AA874" s="106">
        <v>98889.019230769234</v>
      </c>
      <c r="AB874" s="106">
        <v>761.86813838062074</v>
      </c>
      <c r="AC874" s="106">
        <v>1.0112346221842707</v>
      </c>
      <c r="AD874" s="106">
        <v>21.554404145077722</v>
      </c>
      <c r="AE874" s="106">
        <v>129.79807692307693</v>
      </c>
      <c r="AF874" s="106">
        <v>5.6993008717665626E-2</v>
      </c>
      <c r="AG874" s="106">
        <v>25290</v>
      </c>
      <c r="AH874" s="106">
        <v>17261.867178924258</v>
      </c>
      <c r="AI874" s="106">
        <v>20044.133918770582</v>
      </c>
      <c r="AJ874" s="106">
        <v>32465.110867178922</v>
      </c>
      <c r="AK874" s="104">
        <v>22578.39297475302</v>
      </c>
      <c r="AM874" s="118">
        <v>981</v>
      </c>
      <c r="AN874" s="118">
        <v>26998</v>
      </c>
      <c r="AO874" s="118">
        <v>166</v>
      </c>
      <c r="AP874" s="118">
        <f t="shared" si="13"/>
        <v>2400</v>
      </c>
    </row>
    <row r="875" spans="1:42" ht="12.75">
      <c r="A875" s="106">
        <v>2018</v>
      </c>
      <c r="B875" s="106">
        <v>-131520</v>
      </c>
      <c r="C875" s="106">
        <v>0</v>
      </c>
      <c r="D875" s="106">
        <v>131520</v>
      </c>
      <c r="E875" s="106" t="s">
        <v>1524</v>
      </c>
      <c r="F875" s="106" t="s">
        <v>155</v>
      </c>
      <c r="G875" s="106" t="s">
        <v>156</v>
      </c>
      <c r="H875" s="106">
        <v>5</v>
      </c>
      <c r="I875" s="106" t="s">
        <v>3639</v>
      </c>
      <c r="J875" s="106">
        <v>25697</v>
      </c>
      <c r="K875" s="106">
        <v>19196</v>
      </c>
      <c r="L875" s="106">
        <v>37167</v>
      </c>
      <c r="M875" s="106">
        <v>0.49</v>
      </c>
      <c r="N875" s="106">
        <v>0.62</v>
      </c>
      <c r="O875" s="106">
        <v>0.8</v>
      </c>
      <c r="P875" s="106">
        <v>22855</v>
      </c>
      <c r="Q875" s="106">
        <v>12642.975972416765</v>
      </c>
      <c r="R875" s="106">
        <v>0.45182521438115375</v>
      </c>
      <c r="S875" s="106">
        <v>82526.990626010127</v>
      </c>
      <c r="T875" s="106">
        <v>85316.237474410082</v>
      </c>
      <c r="U875" s="106">
        <v>40681.5870537847</v>
      </c>
      <c r="V875" s="106">
        <v>0.37705093109150939</v>
      </c>
      <c r="W875" s="106">
        <v>156603.29207604949</v>
      </c>
      <c r="X875" s="110">
        <v>0.51665782627364809</v>
      </c>
      <c r="Y875" s="106">
        <v>176.8724555526926</v>
      </c>
      <c r="Z875" s="106">
        <v>7.1741819118783816</v>
      </c>
      <c r="AA875" s="106">
        <v>181871.77718987275</v>
      </c>
      <c r="AB875" s="106">
        <v>1650.099248499549</v>
      </c>
      <c r="AC875" s="106">
        <v>0.54983792177716917</v>
      </c>
      <c r="AD875" s="106">
        <v>23.2422749664129</v>
      </c>
      <c r="AE875" s="106">
        <v>110.21868978805395</v>
      </c>
      <c r="AF875" s="106">
        <v>7.5715091451132061E-2</v>
      </c>
      <c r="AG875" s="106">
        <v>24122</v>
      </c>
      <c r="AH875" s="106">
        <v>78822.59885788169</v>
      </c>
      <c r="AI875" s="106">
        <v>82390.210106669547</v>
      </c>
      <c r="AJ875" s="106">
        <v>90378.730740221959</v>
      </c>
      <c r="AK875" s="104">
        <v>50870.27259993535</v>
      </c>
      <c r="AM875" s="118">
        <v>6354</v>
      </c>
      <c r="AN875" s="118">
        <v>228814</v>
      </c>
      <c r="AO875" s="118">
        <v>1232</v>
      </c>
      <c r="AP875" s="118">
        <f t="shared" si="13"/>
        <v>1575</v>
      </c>
    </row>
    <row r="876" spans="1:42" ht="12.75">
      <c r="A876" s="106">
        <v>2018</v>
      </c>
      <c r="B876" s="106">
        <v>-184995</v>
      </c>
      <c r="C876" s="106">
        <v>0</v>
      </c>
      <c r="D876" s="106">
        <v>184995</v>
      </c>
      <c r="E876" s="106" t="s">
        <v>1525</v>
      </c>
      <c r="F876" s="106" t="s">
        <v>1526</v>
      </c>
      <c r="G876" s="106" t="s">
        <v>234</v>
      </c>
      <c r="H876" s="106">
        <v>4</v>
      </c>
      <c r="I876" s="106" t="s">
        <v>24</v>
      </c>
      <c r="J876" s="106">
        <v>5508</v>
      </c>
      <c r="K876" s="106">
        <v>7292</v>
      </c>
      <c r="L876" s="106">
        <v>7172</v>
      </c>
      <c r="M876" s="106">
        <v>0.75</v>
      </c>
      <c r="N876" s="106">
        <v>7.0000000000000007E-2</v>
      </c>
      <c r="O876" s="106">
        <v>0.02</v>
      </c>
      <c r="P876" s="106">
        <v>2592</v>
      </c>
      <c r="Q876" s="106">
        <v>230.33556939785976</v>
      </c>
      <c r="R876" s="106">
        <v>3.9800312208122482E-2</v>
      </c>
      <c r="S876" s="106">
        <v>11175.290209231753</v>
      </c>
      <c r="T876" s="106">
        <v>11684.490017569078</v>
      </c>
      <c r="U876" s="106">
        <v>11089.106372783901</v>
      </c>
      <c r="V876" s="106">
        <v>0.50111746701427407</v>
      </c>
      <c r="W876" s="106">
        <v>59229.260534429595</v>
      </c>
      <c r="X876" s="110">
        <v>0.52517546197340625</v>
      </c>
      <c r="Y876" s="106">
        <v>742.399209486166</v>
      </c>
      <c r="Z876" s="106">
        <v>24.747035573122531</v>
      </c>
      <c r="AA876" s="106">
        <v>69988.805443548394</v>
      </c>
      <c r="AB876" s="106">
        <v>369.64278298647162</v>
      </c>
      <c r="AC876" s="106">
        <v>1.428799925448907</v>
      </c>
      <c r="AD876" s="106">
        <v>15.529117094552285</v>
      </c>
      <c r="AE876" s="106">
        <v>189.34173387096774</v>
      </c>
      <c r="AF876" s="106">
        <v>1.9607908630162089E-2</v>
      </c>
      <c r="AG876" s="106">
        <v>4050</v>
      </c>
      <c r="AH876" s="106">
        <v>11426.080178885162</v>
      </c>
      <c r="AI876" s="106">
        <v>11426.080178885162</v>
      </c>
      <c r="AJ876" s="106">
        <v>11674.550710749081</v>
      </c>
      <c r="AK876" s="104">
        <v>11619.092477240058</v>
      </c>
      <c r="AL876" s="118">
        <v>19915405</v>
      </c>
      <c r="AM876" s="118">
        <v>8864</v>
      </c>
      <c r="AN876" s="118">
        <v>187827</v>
      </c>
      <c r="AO876" s="118">
        <v>981</v>
      </c>
      <c r="AP876" s="118">
        <f t="shared" si="13"/>
        <v>1458</v>
      </c>
    </row>
    <row r="877" spans="1:42" ht="12.75">
      <c r="A877" s="106">
        <v>2018</v>
      </c>
      <c r="B877" s="106">
        <v>-191719</v>
      </c>
      <c r="C877" s="106">
        <v>0</v>
      </c>
      <c r="D877" s="106">
        <v>191719</v>
      </c>
      <c r="E877" s="106" t="s">
        <v>1527</v>
      </c>
      <c r="F877" s="106" t="s">
        <v>1528</v>
      </c>
      <c r="G877" s="106" t="s">
        <v>69</v>
      </c>
      <c r="H877" s="106">
        <v>4</v>
      </c>
      <c r="I877" s="106" t="s">
        <v>24</v>
      </c>
      <c r="J877" s="106">
        <v>5632</v>
      </c>
      <c r="K877" s="106">
        <v>8298</v>
      </c>
      <c r="L877" s="106">
        <v>6074</v>
      </c>
      <c r="M877" s="106">
        <v>0.48</v>
      </c>
      <c r="N877" s="106">
        <v>0.33</v>
      </c>
      <c r="O877" s="106">
        <v>0.05</v>
      </c>
      <c r="P877" s="106">
        <v>1540</v>
      </c>
      <c r="Q877" s="106"/>
      <c r="R877" s="106"/>
      <c r="S877" s="106">
        <v>14400.405005241089</v>
      </c>
      <c r="T877" s="106">
        <v>14705.134958071279</v>
      </c>
      <c r="U877" s="106">
        <v>12796.735324947589</v>
      </c>
      <c r="V877" s="106">
        <v>0.49204380776985873</v>
      </c>
      <c r="W877" s="106">
        <v>83778.212191717073</v>
      </c>
      <c r="X877" s="110">
        <v>0.53473532247600652</v>
      </c>
      <c r="Y877" s="106">
        <v>703.81045081967216</v>
      </c>
      <c r="Z877" s="106">
        <v>23.459016393442624</v>
      </c>
      <c r="AA877" s="106">
        <v>51784.031813361609</v>
      </c>
      <c r="AB877" s="106">
        <v>426.53362623540767</v>
      </c>
      <c r="AC877" s="106">
        <v>1.9310972224105083</v>
      </c>
      <c r="AD877" s="106">
        <v>24.966904951019327</v>
      </c>
      <c r="AE877" s="106">
        <v>121.40668080593849</v>
      </c>
      <c r="AF877" s="106">
        <v>3.8070063198742368E-3</v>
      </c>
      <c r="AG877" s="106">
        <v>4500</v>
      </c>
      <c r="AH877" s="106">
        <v>14622.076650943396</v>
      </c>
      <c r="AI877" s="106">
        <v>14622.076650943396</v>
      </c>
      <c r="AJ877" s="106">
        <v>14444.973401467505</v>
      </c>
      <c r="AK877" s="104">
        <v>13503.397667714884</v>
      </c>
      <c r="AL877" s="118">
        <v>46083313</v>
      </c>
      <c r="AM877" s="118">
        <v>11020</v>
      </c>
      <c r="AN877" s="118">
        <v>228973</v>
      </c>
      <c r="AO877" s="118">
        <v>1712</v>
      </c>
      <c r="AP877" s="118">
        <f t="shared" si="13"/>
        <v>1132</v>
      </c>
    </row>
    <row r="878" spans="1:42" ht="12.75">
      <c r="A878" s="106">
        <v>2018</v>
      </c>
      <c r="B878" s="106">
        <v>-115755</v>
      </c>
      <c r="C878" s="106">
        <v>0</v>
      </c>
      <c r="D878" s="106">
        <v>115755</v>
      </c>
      <c r="E878" s="106" t="s">
        <v>1529</v>
      </c>
      <c r="F878" s="106" t="s">
        <v>1530</v>
      </c>
      <c r="G878" s="106" t="s">
        <v>121</v>
      </c>
      <c r="H878" s="106">
        <v>2</v>
      </c>
      <c r="I878" s="106" t="s">
        <v>25</v>
      </c>
      <c r="J878" s="106">
        <v>7493</v>
      </c>
      <c r="K878" s="106">
        <v>14506</v>
      </c>
      <c r="L878" s="106">
        <v>11120</v>
      </c>
      <c r="M878" s="106">
        <v>0.54</v>
      </c>
      <c r="N878" s="106">
        <v>0.62</v>
      </c>
      <c r="O878" s="106">
        <v>0.54</v>
      </c>
      <c r="P878" s="106">
        <v>5489</v>
      </c>
      <c r="Q878" s="106">
        <v>2127.1076670040484</v>
      </c>
      <c r="R878" s="106">
        <v>0.26365108918115848</v>
      </c>
      <c r="S878" s="106">
        <v>26277.653466599189</v>
      </c>
      <c r="T878" s="106">
        <v>27241.477226720646</v>
      </c>
      <c r="U878" s="106">
        <v>16409.88919231516</v>
      </c>
      <c r="V878" s="106">
        <v>0.362024450857589</v>
      </c>
      <c r="W878" s="106">
        <v>144368.44570502432</v>
      </c>
      <c r="X878" s="110">
        <v>0.68949101081070208</v>
      </c>
      <c r="Y878" s="106">
        <v>604.36855670103091</v>
      </c>
      <c r="Z878" s="106">
        <v>20.371134020618555</v>
      </c>
      <c r="AA878" s="106">
        <v>59909.359896563066</v>
      </c>
      <c r="AB878" s="106">
        <v>553.11952995184993</v>
      </c>
      <c r="AC878" s="106">
        <v>1.6691882566039049</v>
      </c>
      <c r="AD878" s="106">
        <v>26.951325781152747</v>
      </c>
      <c r="AE878" s="106">
        <v>108.31177829099308</v>
      </c>
      <c r="AF878" s="106">
        <v>-0.30748638681275969</v>
      </c>
      <c r="AG878" s="106">
        <v>5742</v>
      </c>
      <c r="AH878" s="106">
        <v>26478.410551619432</v>
      </c>
      <c r="AI878" s="106">
        <v>26648.793901821864</v>
      </c>
      <c r="AJ878" s="106">
        <v>26358.378542510123</v>
      </c>
      <c r="AK878" s="104">
        <v>18258.91004554656</v>
      </c>
      <c r="AL878" s="118">
        <v>110361997</v>
      </c>
      <c r="AM878" s="118">
        <v>7862</v>
      </c>
      <c r="AN878" s="118">
        <v>234495</v>
      </c>
      <c r="AO878" s="118">
        <v>1942</v>
      </c>
      <c r="AP878" s="118">
        <f t="shared" si="13"/>
        <v>1751</v>
      </c>
    </row>
    <row r="879" spans="1:42" ht="12.75">
      <c r="A879" s="106">
        <v>2018</v>
      </c>
      <c r="B879" s="106">
        <v>-115773</v>
      </c>
      <c r="C879" s="106">
        <v>0</v>
      </c>
      <c r="D879" s="106">
        <v>115773</v>
      </c>
      <c r="E879" s="106" t="s">
        <v>4112</v>
      </c>
      <c r="F879" s="106" t="s">
        <v>1531</v>
      </c>
      <c r="G879" s="106" t="s">
        <v>121</v>
      </c>
      <c r="H879" s="106">
        <v>7</v>
      </c>
      <c r="I879" s="106" t="s">
        <v>3641</v>
      </c>
      <c r="J879" s="106">
        <v>14004</v>
      </c>
      <c r="K879" s="106">
        <v>7139</v>
      </c>
      <c r="L879" s="106">
        <v>7142</v>
      </c>
      <c r="M879" s="106">
        <v>0.83</v>
      </c>
      <c r="N879" s="106">
        <v>0.33</v>
      </c>
      <c r="O879" s="106">
        <v>0.17</v>
      </c>
      <c r="P879" s="106">
        <v>11952</v>
      </c>
      <c r="Q879" s="106">
        <v>518.9099526066351</v>
      </c>
      <c r="R879" s="106">
        <v>3.2283997749054355E-2</v>
      </c>
      <c r="S879" s="106">
        <v>17995.220379146918</v>
      </c>
      <c r="T879" s="106">
        <v>20811.189573459716</v>
      </c>
      <c r="U879" s="106">
        <v>18493.673905749652</v>
      </c>
      <c r="V879" s="106">
        <v>0.84106472605291027</v>
      </c>
      <c r="W879" s="106">
        <v>45502.508720930236</v>
      </c>
      <c r="X879" s="110">
        <v>0.59410495310921185</v>
      </c>
      <c r="Y879" s="106">
        <v>245.96858638743456</v>
      </c>
      <c r="Z879" s="106">
        <v>6.6282722513089007</v>
      </c>
      <c r="AA879" s="106">
        <v>38256.521510913495</v>
      </c>
      <c r="AB879" s="106">
        <v>498.36081661726388</v>
      </c>
      <c r="AC879" s="106">
        <v>2.6139334171161601</v>
      </c>
      <c r="AD879" s="106">
        <v>61.631419939577036</v>
      </c>
      <c r="AE879" s="106">
        <v>76.764705882352942</v>
      </c>
      <c r="AF879" s="106">
        <v>-6.0133445599691866E-2</v>
      </c>
      <c r="AG879" s="106">
        <v>14004</v>
      </c>
      <c r="AH879" s="106">
        <v>17727.945497630331</v>
      </c>
      <c r="AI879" s="106">
        <v>17742.400473933649</v>
      </c>
      <c r="AJ879" s="106">
        <v>18305.81990521327</v>
      </c>
      <c r="AK879" s="104">
        <v>19039.329383886256</v>
      </c>
      <c r="AL879" s="118"/>
      <c r="AM879" s="118">
        <v>324</v>
      </c>
      <c r="AN879" s="118">
        <v>15660</v>
      </c>
      <c r="AO879" s="118">
        <v>162</v>
      </c>
      <c r="AP879" s="118">
        <f t="shared" si="13"/>
        <v>0</v>
      </c>
    </row>
    <row r="880" spans="1:42" ht="12.75">
      <c r="A880" s="106">
        <v>2018</v>
      </c>
      <c r="B880" s="106">
        <v>-101435</v>
      </c>
      <c r="C880" s="106">
        <v>0</v>
      </c>
      <c r="D880" s="106">
        <v>101435</v>
      </c>
      <c r="E880" s="106" t="s">
        <v>1532</v>
      </c>
      <c r="F880" s="106" t="s">
        <v>87</v>
      </c>
      <c r="G880" s="106" t="s">
        <v>85</v>
      </c>
      <c r="H880" s="106">
        <v>7</v>
      </c>
      <c r="I880" s="106" t="s">
        <v>3641</v>
      </c>
      <c r="J880" s="106">
        <v>24997</v>
      </c>
      <c r="K880" s="106">
        <v>20893</v>
      </c>
      <c r="L880" s="106">
        <v>17993</v>
      </c>
      <c r="M880" s="106">
        <v>0.45</v>
      </c>
      <c r="N880" s="106">
        <v>0.77</v>
      </c>
      <c r="O880" s="106">
        <v>1</v>
      </c>
      <c r="P880" s="106">
        <v>12122</v>
      </c>
      <c r="Q880" s="106">
        <v>11163.615309126595</v>
      </c>
      <c r="R880" s="106">
        <v>0.50079721843010172</v>
      </c>
      <c r="S880" s="106">
        <v>20787.422963689893</v>
      </c>
      <c r="T880" s="106">
        <v>21803.625122669284</v>
      </c>
      <c r="U880" s="106">
        <v>18274.863591756624</v>
      </c>
      <c r="V880" s="106">
        <v>0.60892780755066855</v>
      </c>
      <c r="W880" s="106">
        <v>58935.693086003375</v>
      </c>
      <c r="X880" s="110">
        <v>0.52433511475029992</v>
      </c>
      <c r="Y880" s="106">
        <v>482.58947368421053</v>
      </c>
      <c r="Z880" s="106">
        <v>16.089473684210525</v>
      </c>
      <c r="AA880" s="106">
        <v>80965.591304347821</v>
      </c>
      <c r="AB880" s="106">
        <v>609.28170396544954</v>
      </c>
      <c r="AC880" s="106">
        <v>1.2350925669659134</v>
      </c>
      <c r="AD880" s="106">
        <v>23.809523809523807</v>
      </c>
      <c r="AE880" s="106">
        <v>132.88695652173914</v>
      </c>
      <c r="AF880" s="106">
        <v>3.7521596475966285E-2</v>
      </c>
      <c r="AG880" s="106">
        <v>23639</v>
      </c>
      <c r="AH880" s="106">
        <v>16522.322865554466</v>
      </c>
      <c r="AI880" s="106">
        <v>20766.503434739941</v>
      </c>
      <c r="AJ880" s="106">
        <v>23944.528949950931</v>
      </c>
      <c r="AK880" s="104">
        <v>18274.863591756624</v>
      </c>
      <c r="AL880" s="118"/>
      <c r="AM880" s="118">
        <v>1102</v>
      </c>
      <c r="AN880" s="118">
        <v>30564</v>
      </c>
      <c r="AO880" s="118">
        <v>230</v>
      </c>
      <c r="AP880" s="118">
        <f t="shared" si="13"/>
        <v>1358</v>
      </c>
    </row>
    <row r="881" spans="1:42" ht="12.75">
      <c r="A881" s="106">
        <v>2018</v>
      </c>
      <c r="B881" s="106">
        <v>-150941</v>
      </c>
      <c r="C881" s="106">
        <v>0</v>
      </c>
      <c r="D881" s="106">
        <v>150941</v>
      </c>
      <c r="E881" s="106" t="s">
        <v>1533</v>
      </c>
      <c r="F881" s="106" t="s">
        <v>1534</v>
      </c>
      <c r="G881" s="106" t="s">
        <v>161</v>
      </c>
      <c r="H881" s="106">
        <v>7</v>
      </c>
      <c r="I881" s="106" t="s">
        <v>3641</v>
      </c>
      <c r="J881" s="106">
        <v>25540</v>
      </c>
      <c r="K881" s="106">
        <v>19709</v>
      </c>
      <c r="L881" s="106">
        <v>16116</v>
      </c>
      <c r="M881" s="106">
        <v>0.4</v>
      </c>
      <c r="N881" s="106">
        <v>0.81</v>
      </c>
      <c r="O881" s="106">
        <v>0.95</v>
      </c>
      <c r="P881" s="106">
        <v>12168</v>
      </c>
      <c r="Q881" s="106">
        <v>7017.4353035143768</v>
      </c>
      <c r="R881" s="106">
        <v>0.33132697982188469</v>
      </c>
      <c r="S881" s="106">
        <v>23500.267571884982</v>
      </c>
      <c r="T881" s="106">
        <v>23314.684504792331</v>
      </c>
      <c r="U881" s="106">
        <v>20784.51198083067</v>
      </c>
      <c r="V881" s="106">
        <v>0.68138973136369785</v>
      </c>
      <c r="W881" s="106">
        <v>65429.347386172012</v>
      </c>
      <c r="X881" s="110">
        <v>0.44306980630514198</v>
      </c>
      <c r="Y881" s="106">
        <v>341.20618556701032</v>
      </c>
      <c r="Z881" s="106">
        <v>12.907216494845361</v>
      </c>
      <c r="AA881" s="106">
        <v>90669.71777003484</v>
      </c>
      <c r="AB881" s="106">
        <v>786.24071668127021</v>
      </c>
      <c r="AC881" s="106">
        <v>1.1029040616805437</v>
      </c>
      <c r="AD881" s="106">
        <v>24.508966695132365</v>
      </c>
      <c r="AE881" s="106">
        <v>115.32055749128919</v>
      </c>
      <c r="AF881" s="106">
        <v>4.6470563133845538E-2</v>
      </c>
      <c r="AG881" s="106">
        <v>24694</v>
      </c>
      <c r="AH881" s="106">
        <v>20753.714057507987</v>
      </c>
      <c r="AI881" s="106">
        <v>25154.673322683706</v>
      </c>
      <c r="AJ881" s="106">
        <v>25352.639776357828</v>
      </c>
      <c r="AK881" s="104">
        <v>20784.51198083067</v>
      </c>
      <c r="AL881" s="118"/>
      <c r="AM881" s="118">
        <v>1076</v>
      </c>
      <c r="AN881" s="118">
        <v>33097</v>
      </c>
      <c r="AO881" s="118">
        <v>219</v>
      </c>
      <c r="AP881" s="118">
        <f t="shared" si="13"/>
        <v>846</v>
      </c>
    </row>
    <row r="882" spans="1:42" ht="12.75">
      <c r="A882" s="106">
        <v>2018</v>
      </c>
      <c r="B882" s="106">
        <v>2516</v>
      </c>
      <c r="C882" s="106">
        <v>1</v>
      </c>
      <c r="D882" s="106">
        <v>487524</v>
      </c>
      <c r="E882" s="106" t="s">
        <v>3853</v>
      </c>
      <c r="F882" s="106" t="s">
        <v>1115</v>
      </c>
      <c r="G882" s="106" t="s">
        <v>301</v>
      </c>
      <c r="H882" s="106">
        <v>6</v>
      </c>
      <c r="I882" s="106" t="s">
        <v>3640</v>
      </c>
      <c r="J882" s="106">
        <v>17010</v>
      </c>
      <c r="K882" s="106"/>
      <c r="L882" s="106"/>
      <c r="M882" s="106">
        <v>0.47</v>
      </c>
      <c r="N882" s="106">
        <v>0.84</v>
      </c>
      <c r="O882" s="106">
        <v>0.97</v>
      </c>
      <c r="P882" s="106">
        <v>8235</v>
      </c>
      <c r="Q882" s="106">
        <v>4058.4772657918829</v>
      </c>
      <c r="R882" s="106">
        <v>0.24727706446069553</v>
      </c>
      <c r="S882" s="106">
        <v>17430.107110161734</v>
      </c>
      <c r="T882" s="106">
        <v>16489.577967653342</v>
      </c>
      <c r="U882" s="106">
        <v>13969.690570643881</v>
      </c>
      <c r="V882" s="106">
        <v>0.88435705305238621</v>
      </c>
      <c r="W882" s="106">
        <v>84902.572481572483</v>
      </c>
      <c r="X882" s="110">
        <v>0.63948340179250085</v>
      </c>
      <c r="Y882" s="106">
        <v>654.6</v>
      </c>
      <c r="Z882" s="106">
        <v>24.888607594936712</v>
      </c>
      <c r="AA882" s="106">
        <v>48443.043386243386</v>
      </c>
      <c r="AB882" s="106">
        <v>531.14290686746574</v>
      </c>
      <c r="AC882" s="106">
        <v>2.064279884372366</v>
      </c>
      <c r="AD882" s="106">
        <v>30.474040632054177</v>
      </c>
      <c r="AE882" s="106">
        <v>91.205291005291002</v>
      </c>
      <c r="AF882" s="106"/>
      <c r="AG882" s="106">
        <v>16530</v>
      </c>
      <c r="AH882" s="106">
        <v>16441.718950259383</v>
      </c>
      <c r="AI882" s="106">
        <v>17638.137320720172</v>
      </c>
      <c r="AJ882" s="106">
        <v>18162.044858101923</v>
      </c>
      <c r="AK882" s="104">
        <v>13969.690570643881</v>
      </c>
      <c r="AL882" s="118"/>
      <c r="AM882" s="118">
        <v>2768</v>
      </c>
      <c r="AN882" s="118">
        <v>86189</v>
      </c>
      <c r="AO882" s="118">
        <v>555</v>
      </c>
      <c r="AP882" s="118">
        <f t="shared" si="13"/>
        <v>480</v>
      </c>
    </row>
    <row r="883" spans="1:42" ht="12.75">
      <c r="A883" s="106">
        <v>2018</v>
      </c>
      <c r="B883" s="106">
        <v>-225575</v>
      </c>
      <c r="C883" s="106">
        <v>0</v>
      </c>
      <c r="D883" s="106">
        <v>225575</v>
      </c>
      <c r="E883" s="106" t="s">
        <v>1535</v>
      </c>
      <c r="F883" s="106" t="s">
        <v>252</v>
      </c>
      <c r="G883" s="106" t="s">
        <v>60</v>
      </c>
      <c r="H883" s="106">
        <v>7</v>
      </c>
      <c r="I883" s="106" t="s">
        <v>3641</v>
      </c>
      <c r="J883" s="106">
        <v>14346</v>
      </c>
      <c r="K883" s="106">
        <v>15334</v>
      </c>
      <c r="L883" s="106">
        <v>15454</v>
      </c>
      <c r="M883" s="106">
        <v>0.74</v>
      </c>
      <c r="N883" s="106">
        <v>0.83</v>
      </c>
      <c r="O883" s="106">
        <v>0.38</v>
      </c>
      <c r="P883" s="106">
        <v>4681</v>
      </c>
      <c r="Q883" s="107">
        <v>663.70569280343716</v>
      </c>
      <c r="R883" s="106">
        <v>4.7142414096566762E-2</v>
      </c>
      <c r="S883" s="106">
        <v>23018.448979591838</v>
      </c>
      <c r="T883" s="106">
        <v>22987.64446831364</v>
      </c>
      <c r="U883" s="106">
        <v>16778.124597207305</v>
      </c>
      <c r="V883" s="106">
        <v>0.7995549291396129</v>
      </c>
      <c r="W883" s="106">
        <v>66950.590909090912</v>
      </c>
      <c r="X883" s="110">
        <v>0.43587834066000147</v>
      </c>
      <c r="Y883" s="106">
        <v>404.24637681159419</v>
      </c>
      <c r="Z883" s="106">
        <v>13.492753623188406</v>
      </c>
      <c r="AA883" s="106">
        <v>63240.623481781375</v>
      </c>
      <c r="AB883" s="106">
        <v>560.01269135625421</v>
      </c>
      <c r="AC883" s="106">
        <v>1.5812620827308639</v>
      </c>
      <c r="AD883" s="106">
        <v>23.636363636363637</v>
      </c>
      <c r="AE883" s="106">
        <v>112.92712550607287</v>
      </c>
      <c r="AF883" s="106">
        <v>1.9202186490352498E-2</v>
      </c>
      <c r="AG883" s="106">
        <v>12262</v>
      </c>
      <c r="AH883" s="106">
        <v>19457.218045112782</v>
      </c>
      <c r="AI883" s="106">
        <v>23931.712137486575</v>
      </c>
      <c r="AJ883" s="106">
        <v>23496.27604726101</v>
      </c>
      <c r="AK883" s="104">
        <v>18039.182599355532</v>
      </c>
      <c r="AL883" s="118"/>
      <c r="AM883" s="118">
        <v>1052</v>
      </c>
      <c r="AN883" s="118">
        <v>27893</v>
      </c>
      <c r="AO883" s="118">
        <v>243</v>
      </c>
      <c r="AP883" s="118">
        <f t="shared" si="13"/>
        <v>2084</v>
      </c>
    </row>
    <row r="884" spans="1:42" ht="12.75">
      <c r="A884" s="106">
        <v>2018</v>
      </c>
      <c r="B884" s="106">
        <v>-155195</v>
      </c>
      <c r="C884" s="106">
        <v>0</v>
      </c>
      <c r="D884" s="106">
        <v>155195</v>
      </c>
      <c r="E884" s="106" t="s">
        <v>1536</v>
      </c>
      <c r="F884" s="106" t="s">
        <v>1537</v>
      </c>
      <c r="G884" s="106" t="s">
        <v>129</v>
      </c>
      <c r="H884" s="106">
        <v>4</v>
      </c>
      <c r="I884" s="106" t="s">
        <v>24</v>
      </c>
      <c r="J884" s="106">
        <v>3072</v>
      </c>
      <c r="K884" s="106">
        <v>7698</v>
      </c>
      <c r="L884" s="106">
        <v>5596</v>
      </c>
      <c r="M884" s="106">
        <v>0.48</v>
      </c>
      <c r="N884" s="106">
        <v>0.31</v>
      </c>
      <c r="O884" s="106">
        <v>0.66</v>
      </c>
      <c r="P884" s="106">
        <v>2715</v>
      </c>
      <c r="Q884" s="106">
        <v>46.927104722792606</v>
      </c>
      <c r="R884" s="106">
        <v>1.6099736860690446E-2</v>
      </c>
      <c r="S884" s="106">
        <v>12531.413501026695</v>
      </c>
      <c r="T884" s="106">
        <v>13107.695071868584</v>
      </c>
      <c r="U884" s="106">
        <v>8695.9417608047952</v>
      </c>
      <c r="V884" s="106">
        <v>0.32979148375401229</v>
      </c>
      <c r="W884" s="106">
        <v>55829.829801777167</v>
      </c>
      <c r="X884" s="110">
        <v>0.53314347380471128</v>
      </c>
      <c r="Y884" s="106">
        <v>592.23141891891885</v>
      </c>
      <c r="Z884" s="106">
        <v>19.743243243243242</v>
      </c>
      <c r="AA884" s="106">
        <v>34500.396232276456</v>
      </c>
      <c r="AB884" s="106">
        <v>289.8969692051262</v>
      </c>
      <c r="AC884" s="106">
        <v>2.8985174351837193</v>
      </c>
      <c r="AD884" s="106">
        <v>28.422575976845156</v>
      </c>
      <c r="AE884" s="106">
        <v>119.0091649694501</v>
      </c>
      <c r="AF884" s="106">
        <v>2.8508281460046039E-2</v>
      </c>
      <c r="AG884" s="106">
        <v>2464</v>
      </c>
      <c r="AH884" s="106">
        <v>11437.380390143737</v>
      </c>
      <c r="AI884" s="106">
        <v>11609.649383983573</v>
      </c>
      <c r="AJ884" s="106">
        <v>12565.102412731007</v>
      </c>
      <c r="AK884" s="104">
        <v>10492.74820328542</v>
      </c>
      <c r="AL884" s="118">
        <v>25540940</v>
      </c>
      <c r="AM884" s="118">
        <v>5854</v>
      </c>
      <c r="AN884" s="118">
        <v>116867</v>
      </c>
      <c r="AO884" s="118">
        <v>768</v>
      </c>
      <c r="AP884" s="118">
        <f t="shared" si="13"/>
        <v>608</v>
      </c>
    </row>
    <row r="885" spans="1:42" ht="12.75">
      <c r="A885" s="106">
        <v>2018</v>
      </c>
      <c r="B885" s="106">
        <v>-142276</v>
      </c>
      <c r="C885" s="106">
        <v>0</v>
      </c>
      <c r="D885" s="106">
        <v>142276</v>
      </c>
      <c r="E885" s="106" t="s">
        <v>1538</v>
      </c>
      <c r="F885" s="106" t="s">
        <v>1539</v>
      </c>
      <c r="G885" s="106" t="s">
        <v>418</v>
      </c>
      <c r="H885" s="106">
        <v>1</v>
      </c>
      <c r="I885" s="106" t="s">
        <v>23</v>
      </c>
      <c r="J885" s="106">
        <v>7166</v>
      </c>
      <c r="K885" s="106">
        <v>13349</v>
      </c>
      <c r="L885" s="106">
        <v>14622</v>
      </c>
      <c r="M885" s="106">
        <v>0.48</v>
      </c>
      <c r="N885" s="106">
        <v>0.49</v>
      </c>
      <c r="O885" s="106">
        <v>0.66</v>
      </c>
      <c r="P885" s="106">
        <v>4477</v>
      </c>
      <c r="Q885" s="107">
        <v>2476.1638321424975</v>
      </c>
      <c r="R885" s="106">
        <v>0.23349430150651387</v>
      </c>
      <c r="S885" s="106">
        <v>24258.12307537486</v>
      </c>
      <c r="T885" s="106">
        <v>25222.570997282881</v>
      </c>
      <c r="U885" s="106">
        <v>17974.208667857816</v>
      </c>
      <c r="V885" s="106">
        <v>0.45223971477777564</v>
      </c>
      <c r="W885" s="106">
        <v>97266.629977029108</v>
      </c>
      <c r="X885" s="110">
        <v>0.67577347255721798</v>
      </c>
      <c r="Y885" s="106">
        <v>425.69035269709548</v>
      </c>
      <c r="Z885" s="106">
        <v>15.462136929460582</v>
      </c>
      <c r="AA885" s="106">
        <v>70318.784067914617</v>
      </c>
      <c r="AB885" s="106">
        <v>652.86815606759023</v>
      </c>
      <c r="AC885" s="106">
        <v>1.4220951247310953</v>
      </c>
      <c r="AD885" s="106">
        <v>26.697498423376075</v>
      </c>
      <c r="AE885" s="106">
        <v>107.70748031496063</v>
      </c>
      <c r="AF885" s="106">
        <v>4.4094994703566424E-3</v>
      </c>
      <c r="AG885" s="106">
        <v>5425</v>
      </c>
      <c r="AH885" s="106">
        <v>22734.514139076178</v>
      </c>
      <c r="AI885" s="106">
        <v>23176.334004226628</v>
      </c>
      <c r="AJ885" s="106">
        <v>24281.753346080306</v>
      </c>
      <c r="AK885" s="104">
        <v>22565.575525812619</v>
      </c>
      <c r="AL885" s="118">
        <v>92993781</v>
      </c>
      <c r="AM885" s="118">
        <v>10557</v>
      </c>
      <c r="AN885" s="118">
        <v>273577</v>
      </c>
      <c r="AO885" s="118">
        <v>1639</v>
      </c>
      <c r="AP885" s="118">
        <f t="shared" si="13"/>
        <v>1741</v>
      </c>
    </row>
    <row r="886" spans="1:42" ht="12.75">
      <c r="A886" s="106">
        <v>2018</v>
      </c>
      <c r="B886" s="106">
        <v>-145682</v>
      </c>
      <c r="C886" s="106">
        <v>0</v>
      </c>
      <c r="D886" s="106">
        <v>145682</v>
      </c>
      <c r="E886" s="106" t="s">
        <v>1540</v>
      </c>
      <c r="F886" s="106" t="s">
        <v>1541</v>
      </c>
      <c r="G886" s="106" t="s">
        <v>243</v>
      </c>
      <c r="H886" s="106">
        <v>4</v>
      </c>
      <c r="I886" s="106" t="s">
        <v>24</v>
      </c>
      <c r="J886" s="106">
        <v>4004</v>
      </c>
      <c r="K886" s="106">
        <v>9659</v>
      </c>
      <c r="L886" s="106">
        <v>7889</v>
      </c>
      <c r="M886" s="106">
        <v>0.35</v>
      </c>
      <c r="N886" s="106">
        <v>0.19</v>
      </c>
      <c r="O886" s="106">
        <v>0.28000000000000003</v>
      </c>
      <c r="P886" s="106">
        <v>2678</v>
      </c>
      <c r="Q886" s="106">
        <v>111.84827339416711</v>
      </c>
      <c r="R886" s="106">
        <v>2.6666763359563413E-2</v>
      </c>
      <c r="S886" s="106">
        <v>22710.255859724457</v>
      </c>
      <c r="T886" s="106">
        <v>21664.156199677938</v>
      </c>
      <c r="U886" s="106">
        <v>16275.857789409469</v>
      </c>
      <c r="V886" s="106">
        <v>0.25082836328899022</v>
      </c>
      <c r="W886" s="106">
        <v>104843.33875063484</v>
      </c>
      <c r="X886" s="110">
        <v>0.5683153890187318</v>
      </c>
      <c r="Y886" s="106">
        <v>582.84820393974508</v>
      </c>
      <c r="Z886" s="106">
        <v>19.428736964078794</v>
      </c>
      <c r="AA886" s="106">
        <v>54732.713107707292</v>
      </c>
      <c r="AB886" s="106">
        <v>542.54153605984231</v>
      </c>
      <c r="AC886" s="106">
        <v>1.8270608987208838</v>
      </c>
      <c r="AD886" s="106">
        <v>32.084942084942085</v>
      </c>
      <c r="AE886" s="106">
        <v>100.8820697954272</v>
      </c>
      <c r="AF886" s="106">
        <v>4.4313010827176279E-2</v>
      </c>
      <c r="AG886" s="106">
        <v>4004</v>
      </c>
      <c r="AH886" s="106">
        <v>21142.287350152084</v>
      </c>
      <c r="AI886" s="106">
        <v>21142.287350152084</v>
      </c>
      <c r="AJ886" s="106">
        <v>23084.335122562177</v>
      </c>
      <c r="AK886" s="104">
        <v>19420.969225263911</v>
      </c>
      <c r="AL886" s="118">
        <v>40776496</v>
      </c>
      <c r="AM886" s="118">
        <v>9266</v>
      </c>
      <c r="AN886" s="118">
        <v>167666</v>
      </c>
      <c r="AO886" s="118">
        <v>1122</v>
      </c>
      <c r="AP886" s="118">
        <f t="shared" si="13"/>
        <v>0</v>
      </c>
    </row>
    <row r="887" spans="1:42" ht="12.75">
      <c r="A887" s="106">
        <v>2018</v>
      </c>
      <c r="B887" s="106">
        <v>-145691</v>
      </c>
      <c r="C887" s="106">
        <v>0</v>
      </c>
      <c r="D887" s="106">
        <v>145691</v>
      </c>
      <c r="E887" s="106" t="s">
        <v>1542</v>
      </c>
      <c r="F887" s="106" t="s">
        <v>792</v>
      </c>
      <c r="G887" s="106" t="s">
        <v>243</v>
      </c>
      <c r="H887" s="106">
        <v>7</v>
      </c>
      <c r="I887" s="106" t="s">
        <v>3641</v>
      </c>
      <c r="J887" s="106">
        <v>32140</v>
      </c>
      <c r="K887" s="106">
        <v>16865</v>
      </c>
      <c r="L887" s="106">
        <v>12366</v>
      </c>
      <c r="M887" s="106">
        <v>0.43</v>
      </c>
      <c r="N887" s="106">
        <v>0.76</v>
      </c>
      <c r="O887" s="106">
        <v>1</v>
      </c>
      <c r="P887" s="106">
        <v>21107</v>
      </c>
      <c r="Q887" s="106">
        <v>17412.834645669293</v>
      </c>
      <c r="R887" s="106">
        <v>0.60317072187828646</v>
      </c>
      <c r="S887" s="106">
        <v>23072.905511811023</v>
      </c>
      <c r="T887" s="106">
        <v>34004.518700787405</v>
      </c>
      <c r="U887" s="106">
        <v>27869.95472440945</v>
      </c>
      <c r="V887" s="106">
        <v>0.41105190678557196</v>
      </c>
      <c r="W887" s="106">
        <v>76967.187845303866</v>
      </c>
      <c r="X887" s="110">
        <v>0.53764126010232949</v>
      </c>
      <c r="Y887" s="106">
        <v>379.36929460580916</v>
      </c>
      <c r="Z887" s="106">
        <v>12.647302904564317</v>
      </c>
      <c r="AA887" s="106">
        <v>136134.00961538462</v>
      </c>
      <c r="AB887" s="106">
        <v>929.12042262764146</v>
      </c>
      <c r="AC887" s="106">
        <v>0.73457029791840434</v>
      </c>
      <c r="AD887" s="106">
        <v>21.80293501048218</v>
      </c>
      <c r="AE887" s="106">
        <v>146.51923076923077</v>
      </c>
      <c r="AF887" s="106">
        <v>-1.5381673500365995E-2</v>
      </c>
      <c r="AG887" s="106">
        <v>31590</v>
      </c>
      <c r="AH887" s="106">
        <v>19203.031496062991</v>
      </c>
      <c r="AI887" s="106">
        <v>23072.905511811023</v>
      </c>
      <c r="AJ887" s="106">
        <v>31256.779527559054</v>
      </c>
      <c r="AK887" s="104">
        <v>27869.95472440945</v>
      </c>
      <c r="AL887" s="118"/>
      <c r="AM887" s="118">
        <v>959</v>
      </c>
      <c r="AN887" s="118">
        <v>30476</v>
      </c>
      <c r="AO887" s="118">
        <v>208</v>
      </c>
      <c r="AP887" s="118">
        <f t="shared" si="13"/>
        <v>550</v>
      </c>
    </row>
    <row r="888" spans="1:42" ht="12.75">
      <c r="A888" s="106">
        <v>2018</v>
      </c>
      <c r="B888" s="106">
        <v>-145725</v>
      </c>
      <c r="C888" s="106">
        <v>0</v>
      </c>
      <c r="D888" s="106">
        <v>145725</v>
      </c>
      <c r="E888" s="106" t="s">
        <v>1543</v>
      </c>
      <c r="F888" s="106" t="s">
        <v>725</v>
      </c>
      <c r="G888" s="106" t="s">
        <v>243</v>
      </c>
      <c r="H888" s="106">
        <v>5</v>
      </c>
      <c r="I888" s="106" t="s">
        <v>3639</v>
      </c>
      <c r="J888" s="106">
        <v>45253</v>
      </c>
      <c r="K888" s="106">
        <v>25814</v>
      </c>
      <c r="L888" s="106">
        <v>17714</v>
      </c>
      <c r="M888" s="106">
        <v>0.31</v>
      </c>
      <c r="N888" s="106">
        <v>0.53</v>
      </c>
      <c r="O888" s="106">
        <v>1</v>
      </c>
      <c r="P888" s="106">
        <v>31470</v>
      </c>
      <c r="Q888" s="106">
        <v>15588.49821215733</v>
      </c>
      <c r="R888" s="106">
        <v>0.4282445778743712</v>
      </c>
      <c r="S888" s="106">
        <v>38477.056019070325</v>
      </c>
      <c r="T888" s="106">
        <v>40343.265792610247</v>
      </c>
      <c r="U888" s="106">
        <v>21424.824370581679</v>
      </c>
      <c r="V888" s="106">
        <v>0.97141638813771847</v>
      </c>
      <c r="W888" s="106">
        <v>120515.53478141325</v>
      </c>
      <c r="X888" s="110">
        <v>0.53956289884188136</v>
      </c>
      <c r="Y888" s="106">
        <v>341.05084745762713</v>
      </c>
      <c r="Z888" s="106">
        <v>16.251815980629541</v>
      </c>
      <c r="AA888" s="106">
        <v>56283.139403265843</v>
      </c>
      <c r="AB888" s="106">
        <v>1020.9395627766639</v>
      </c>
      <c r="AC888" s="106">
        <v>1.7767310256719169</v>
      </c>
      <c r="AD888" s="106">
        <v>39.241283980955302</v>
      </c>
      <c r="AE888" s="106">
        <v>55.128767123287673</v>
      </c>
      <c r="AF888" s="106">
        <v>0.1873434819768936</v>
      </c>
      <c r="AG888" s="106">
        <v>43869</v>
      </c>
      <c r="AH888" s="106">
        <v>33549.761620977355</v>
      </c>
      <c r="AI888" s="106">
        <v>38197.854588796188</v>
      </c>
      <c r="AJ888" s="106">
        <v>40061.978545887963</v>
      </c>
      <c r="AK888" s="104">
        <v>37333.283671036952</v>
      </c>
      <c r="AL888" s="118"/>
      <c r="AM888" s="118">
        <v>2900</v>
      </c>
      <c r="AN888" s="118">
        <v>140854</v>
      </c>
      <c r="AO888" s="118">
        <v>559</v>
      </c>
      <c r="AP888" s="118">
        <f t="shared" si="13"/>
        <v>1384</v>
      </c>
    </row>
    <row r="889" spans="1:42" ht="12.75">
      <c r="A889" s="106">
        <v>2018</v>
      </c>
      <c r="B889" s="106">
        <v>-145813</v>
      </c>
      <c r="C889" s="106">
        <v>0</v>
      </c>
      <c r="D889" s="106">
        <v>145813</v>
      </c>
      <c r="E889" s="106" t="s">
        <v>1544</v>
      </c>
      <c r="F889" s="106" t="s">
        <v>84</v>
      </c>
      <c r="G889" s="106" t="s">
        <v>243</v>
      </c>
      <c r="H889" s="106">
        <v>1</v>
      </c>
      <c r="I889" s="106" t="s">
        <v>23</v>
      </c>
      <c r="J889" s="106">
        <v>12353</v>
      </c>
      <c r="K889" s="106">
        <v>19489</v>
      </c>
      <c r="L889" s="106">
        <v>14368</v>
      </c>
      <c r="M889" s="106">
        <v>0.31</v>
      </c>
      <c r="N889" s="106">
        <v>0.61</v>
      </c>
      <c r="O889" s="106">
        <v>0.55000000000000004</v>
      </c>
      <c r="P889" s="106">
        <v>5899</v>
      </c>
      <c r="Q889" s="106">
        <v>5301.7021622756374</v>
      </c>
      <c r="R889" s="106">
        <v>0.38831994152134686</v>
      </c>
      <c r="S889" s="106">
        <v>34632.341555578882</v>
      </c>
      <c r="T889" s="106">
        <v>32031.106906686258</v>
      </c>
      <c r="U889" s="106">
        <v>21456.674925272702</v>
      </c>
      <c r="V889" s="106">
        <v>0.38921317551248463</v>
      </c>
      <c r="W889" s="106">
        <v>115330.38838532884</v>
      </c>
      <c r="X889" s="110">
        <v>0.59763918940643657</v>
      </c>
      <c r="Y889" s="106">
        <v>578.74672639558923</v>
      </c>
      <c r="Z889" s="106">
        <v>19.697450034458992</v>
      </c>
      <c r="AA889" s="106">
        <v>76446.425584544893</v>
      </c>
      <c r="AB889" s="106">
        <v>730.27070905158087</v>
      </c>
      <c r="AC889" s="106">
        <v>1.308105633917525</v>
      </c>
      <c r="AD889" s="106">
        <v>27.722772277227726</v>
      </c>
      <c r="AE889" s="106">
        <v>104.68231114435302</v>
      </c>
      <c r="AF889" s="106">
        <v>9.3539070617725789E-2</v>
      </c>
      <c r="AG889" s="106">
        <v>10116</v>
      </c>
      <c r="AH889" s="106">
        <v>31762.686365067701</v>
      </c>
      <c r="AI889" s="106">
        <v>31850.924057940589</v>
      </c>
      <c r="AJ889" s="106">
        <v>34650.323501626954</v>
      </c>
      <c r="AK889" s="104">
        <v>27270.970085021519</v>
      </c>
      <c r="AL889" s="118">
        <v>98939700</v>
      </c>
      <c r="AM889" s="118">
        <v>18330</v>
      </c>
      <c r="AN889" s="118">
        <v>559841</v>
      </c>
      <c r="AO889" s="118">
        <v>4478</v>
      </c>
      <c r="AP889" s="118">
        <f t="shared" si="13"/>
        <v>2237</v>
      </c>
    </row>
    <row r="890" spans="1:42" ht="12.75">
      <c r="A890" s="106">
        <v>2018</v>
      </c>
      <c r="B890" s="106">
        <v>-145831</v>
      </c>
      <c r="C890" s="106">
        <v>0</v>
      </c>
      <c r="D890" s="106">
        <v>145831</v>
      </c>
      <c r="E890" s="106" t="s">
        <v>1545</v>
      </c>
      <c r="F890" s="106" t="s">
        <v>1546</v>
      </c>
      <c r="G890" s="106" t="s">
        <v>243</v>
      </c>
      <c r="H890" s="106">
        <v>4</v>
      </c>
      <c r="I890" s="106" t="s">
        <v>24</v>
      </c>
      <c r="J890" s="106">
        <v>3910</v>
      </c>
      <c r="K890" s="106">
        <v>5929</v>
      </c>
      <c r="L890" s="106">
        <v>4817</v>
      </c>
      <c r="M890" s="106">
        <v>0.46</v>
      </c>
      <c r="N890" s="106">
        <v>7.0000000000000007E-2</v>
      </c>
      <c r="O890" s="106">
        <v>0.08</v>
      </c>
      <c r="P890" s="106">
        <v>1898</v>
      </c>
      <c r="Q890" s="106">
        <v>106.23020833333334</v>
      </c>
      <c r="R890" s="106">
        <v>2.2931167148535755E-2</v>
      </c>
      <c r="S890" s="106">
        <v>19124.697395833333</v>
      </c>
      <c r="T890" s="106">
        <v>19235.6015625</v>
      </c>
      <c r="U890" s="106">
        <v>13480.907644852319</v>
      </c>
      <c r="V890" s="106">
        <v>0.33575918335105931</v>
      </c>
      <c r="W890" s="106">
        <v>110109.8949579832</v>
      </c>
      <c r="X890" s="110">
        <v>0.7095717291789273</v>
      </c>
      <c r="Y890" s="106">
        <v>475.91735537190084</v>
      </c>
      <c r="Z890" s="106">
        <v>15.867768595041323</v>
      </c>
      <c r="AA890" s="106">
        <v>26738.990369955012</v>
      </c>
      <c r="AB890" s="106">
        <v>449.47283503136964</v>
      </c>
      <c r="AC890" s="106">
        <v>3.7398569884809101</v>
      </c>
      <c r="AD890" s="106">
        <v>50.311850311850314</v>
      </c>
      <c r="AE890" s="106">
        <v>59.489669421487605</v>
      </c>
      <c r="AF890" s="106">
        <v>4.8467327008277442E-4</v>
      </c>
      <c r="AG890" s="106">
        <v>3678</v>
      </c>
      <c r="AH890" s="106">
        <v>17906.089062499999</v>
      </c>
      <c r="AI890" s="106">
        <v>18489.650000000001</v>
      </c>
      <c r="AJ890" s="106">
        <v>19256.662499999999</v>
      </c>
      <c r="AK890" s="104">
        <v>14956.114583333334</v>
      </c>
      <c r="AL890" s="119">
        <v>23180647</v>
      </c>
      <c r="AM890" s="118">
        <v>3241</v>
      </c>
      <c r="AN890" s="118">
        <v>57586</v>
      </c>
      <c r="AO890" s="118">
        <v>487</v>
      </c>
      <c r="AP890" s="118">
        <f t="shared" si="13"/>
        <v>232</v>
      </c>
    </row>
    <row r="891" spans="1:42" ht="12.75">
      <c r="A891" s="106">
        <v>2018</v>
      </c>
      <c r="B891" s="106">
        <v>-145646</v>
      </c>
      <c r="C891" s="106">
        <v>0</v>
      </c>
      <c r="D891" s="106">
        <v>145646</v>
      </c>
      <c r="E891" s="106" t="s">
        <v>1547</v>
      </c>
      <c r="F891" s="106" t="s">
        <v>1548</v>
      </c>
      <c r="G891" s="106" t="s">
        <v>243</v>
      </c>
      <c r="H891" s="106">
        <v>7</v>
      </c>
      <c r="I891" s="106" t="s">
        <v>3641</v>
      </c>
      <c r="J891" s="106">
        <v>45856</v>
      </c>
      <c r="K891" s="106">
        <v>31999</v>
      </c>
      <c r="L891" s="106">
        <v>19120</v>
      </c>
      <c r="M891" s="106">
        <v>0.25</v>
      </c>
      <c r="N891" s="106">
        <v>0.71</v>
      </c>
      <c r="O891" s="106">
        <v>0.97</v>
      </c>
      <c r="P891" s="106">
        <v>25490</v>
      </c>
      <c r="Q891" s="106">
        <v>21774.421979356404</v>
      </c>
      <c r="R891" s="106">
        <v>0.48445523975361704</v>
      </c>
      <c r="S891" s="106">
        <v>36239.591985428051</v>
      </c>
      <c r="T891" s="106">
        <v>46266.743169398906</v>
      </c>
      <c r="U891" s="106">
        <v>37897.470926345421</v>
      </c>
      <c r="V891" s="106">
        <v>0.61143335455847825</v>
      </c>
      <c r="W891" s="106">
        <v>81649.989384288754</v>
      </c>
      <c r="X891" s="110">
        <v>0.50467816006246402</v>
      </c>
      <c r="Y891" s="106">
        <v>354.94339622641508</v>
      </c>
      <c r="Z891" s="106">
        <v>10.358490566037736</v>
      </c>
      <c r="AA891" s="106">
        <v>154497.85795963096</v>
      </c>
      <c r="AB891" s="106">
        <v>1105.9808387499274</v>
      </c>
      <c r="AC891" s="106">
        <v>0.64725816474510078</v>
      </c>
      <c r="AD891" s="106">
        <v>24.529447480267152</v>
      </c>
      <c r="AE891" s="106">
        <v>139.69306930693068</v>
      </c>
      <c r="AF891" s="106">
        <v>-3.0118606666292109E-3</v>
      </c>
      <c r="AG891" s="106">
        <v>45654</v>
      </c>
      <c r="AH891" s="106">
        <v>35215.027929568911</v>
      </c>
      <c r="AI891" s="106">
        <v>38537.095324833033</v>
      </c>
      <c r="AJ891" s="106">
        <v>45468.778992106862</v>
      </c>
      <c r="AK891" s="104">
        <v>38247.338797814205</v>
      </c>
      <c r="AM891" s="119">
        <v>1649</v>
      </c>
      <c r="AN891" s="118">
        <v>56436</v>
      </c>
      <c r="AO891" s="119">
        <v>404</v>
      </c>
      <c r="AP891" s="118">
        <f t="shared" si="13"/>
        <v>202</v>
      </c>
    </row>
    <row r="892" spans="1:42" ht="12.75">
      <c r="A892" s="106">
        <v>2018</v>
      </c>
      <c r="B892" s="106">
        <v>-213011</v>
      </c>
      <c r="C892" s="106">
        <v>0</v>
      </c>
      <c r="D892" s="106">
        <v>213011</v>
      </c>
      <c r="E892" s="106" t="s">
        <v>1549</v>
      </c>
      <c r="F892" s="106" t="s">
        <v>1550</v>
      </c>
      <c r="G892" s="106" t="s">
        <v>104</v>
      </c>
      <c r="H892" s="106">
        <v>5</v>
      </c>
      <c r="I892" s="106" t="s">
        <v>3639</v>
      </c>
      <c r="J892" s="106">
        <v>27350</v>
      </c>
      <c r="K892" s="106">
        <v>31304</v>
      </c>
      <c r="L892" s="106">
        <v>26170</v>
      </c>
      <c r="M892" s="106">
        <v>0.31</v>
      </c>
      <c r="N892" s="106">
        <v>0.83</v>
      </c>
      <c r="O892" s="106">
        <v>0.99</v>
      </c>
      <c r="P892" s="106">
        <v>10438</v>
      </c>
      <c r="Q892" s="106">
        <v>4597.1436934539652</v>
      </c>
      <c r="R892" s="106">
        <v>0.21990588176231871</v>
      </c>
      <c r="S892" s="106">
        <v>20773.883448642897</v>
      </c>
      <c r="T892" s="106">
        <v>24088.564662054283</v>
      </c>
      <c r="U892" s="106">
        <v>20039.01383714742</v>
      </c>
      <c r="V892" s="106">
        <v>0.81380788146974714</v>
      </c>
      <c r="W892" s="106">
        <v>59898.812154696134</v>
      </c>
      <c r="X892" s="110">
        <v>0.47905908153858257</v>
      </c>
      <c r="Y892" s="106">
        <v>332.71917808219177</v>
      </c>
      <c r="Z892" s="106">
        <v>12.86986301369863</v>
      </c>
      <c r="AA892" s="106">
        <v>58196.76506955178</v>
      </c>
      <c r="AB892" s="106">
        <v>775.12623257920416</v>
      </c>
      <c r="AC892" s="106">
        <v>1.7183085671598513</v>
      </c>
      <c r="AD892" s="106">
        <v>40.136476426799007</v>
      </c>
      <c r="AE892" s="106">
        <v>75.080370942812976</v>
      </c>
      <c r="AF892" s="106">
        <v>-0.12710556863510353</v>
      </c>
      <c r="AG892" s="106">
        <v>26500</v>
      </c>
      <c r="AH892" s="106">
        <v>19768.813730707825</v>
      </c>
      <c r="AI892" s="106">
        <v>20926.231506120275</v>
      </c>
      <c r="AJ892" s="106">
        <v>21545.542309739223</v>
      </c>
      <c r="AK892" s="104">
        <v>20039.01383714742</v>
      </c>
      <c r="AM892" s="119">
        <v>1482</v>
      </c>
      <c r="AN892" s="118">
        <v>48577</v>
      </c>
      <c r="AO892" s="119">
        <v>383</v>
      </c>
      <c r="AP892" s="118">
        <f t="shared" si="13"/>
        <v>850</v>
      </c>
    </row>
    <row r="893" spans="1:42" ht="12.75">
      <c r="A893" s="106">
        <v>2018</v>
      </c>
      <c r="B893" s="106">
        <v>-115861</v>
      </c>
      <c r="C893" s="106">
        <v>0</v>
      </c>
      <c r="D893" s="106">
        <v>115861</v>
      </c>
      <c r="E893" s="106" t="s">
        <v>1551</v>
      </c>
      <c r="F893" s="106" t="s">
        <v>1552</v>
      </c>
      <c r="G893" s="106" t="s">
        <v>121</v>
      </c>
      <c r="H893" s="106">
        <v>4</v>
      </c>
      <c r="I893" s="106" t="s">
        <v>24</v>
      </c>
      <c r="J893" s="106">
        <v>1142</v>
      </c>
      <c r="K893" s="106">
        <v>2243</v>
      </c>
      <c r="L893" s="106">
        <v>981</v>
      </c>
      <c r="M893" s="106">
        <v>0.79</v>
      </c>
      <c r="N893" s="106">
        <v>0</v>
      </c>
      <c r="O893" s="106">
        <v>0</v>
      </c>
      <c r="P893" s="106">
        <v>1800</v>
      </c>
      <c r="Q893" s="107">
        <v>3.0553009471432935E-4</v>
      </c>
      <c r="R893" s="106">
        <v>4.4683251600218948E-7</v>
      </c>
      <c r="S893" s="106">
        <v>27323.460433852735</v>
      </c>
      <c r="T893" s="106">
        <v>29005.949282004276</v>
      </c>
      <c r="U893" s="106">
        <v>20395.175580905947</v>
      </c>
      <c r="V893" s="106">
        <v>3.3525987823725997E-2</v>
      </c>
      <c r="W893" s="106">
        <v>131912.37555358725</v>
      </c>
      <c r="X893" s="110">
        <v>0.52290782408682723</v>
      </c>
      <c r="Y893" s="106">
        <v>453.94761171032354</v>
      </c>
      <c r="Z893" s="106">
        <v>15.129429892141756</v>
      </c>
      <c r="AA893" s="106">
        <v>32232.452764995247</v>
      </c>
      <c r="AB893" s="106">
        <v>679.74226789443571</v>
      </c>
      <c r="AC893" s="106">
        <v>3.1024632450125225</v>
      </c>
      <c r="AD893" s="106">
        <v>37.4502712477396</v>
      </c>
      <c r="AE893" s="106">
        <v>47.41863833896668</v>
      </c>
      <c r="AF893" s="106">
        <v>0.11208214520957671</v>
      </c>
      <c r="AG893" s="106">
        <v>1104</v>
      </c>
      <c r="AH893" s="106">
        <v>20637.678887870454</v>
      </c>
      <c r="AI893" s="106">
        <v>20637.678887870454</v>
      </c>
      <c r="AJ893" s="106">
        <v>27369.403910785211</v>
      </c>
      <c r="AK893" s="104">
        <v>29005.948976474181</v>
      </c>
      <c r="AL893" s="118">
        <v>47573322</v>
      </c>
      <c r="AM893" s="118">
        <v>8449</v>
      </c>
      <c r="AN893" s="118">
        <v>98204</v>
      </c>
      <c r="AO893" s="118">
        <v>1350</v>
      </c>
      <c r="AP893" s="118">
        <f t="shared" si="13"/>
        <v>38</v>
      </c>
    </row>
    <row r="894" spans="1:42" ht="12.75">
      <c r="A894" s="106">
        <v>2018</v>
      </c>
      <c r="B894" s="106">
        <v>-155201</v>
      </c>
      <c r="C894" s="106">
        <v>0</v>
      </c>
      <c r="D894" s="106">
        <v>155201</v>
      </c>
      <c r="E894" s="106" t="s">
        <v>1553</v>
      </c>
      <c r="F894" s="106" t="s">
        <v>1554</v>
      </c>
      <c r="G894" s="106" t="s">
        <v>129</v>
      </c>
      <c r="H894" s="106">
        <v>4</v>
      </c>
      <c r="I894" s="106" t="s">
        <v>24</v>
      </c>
      <c r="J894" s="106">
        <v>3904</v>
      </c>
      <c r="K894" s="106">
        <v>5117</v>
      </c>
      <c r="L894" s="106">
        <v>3383</v>
      </c>
      <c r="M894" s="106">
        <v>0.61</v>
      </c>
      <c r="N894" s="106">
        <v>0.47</v>
      </c>
      <c r="O894" s="106">
        <v>0.87</v>
      </c>
      <c r="P894" s="106">
        <v>1984</v>
      </c>
      <c r="Q894" s="106"/>
      <c r="R894" s="106"/>
      <c r="S894" s="106">
        <v>20948.85633802817</v>
      </c>
      <c r="T894" s="106">
        <v>19799.707042253522</v>
      </c>
      <c r="U894" s="106">
        <v>13696.373030057508</v>
      </c>
      <c r="V894" s="106">
        <v>0.31224263094401267</v>
      </c>
      <c r="W894" s="106">
        <v>51693.42344497607</v>
      </c>
      <c r="X894" s="110">
        <v>0.51235763055819861</v>
      </c>
      <c r="Y894" s="106">
        <v>384.79518072289159</v>
      </c>
      <c r="Z894" s="106">
        <v>12.831325301204821</v>
      </c>
      <c r="AA894" s="106">
        <v>64400.164578416094</v>
      </c>
      <c r="AB894" s="106">
        <v>456.71730468442752</v>
      </c>
      <c r="AC894" s="106">
        <v>1.5527910627966828</v>
      </c>
      <c r="AD894" s="106">
        <v>23.59375</v>
      </c>
      <c r="AE894" s="106">
        <v>141.00662251655629</v>
      </c>
      <c r="AF894" s="106">
        <v>8.77564929224008E-2</v>
      </c>
      <c r="AG894" s="106">
        <v>1728</v>
      </c>
      <c r="AH894" s="106">
        <v>21349.014084507042</v>
      </c>
      <c r="AI894" s="106">
        <v>21602.828169014083</v>
      </c>
      <c r="AJ894" s="106">
        <v>20958.759154929576</v>
      </c>
      <c r="AK894" s="104">
        <v>15563.05352112676</v>
      </c>
      <c r="AL894" s="118">
        <v>8000320</v>
      </c>
      <c r="AM894" s="118">
        <v>897</v>
      </c>
      <c r="AN894" s="118">
        <v>21292</v>
      </c>
      <c r="AO894" s="118">
        <v>109</v>
      </c>
      <c r="AP894" s="118">
        <f t="shared" si="13"/>
        <v>2176</v>
      </c>
    </row>
    <row r="895" spans="1:42" ht="12.75">
      <c r="A895" s="106">
        <v>2018</v>
      </c>
      <c r="B895" s="106">
        <v>-153472</v>
      </c>
      <c r="C895" s="106">
        <v>0</v>
      </c>
      <c r="D895" s="106">
        <v>153472</v>
      </c>
      <c r="E895" s="106" t="s">
        <v>1555</v>
      </c>
      <c r="F895" s="106" t="s">
        <v>1556</v>
      </c>
      <c r="G895" s="106" t="s">
        <v>447</v>
      </c>
      <c r="H895" s="106">
        <v>4</v>
      </c>
      <c r="I895" s="106" t="s">
        <v>24</v>
      </c>
      <c r="J895" s="106">
        <v>4080</v>
      </c>
      <c r="K895" s="106">
        <v>7939</v>
      </c>
      <c r="L895" s="106">
        <v>6348</v>
      </c>
      <c r="M895" s="106">
        <v>0.55000000000000004</v>
      </c>
      <c r="N895" s="106">
        <v>0.55000000000000004</v>
      </c>
      <c r="O895" s="106">
        <v>0.36</v>
      </c>
      <c r="P895" s="106">
        <v>2345</v>
      </c>
      <c r="Q895" s="106">
        <v>173.44187604690117</v>
      </c>
      <c r="R895" s="106">
        <v>3.0109447449498495E-2</v>
      </c>
      <c r="S895" s="106">
        <v>19667.744388609713</v>
      </c>
      <c r="T895" s="106">
        <v>19531.732328308208</v>
      </c>
      <c r="U895" s="106">
        <v>15769.797654941374</v>
      </c>
      <c r="V895" s="106">
        <v>0.35428093725201998</v>
      </c>
      <c r="W895" s="106">
        <v>61341.405835543766</v>
      </c>
      <c r="X895" s="110">
        <v>0.52886973208104715</v>
      </c>
      <c r="Y895" s="106">
        <v>369.06593406593402</v>
      </c>
      <c r="Z895" s="106">
        <v>12.300824175824175</v>
      </c>
      <c r="AA895" s="106">
        <v>46652.969276511394</v>
      </c>
      <c r="AB895" s="106">
        <v>525.60122822688697</v>
      </c>
      <c r="AC895" s="106">
        <v>2.1434862893142261</v>
      </c>
      <c r="AD895" s="106">
        <v>36.04858878170775</v>
      </c>
      <c r="AE895" s="106">
        <v>88.761149653121905</v>
      </c>
      <c r="AF895" s="106">
        <v>1.2859217952462266E-2</v>
      </c>
      <c r="AG895" s="106">
        <v>4080</v>
      </c>
      <c r="AH895" s="106">
        <v>18824.287437185929</v>
      </c>
      <c r="AI895" s="106">
        <v>19225.937688442213</v>
      </c>
      <c r="AJ895" s="106">
        <v>19768.416750418761</v>
      </c>
      <c r="AK895" s="104">
        <v>16531.146733668342</v>
      </c>
      <c r="AL895" s="118">
        <v>22900375</v>
      </c>
      <c r="AM895" s="118">
        <v>4090</v>
      </c>
      <c r="AN895" s="118">
        <v>89560</v>
      </c>
      <c r="AO895" s="118">
        <v>727</v>
      </c>
      <c r="AP895" s="118">
        <f t="shared" si="13"/>
        <v>0</v>
      </c>
    </row>
    <row r="896" spans="1:42" ht="12.75">
      <c r="A896" s="106">
        <v>2018</v>
      </c>
      <c r="B896" s="106">
        <v>-134608</v>
      </c>
      <c r="C896" s="106">
        <v>0</v>
      </c>
      <c r="D896" s="106">
        <v>134608</v>
      </c>
      <c r="E896" s="106" t="s">
        <v>1557</v>
      </c>
      <c r="F896" s="106" t="s">
        <v>1558</v>
      </c>
      <c r="G896" s="106" t="s">
        <v>258</v>
      </c>
      <c r="H896" s="106">
        <v>3</v>
      </c>
      <c r="I896" s="104" t="s">
        <v>26</v>
      </c>
      <c r="J896" s="106">
        <v>2764</v>
      </c>
      <c r="K896" s="106">
        <v>588</v>
      </c>
      <c r="L896" s="106">
        <v>721</v>
      </c>
      <c r="M896" s="106">
        <v>0.6</v>
      </c>
      <c r="N896" s="106">
        <v>0.08</v>
      </c>
      <c r="O896" s="106">
        <v>0.13</v>
      </c>
      <c r="P896" s="106">
        <v>3312</v>
      </c>
      <c r="Q896" s="106">
        <v>245.21924611251322</v>
      </c>
      <c r="R896" s="106">
        <v>9.2688422394324024E-2</v>
      </c>
      <c r="S896" s="106">
        <v>10054.061548481641</v>
      </c>
      <c r="T896" s="106">
        <v>11373.423186517952</v>
      </c>
      <c r="U896" s="106">
        <v>8806.4159671599409</v>
      </c>
      <c r="V896" s="106">
        <v>0.27257518779364937</v>
      </c>
      <c r="W896" s="106">
        <v>63972.561470911081</v>
      </c>
      <c r="X896" s="110">
        <v>0.55623101763877802</v>
      </c>
      <c r="Y896" s="106">
        <v>704.21340206185573</v>
      </c>
      <c r="Z896" s="106">
        <v>23.742912371134025</v>
      </c>
      <c r="AA896" s="106">
        <v>20548.861573827042</v>
      </c>
      <c r="AB896" s="106">
        <v>296.91278524356767</v>
      </c>
      <c r="AC896" s="106">
        <v>4.8664496395931431</v>
      </c>
      <c r="AD896" s="106">
        <v>49.768365320979484</v>
      </c>
      <c r="AE896" s="106">
        <v>69.208409321175282</v>
      </c>
      <c r="AF896" s="106">
        <v>-2.2022202805213241E-2</v>
      </c>
      <c r="AG896" s="106">
        <v>2496</v>
      </c>
      <c r="AH896" s="106">
        <v>8961.2908898477563</v>
      </c>
      <c r="AI896" s="106">
        <v>8961.2908898477563</v>
      </c>
      <c r="AJ896" s="106">
        <v>10070.267931287144</v>
      </c>
      <c r="AK896" s="104">
        <v>10504.003175120084</v>
      </c>
      <c r="AL896" s="118">
        <v>50680832</v>
      </c>
      <c r="AM896" s="118">
        <v>17598</v>
      </c>
      <c r="AN896" s="118">
        <v>364313.06666666665</v>
      </c>
      <c r="AO896" s="118">
        <v>3725</v>
      </c>
      <c r="AP896" s="118">
        <f t="shared" si="13"/>
        <v>268</v>
      </c>
    </row>
    <row r="897" spans="1:42" ht="12.75">
      <c r="A897" s="106">
        <v>2018</v>
      </c>
      <c r="B897" s="106">
        <v>-151324</v>
      </c>
      <c r="C897" s="106">
        <v>0</v>
      </c>
      <c r="D897" s="106">
        <v>151324</v>
      </c>
      <c r="E897" s="106" t="s">
        <v>1559</v>
      </c>
      <c r="F897" s="106" t="s">
        <v>1560</v>
      </c>
      <c r="G897" s="106" t="s">
        <v>161</v>
      </c>
      <c r="H897" s="106">
        <v>1</v>
      </c>
      <c r="I897" s="106" t="s">
        <v>23</v>
      </c>
      <c r="J897" s="106">
        <v>8916</v>
      </c>
      <c r="K897" s="106">
        <v>11923</v>
      </c>
      <c r="L897" s="106">
        <v>9434</v>
      </c>
      <c r="M897" s="106">
        <v>0.54</v>
      </c>
      <c r="N897" s="106">
        <v>0.67</v>
      </c>
      <c r="O897" s="106">
        <v>0.61</v>
      </c>
      <c r="P897" s="106">
        <v>3288</v>
      </c>
      <c r="Q897" s="106">
        <v>2055.6860114055685</v>
      </c>
      <c r="R897" s="106">
        <v>0.21550716100614553</v>
      </c>
      <c r="S897" s="106">
        <v>21841.328413284133</v>
      </c>
      <c r="T897" s="106">
        <v>21315.078832606509</v>
      </c>
      <c r="U897" s="106">
        <v>12937.591704762044</v>
      </c>
      <c r="V897" s="106">
        <v>0.57840310710755638</v>
      </c>
      <c r="W897" s="106">
        <v>79944.756930494172</v>
      </c>
      <c r="X897" s="110">
        <v>0.52193294801326717</v>
      </c>
      <c r="Y897" s="106">
        <v>648.91840607210622</v>
      </c>
      <c r="Z897" s="106">
        <v>22.626185958254268</v>
      </c>
      <c r="AA897" s="106">
        <v>54763.167727221378</v>
      </c>
      <c r="AB897" s="106">
        <v>451.10194598392485</v>
      </c>
      <c r="AC897" s="106">
        <v>1.8260448427327285</v>
      </c>
      <c r="AD897" s="106">
        <v>24.151234567901234</v>
      </c>
      <c r="AE897" s="106">
        <v>121.39865104721335</v>
      </c>
      <c r="AF897" s="106">
        <v>3.4284957155225781E-2</v>
      </c>
      <c r="AG897" s="106">
        <v>8716</v>
      </c>
      <c r="AH897" s="106">
        <v>22822.542770882254</v>
      </c>
      <c r="AI897" s="106">
        <v>22851.140556860115</v>
      </c>
      <c r="AJ897" s="106">
        <v>21916.554847366657</v>
      </c>
      <c r="AK897" s="104">
        <v>15738.59443139886</v>
      </c>
      <c r="AL897" s="118">
        <v>77984000</v>
      </c>
      <c r="AM897" s="118">
        <v>11583</v>
      </c>
      <c r="AN897" s="118">
        <v>341980</v>
      </c>
      <c r="AO897" s="118">
        <v>2021</v>
      </c>
      <c r="AP897" s="118">
        <f t="shared" si="13"/>
        <v>200</v>
      </c>
    </row>
    <row r="898" spans="1:42" ht="12.75">
      <c r="A898" s="106">
        <v>2018</v>
      </c>
      <c r="B898" s="106">
        <v>-213020</v>
      </c>
      <c r="C898" s="106">
        <v>0</v>
      </c>
      <c r="D898" s="106">
        <v>213020</v>
      </c>
      <c r="E898" s="106" t="s">
        <v>1561</v>
      </c>
      <c r="F898" s="106" t="s">
        <v>1562</v>
      </c>
      <c r="G898" s="106" t="s">
        <v>104</v>
      </c>
      <c r="H898" s="106">
        <v>1</v>
      </c>
      <c r="I898" s="106" t="s">
        <v>23</v>
      </c>
      <c r="J898" s="106">
        <v>12146</v>
      </c>
      <c r="K898" s="106">
        <v>19646</v>
      </c>
      <c r="L898" s="106">
        <v>17508</v>
      </c>
      <c r="M898" s="106">
        <v>0.45</v>
      </c>
      <c r="N898" s="106">
        <v>0.81</v>
      </c>
      <c r="O898" s="106">
        <v>0.4</v>
      </c>
      <c r="P898" s="106">
        <v>2032</v>
      </c>
      <c r="Q898" s="106">
        <v>1048.3092647832952</v>
      </c>
      <c r="R898" s="106">
        <v>8.3973571756808724E-2</v>
      </c>
      <c r="S898" s="106">
        <v>21695.75706264257</v>
      </c>
      <c r="T898" s="106">
        <v>21715.03605895771</v>
      </c>
      <c r="U898" s="106">
        <v>15727.621813912136</v>
      </c>
      <c r="V898" s="106">
        <v>0.72709598105116435</v>
      </c>
      <c r="W898" s="106">
        <v>115788.45314382076</v>
      </c>
      <c r="X898" s="110">
        <v>0.64730285606426563</v>
      </c>
      <c r="Y898" s="106">
        <v>530.68104925053535</v>
      </c>
      <c r="Z898" s="106">
        <v>18.305139186295506</v>
      </c>
      <c r="AA898" s="106">
        <v>56945.18215850398</v>
      </c>
      <c r="AB898" s="106">
        <v>542.50346188104163</v>
      </c>
      <c r="AC898" s="106">
        <v>1.756074811064001</v>
      </c>
      <c r="AD898" s="106">
        <v>28.12220832588887</v>
      </c>
      <c r="AE898" s="106">
        <v>104.9674078780178</v>
      </c>
      <c r="AF898" s="106">
        <v>-0.24203864465186992</v>
      </c>
      <c r="AG898" s="106">
        <v>9000</v>
      </c>
      <c r="AH898" s="106">
        <v>21674.765221968766</v>
      </c>
      <c r="AI898" s="106">
        <v>21820.390594841199</v>
      </c>
      <c r="AJ898" s="106">
        <v>21940.898403228635</v>
      </c>
      <c r="AK898" s="104">
        <v>17880.702316195824</v>
      </c>
      <c r="AL898" s="119">
        <v>53901743</v>
      </c>
      <c r="AM898" s="118">
        <v>10258</v>
      </c>
      <c r="AN898" s="118">
        <v>330437.40000000002</v>
      </c>
      <c r="AO898" s="118">
        <v>2242</v>
      </c>
      <c r="AP898" s="118">
        <f t="shared" si="13"/>
        <v>3146</v>
      </c>
    </row>
    <row r="899" spans="1:42" ht="12.75">
      <c r="A899" s="106">
        <v>2018</v>
      </c>
      <c r="B899" s="106">
        <v>-151351</v>
      </c>
      <c r="C899" s="106">
        <v>0</v>
      </c>
      <c r="D899" s="106">
        <v>151351</v>
      </c>
      <c r="E899" s="106" t="s">
        <v>1563</v>
      </c>
      <c r="F899" s="106" t="s">
        <v>1548</v>
      </c>
      <c r="G899" s="106" t="s">
        <v>161</v>
      </c>
      <c r="H899" s="106">
        <v>1</v>
      </c>
      <c r="I899" s="106" t="s">
        <v>23</v>
      </c>
      <c r="J899" s="106">
        <v>10533</v>
      </c>
      <c r="K899" s="106">
        <v>11931</v>
      </c>
      <c r="L899" s="106">
        <v>5040</v>
      </c>
      <c r="M899" s="106">
        <v>0.19</v>
      </c>
      <c r="N899" s="106">
        <v>0.35</v>
      </c>
      <c r="O899" s="106">
        <v>0.59</v>
      </c>
      <c r="P899" s="106">
        <v>8375</v>
      </c>
      <c r="Q899" s="108">
        <v>5909.22084194339</v>
      </c>
      <c r="R899" s="106">
        <v>0.26155930141512151</v>
      </c>
      <c r="S899" s="106">
        <v>37815.745302513336</v>
      </c>
      <c r="T899" s="106">
        <v>38350.9201787688</v>
      </c>
      <c r="U899" s="106">
        <v>22563.877807620429</v>
      </c>
      <c r="V899" s="106">
        <v>0.7393701913627545</v>
      </c>
      <c r="W899" s="106">
        <v>117839.31445859635</v>
      </c>
      <c r="X899" s="110">
        <v>0.65888405232362179</v>
      </c>
      <c r="Y899" s="106">
        <v>444.1776765375854</v>
      </c>
      <c r="Z899" s="106">
        <v>15.80030372057707</v>
      </c>
      <c r="AA899" s="106">
        <v>81037.579098856324</v>
      </c>
      <c r="AB899" s="106">
        <v>802.64304422832413</v>
      </c>
      <c r="AC899" s="106">
        <v>1.2339954020345518</v>
      </c>
      <c r="AD899" s="106">
        <v>28.655505823586143</v>
      </c>
      <c r="AE899" s="106">
        <v>100.96341042457715</v>
      </c>
      <c r="AF899" s="106">
        <v>1.4368126849051937E-2</v>
      </c>
      <c r="AG899" s="106">
        <v>9210</v>
      </c>
      <c r="AH899" s="106">
        <v>34169.534816665866</v>
      </c>
      <c r="AI899" s="106">
        <v>36149.952953049164</v>
      </c>
      <c r="AJ899" s="106">
        <v>38491.596280455575</v>
      </c>
      <c r="AK899" s="104">
        <v>28837.461627180546</v>
      </c>
      <c r="AL899" s="118">
        <v>229095999</v>
      </c>
      <c r="AM899" s="118">
        <v>33429</v>
      </c>
      <c r="AN899" s="118">
        <v>1169964</v>
      </c>
      <c r="AO899" s="118">
        <v>7699</v>
      </c>
      <c r="AP899" s="118">
        <f t="shared" si="13"/>
        <v>1323</v>
      </c>
    </row>
    <row r="900" spans="1:42" ht="12.75">
      <c r="A900" s="106">
        <v>2018</v>
      </c>
      <c r="B900" s="106">
        <v>-151388</v>
      </c>
      <c r="C900" s="106">
        <v>0</v>
      </c>
      <c r="D900" s="106">
        <v>151388</v>
      </c>
      <c r="E900" s="106" t="s">
        <v>1564</v>
      </c>
      <c r="F900" s="106" t="s">
        <v>1078</v>
      </c>
      <c r="G900" s="106" t="s">
        <v>161</v>
      </c>
      <c r="H900" s="106">
        <v>2</v>
      </c>
      <c r="I900" s="106" t="s">
        <v>25</v>
      </c>
      <c r="J900" s="106">
        <v>7207</v>
      </c>
      <c r="K900" s="106">
        <v>7898</v>
      </c>
      <c r="L900" s="106">
        <v>3386</v>
      </c>
      <c r="M900" s="106">
        <v>0.48</v>
      </c>
      <c r="N900" s="106">
        <v>0.45</v>
      </c>
      <c r="O900" s="106">
        <v>0.52</v>
      </c>
      <c r="P900" s="106">
        <v>2912</v>
      </c>
      <c r="Q900" s="106">
        <v>766.7217298830202</v>
      </c>
      <c r="R900" s="106">
        <v>8.5766257148090205E-2</v>
      </c>
      <c r="S900" s="106">
        <v>14720.910315490961</v>
      </c>
      <c r="T900" s="106">
        <v>13439.244594115562</v>
      </c>
      <c r="U900" s="106">
        <v>11542.161333193728</v>
      </c>
      <c r="V900" s="106">
        <v>0.70809482422988856</v>
      </c>
      <c r="W900" s="106">
        <v>79745.40968718467</v>
      </c>
      <c r="X900" s="110">
        <v>0.6948325401786537</v>
      </c>
      <c r="Y900" s="106">
        <v>502.98600000000005</v>
      </c>
      <c r="Z900" s="106">
        <v>16.926000000000002</v>
      </c>
      <c r="AA900" s="106">
        <v>40099.060493767865</v>
      </c>
      <c r="AB900" s="106">
        <v>388.40568669035929</v>
      </c>
      <c r="AC900" s="106">
        <v>2.4938240140449635</v>
      </c>
      <c r="AD900" s="106">
        <v>32.056849585471774</v>
      </c>
      <c r="AE900" s="106">
        <v>103.24014778325123</v>
      </c>
      <c r="AF900" s="106">
        <v>9.8978540231872178E-2</v>
      </c>
      <c r="AG900" s="106">
        <v>6601</v>
      </c>
      <c r="AH900" s="106">
        <v>13697.518610421836</v>
      </c>
      <c r="AI900" s="106">
        <v>13842.611485288904</v>
      </c>
      <c r="AJ900" s="106">
        <v>14800.65473236441</v>
      </c>
      <c r="AK900" s="104">
        <v>12652.17227933357</v>
      </c>
      <c r="AL900" s="118">
        <v>12365413</v>
      </c>
      <c r="AM900" s="118">
        <v>3292</v>
      </c>
      <c r="AN900" s="118">
        <v>83831</v>
      </c>
      <c r="AO900" s="118">
        <v>729</v>
      </c>
      <c r="AP900" s="118">
        <f t="shared" si="13"/>
        <v>606</v>
      </c>
    </row>
    <row r="901" spans="1:42" ht="12.75">
      <c r="A901" s="106">
        <v>2018</v>
      </c>
      <c r="B901" s="106">
        <v>-151333</v>
      </c>
      <c r="C901" s="106">
        <v>0</v>
      </c>
      <c r="D901" s="106">
        <v>151333</v>
      </c>
      <c r="E901" s="106" t="s">
        <v>1565</v>
      </c>
      <c r="F901" s="106" t="s">
        <v>1566</v>
      </c>
      <c r="G901" s="106" t="s">
        <v>161</v>
      </c>
      <c r="H901" s="106">
        <v>3</v>
      </c>
      <c r="I901" s="104" t="s">
        <v>26</v>
      </c>
      <c r="J901" s="106">
        <v>7207</v>
      </c>
      <c r="K901" s="106">
        <v>7173</v>
      </c>
      <c r="L901" s="106">
        <v>2989</v>
      </c>
      <c r="M901" s="106">
        <v>0.4</v>
      </c>
      <c r="N901" s="106">
        <v>0.38</v>
      </c>
      <c r="O901" s="106">
        <v>0.28000000000000003</v>
      </c>
      <c r="P901" s="106">
        <v>2687</v>
      </c>
      <c r="Q901" s="106">
        <v>552.39432297660142</v>
      </c>
      <c r="R901" s="106">
        <v>6.6788278496934916E-2</v>
      </c>
      <c r="S901" s="106">
        <v>15421.650939777523</v>
      </c>
      <c r="T901" s="106">
        <v>14214.454929037207</v>
      </c>
      <c r="U901" s="106">
        <v>11955.098198545291</v>
      </c>
      <c r="V901" s="106">
        <v>0.6456185417000303</v>
      </c>
      <c r="W901" s="106">
        <v>80157.170278637772</v>
      </c>
      <c r="X901" s="110">
        <v>0.69867251292627341</v>
      </c>
      <c r="Y901" s="106">
        <v>501.86825053995676</v>
      </c>
      <c r="Z901" s="106">
        <v>16.892008639308855</v>
      </c>
      <c r="AA901" s="106">
        <v>48774.55556120121</v>
      </c>
      <c r="AB901" s="106">
        <v>402.38772194961689</v>
      </c>
      <c r="AC901" s="106">
        <v>2.0502493328621365</v>
      </c>
      <c r="AD901" s="106">
        <v>24.912280701754387</v>
      </c>
      <c r="AE901" s="106">
        <v>121.21283255086072</v>
      </c>
      <c r="AF901" s="106">
        <v>6.7822639279319794E-2</v>
      </c>
      <c r="AG901" s="106">
        <v>6601</v>
      </c>
      <c r="AH901" s="106">
        <v>14289.252013808977</v>
      </c>
      <c r="AI901" s="106">
        <v>14606.961258151132</v>
      </c>
      <c r="AJ901" s="106">
        <v>15546.277713847334</v>
      </c>
      <c r="AK901" s="104">
        <v>12973.94629842731</v>
      </c>
      <c r="AL901" s="118">
        <v>14825615</v>
      </c>
      <c r="AM901" s="118">
        <v>2876</v>
      </c>
      <c r="AN901" s="118">
        <v>77455</v>
      </c>
      <c r="AO901" s="118">
        <v>582</v>
      </c>
      <c r="AP901" s="118">
        <f t="shared" si="13"/>
        <v>606</v>
      </c>
    </row>
    <row r="902" spans="1:42" ht="12.75">
      <c r="A902" s="106">
        <v>2018</v>
      </c>
      <c r="B902" s="106">
        <v>-151360</v>
      </c>
      <c r="C902" s="106">
        <v>0</v>
      </c>
      <c r="D902" s="106">
        <v>151360</v>
      </c>
      <c r="E902" s="106" t="s">
        <v>1567</v>
      </c>
      <c r="F902" s="106" t="s">
        <v>1568</v>
      </c>
      <c r="G902" s="106" t="s">
        <v>161</v>
      </c>
      <c r="H902" s="106">
        <v>2</v>
      </c>
      <c r="I902" s="106" t="s">
        <v>25</v>
      </c>
      <c r="J902" s="106">
        <v>7207</v>
      </c>
      <c r="K902" s="106">
        <v>5621</v>
      </c>
      <c r="L902" s="106">
        <v>2720</v>
      </c>
      <c r="M902" s="106">
        <v>0.47</v>
      </c>
      <c r="N902" s="106">
        <v>0.43</v>
      </c>
      <c r="O902" s="106">
        <v>0.19</v>
      </c>
      <c r="P902" s="106">
        <v>3025</v>
      </c>
      <c r="Q902" s="106">
        <v>741.85316985645932</v>
      </c>
      <c r="R902" s="106">
        <v>8.5921872153948836E-2</v>
      </c>
      <c r="S902" s="106">
        <v>17281.751794258373</v>
      </c>
      <c r="T902" s="106">
        <v>16020.347488038278</v>
      </c>
      <c r="U902" s="106">
        <v>13580.789064640512</v>
      </c>
      <c r="V902" s="106">
        <v>0.58112898696998272</v>
      </c>
      <c r="W902" s="106">
        <v>78645.230941704038</v>
      </c>
      <c r="X902" s="110">
        <v>0.65474026545413366</v>
      </c>
      <c r="Y902" s="106">
        <v>442.9895209580838</v>
      </c>
      <c r="Z902" s="106">
        <v>15.017964071856285</v>
      </c>
      <c r="AA902" s="106">
        <v>62553.937509859323</v>
      </c>
      <c r="AB902" s="106">
        <v>460.40773560313738</v>
      </c>
      <c r="AC902" s="106">
        <v>1.5986203903509459</v>
      </c>
      <c r="AD902" s="106">
        <v>22.317860436520135</v>
      </c>
      <c r="AE902" s="106">
        <v>135.86639118457299</v>
      </c>
      <c r="AF902" s="106">
        <v>7.5342681659366487E-2</v>
      </c>
      <c r="AG902" s="106">
        <v>6601</v>
      </c>
      <c r="AH902" s="106">
        <v>16248.986244019139</v>
      </c>
      <c r="AI902" s="106">
        <v>16399.183911483255</v>
      </c>
      <c r="AJ902" s="106">
        <v>17384.296949760766</v>
      </c>
      <c r="AK902" s="104">
        <v>14771.052332535884</v>
      </c>
      <c r="AL902" s="118">
        <v>23306342</v>
      </c>
      <c r="AM902" s="118">
        <v>3700</v>
      </c>
      <c r="AN902" s="118">
        <v>98639</v>
      </c>
      <c r="AO902" s="118">
        <v>613</v>
      </c>
      <c r="AP902" s="118">
        <f t="shared" ref="AP902:AP965" si="14">J902-AG902</f>
        <v>606</v>
      </c>
    </row>
    <row r="903" spans="1:42" ht="12.75">
      <c r="A903" s="106">
        <v>2018</v>
      </c>
      <c r="B903" s="106">
        <v>-151102</v>
      </c>
      <c r="C903" s="106">
        <v>0</v>
      </c>
      <c r="D903" s="106">
        <v>151102</v>
      </c>
      <c r="E903" s="106" t="s">
        <v>1569</v>
      </c>
      <c r="F903" s="106" t="s">
        <v>1570</v>
      </c>
      <c r="G903" s="106" t="s">
        <v>161</v>
      </c>
      <c r="H903" s="106">
        <v>2</v>
      </c>
      <c r="I903" s="106" t="s">
        <v>25</v>
      </c>
      <c r="J903" s="106">
        <v>8330</v>
      </c>
      <c r="K903" s="106">
        <v>10195</v>
      </c>
      <c r="L903" s="106">
        <v>7300</v>
      </c>
      <c r="M903" s="106">
        <v>0.46</v>
      </c>
      <c r="N903" s="106">
        <v>0.49</v>
      </c>
      <c r="O903" s="106">
        <v>0.28000000000000003</v>
      </c>
      <c r="P903" s="106">
        <v>3331</v>
      </c>
      <c r="Q903" s="106">
        <v>1397.8747067752174</v>
      </c>
      <c r="R903" s="106">
        <v>0.16533883418341574</v>
      </c>
      <c r="S903" s="106">
        <v>18016.417138126122</v>
      </c>
      <c r="T903" s="106">
        <v>19524.023044018213</v>
      </c>
      <c r="U903" s="106">
        <v>12028.696687265479</v>
      </c>
      <c r="V903" s="106">
        <v>0.58665801628997905</v>
      </c>
      <c r="W903" s="106">
        <v>73382.717910447755</v>
      </c>
      <c r="X903" s="110">
        <v>0.57914828190523904</v>
      </c>
      <c r="Y903" s="106">
        <v>486.15101427498121</v>
      </c>
      <c r="Z903" s="106">
        <v>16.3343350864012</v>
      </c>
      <c r="AA903" s="106">
        <v>48294.717392029328</v>
      </c>
      <c r="AB903" s="106">
        <v>404.15582107855727</v>
      </c>
      <c r="AC903" s="106">
        <v>2.0706198400180358</v>
      </c>
      <c r="AD903" s="106">
        <v>23.197532450841791</v>
      </c>
      <c r="AE903" s="106">
        <v>119.49529085872577</v>
      </c>
      <c r="AF903" s="106">
        <v>-1.7241080657640479E-2</v>
      </c>
      <c r="AG903" s="106">
        <v>7269</v>
      </c>
      <c r="AH903" s="106">
        <v>16518.161308127503</v>
      </c>
      <c r="AI903" s="106">
        <v>16748.442389954464</v>
      </c>
      <c r="AJ903" s="106">
        <v>18792.427349247966</v>
      </c>
      <c r="AK903" s="104">
        <v>17671.109976542019</v>
      </c>
      <c r="AL903" s="118">
        <v>48385575</v>
      </c>
      <c r="AM903" s="118">
        <v>9957</v>
      </c>
      <c r="AN903" s="118">
        <v>215689</v>
      </c>
      <c r="AO903" s="118">
        <v>1528</v>
      </c>
      <c r="AP903" s="118">
        <f t="shared" si="14"/>
        <v>1061</v>
      </c>
    </row>
    <row r="904" spans="1:42" ht="12.75">
      <c r="A904" s="106">
        <v>2018</v>
      </c>
      <c r="B904" s="106">
        <v>-151111</v>
      </c>
      <c r="C904" s="106">
        <v>0</v>
      </c>
      <c r="D904" s="106">
        <v>151111</v>
      </c>
      <c r="E904" s="106" t="s">
        <v>1571</v>
      </c>
      <c r="F904" s="106" t="s">
        <v>493</v>
      </c>
      <c r="G904" s="106" t="s">
        <v>161</v>
      </c>
      <c r="H904" s="106">
        <v>1</v>
      </c>
      <c r="I904" s="106" t="s">
        <v>23</v>
      </c>
      <c r="J904" s="106">
        <v>9334</v>
      </c>
      <c r="K904" s="106">
        <v>9371</v>
      </c>
      <c r="L904" s="106">
        <v>4715</v>
      </c>
      <c r="M904" s="106">
        <v>0.41</v>
      </c>
      <c r="N904" s="106">
        <v>0.45</v>
      </c>
      <c r="O904" s="106">
        <v>0.64</v>
      </c>
      <c r="P904" s="106">
        <v>5363</v>
      </c>
      <c r="Q904" s="106">
        <v>2735.4196634189548</v>
      </c>
      <c r="R904" s="106">
        <v>0.19223501909671337</v>
      </c>
      <c r="S904" s="106">
        <v>47946.389229406552</v>
      </c>
      <c r="T904" s="106">
        <v>47858.844180690874</v>
      </c>
      <c r="U904" s="106">
        <v>25690.11222710181</v>
      </c>
      <c r="V904" s="106">
        <v>0.44741493712627184</v>
      </c>
      <c r="W904" s="106">
        <v>106452.57307756884</v>
      </c>
      <c r="X904" s="110">
        <v>0.62582575567402809</v>
      </c>
      <c r="Y904" s="106">
        <v>205.46183777312183</v>
      </c>
      <c r="Z904" s="106">
        <v>8.4480694402873393</v>
      </c>
      <c r="AA904" s="106">
        <v>91230.928234769584</v>
      </c>
      <c r="AB904" s="106">
        <v>1056.3122299284848</v>
      </c>
      <c r="AC904" s="106">
        <v>1.0961195061247704</v>
      </c>
      <c r="AD904" s="106">
        <v>31.559720457433293</v>
      </c>
      <c r="AE904" s="106">
        <v>86.367388022143942</v>
      </c>
      <c r="AF904" s="106">
        <v>4.0746324083821332E-2</v>
      </c>
      <c r="AG904" s="106">
        <v>8255</v>
      </c>
      <c r="AH904" s="106">
        <v>45107.376722763511</v>
      </c>
      <c r="AI904" s="106">
        <v>46926.327369353407</v>
      </c>
      <c r="AJ904" s="106">
        <v>48430.787174490702</v>
      </c>
      <c r="AK904" s="104">
        <v>42443.917555358727</v>
      </c>
      <c r="AL904" s="118">
        <v>247529022</v>
      </c>
      <c r="AM904" s="118">
        <v>21610</v>
      </c>
      <c r="AN904" s="118">
        <v>686448</v>
      </c>
      <c r="AO904" s="118">
        <v>4452</v>
      </c>
      <c r="AP904" s="118">
        <f t="shared" si="14"/>
        <v>1079</v>
      </c>
    </row>
    <row r="905" spans="1:42" ht="12.75">
      <c r="A905" s="106">
        <v>2018</v>
      </c>
      <c r="B905" s="106">
        <v>-151342</v>
      </c>
      <c r="C905" s="106">
        <v>0</v>
      </c>
      <c r="D905" s="106">
        <v>151342</v>
      </c>
      <c r="E905" s="106" t="s">
        <v>1572</v>
      </c>
      <c r="F905" s="106" t="s">
        <v>1573</v>
      </c>
      <c r="G905" s="106" t="s">
        <v>161</v>
      </c>
      <c r="H905" s="106">
        <v>2</v>
      </c>
      <c r="I905" s="106" t="s">
        <v>25</v>
      </c>
      <c r="J905" s="106">
        <v>7207</v>
      </c>
      <c r="K905" s="106">
        <v>8486</v>
      </c>
      <c r="L905" s="106">
        <v>4557</v>
      </c>
      <c r="M905" s="106">
        <v>0.51</v>
      </c>
      <c r="N905" s="106">
        <v>0.46</v>
      </c>
      <c r="O905" s="106">
        <v>0.4</v>
      </c>
      <c r="P905" s="106">
        <v>2441</v>
      </c>
      <c r="Q905" s="106">
        <v>872.42901577427233</v>
      </c>
      <c r="R905" s="106">
        <v>0.10392975002172261</v>
      </c>
      <c r="S905" s="106">
        <v>16665.143301488559</v>
      </c>
      <c r="T905" s="106">
        <v>15479.206842923795</v>
      </c>
      <c r="U905" s="106">
        <v>12219.983790267699</v>
      </c>
      <c r="V905" s="106">
        <v>0.61554760717579315</v>
      </c>
      <c r="W905" s="106">
        <v>76983.925233644855</v>
      </c>
      <c r="X905" s="110">
        <v>0.66996756655587597</v>
      </c>
      <c r="Y905" s="106">
        <v>433.90642002176281</v>
      </c>
      <c r="Z905" s="106">
        <v>14.693144722524485</v>
      </c>
      <c r="AA905" s="106">
        <v>59142.093591392375</v>
      </c>
      <c r="AB905" s="106">
        <v>413.79887932587201</v>
      </c>
      <c r="AC905" s="106">
        <v>1.6908430853140131</v>
      </c>
      <c r="AD905" s="106">
        <v>20.824003582624272</v>
      </c>
      <c r="AE905" s="106">
        <v>142.92473118279571</v>
      </c>
      <c r="AF905" s="106">
        <v>7.9059304325307445E-2</v>
      </c>
      <c r="AG905" s="106">
        <v>6601</v>
      </c>
      <c r="AH905" s="106">
        <v>15375.03243723617</v>
      </c>
      <c r="AI905" s="106">
        <v>15732.723616974006</v>
      </c>
      <c r="AJ905" s="106">
        <v>16780.702288380358</v>
      </c>
      <c r="AK905" s="104">
        <v>13431.830482115085</v>
      </c>
      <c r="AL905" s="118">
        <v>26839865</v>
      </c>
      <c r="AM905" s="118">
        <v>4876</v>
      </c>
      <c r="AN905" s="118">
        <v>132920</v>
      </c>
      <c r="AO905" s="118">
        <v>782</v>
      </c>
      <c r="AP905" s="118">
        <f t="shared" si="14"/>
        <v>606</v>
      </c>
    </row>
    <row r="906" spans="1:42" ht="12.75">
      <c r="A906" s="106">
        <v>2018</v>
      </c>
      <c r="B906" s="106">
        <v>-151379</v>
      </c>
      <c r="C906" s="106">
        <v>0</v>
      </c>
      <c r="D906" s="106">
        <v>151379</v>
      </c>
      <c r="E906" s="106" t="s">
        <v>1574</v>
      </c>
      <c r="F906" s="106" t="s">
        <v>1575</v>
      </c>
      <c r="G906" s="106" t="s">
        <v>161</v>
      </c>
      <c r="H906" s="106">
        <v>2</v>
      </c>
      <c r="I906" s="106" t="s">
        <v>25</v>
      </c>
      <c r="J906" s="106">
        <v>7207</v>
      </c>
      <c r="K906" s="106">
        <v>8541</v>
      </c>
      <c r="L906" s="106">
        <v>5962</v>
      </c>
      <c r="M906" s="106">
        <v>0.49</v>
      </c>
      <c r="N906" s="106">
        <v>0.44</v>
      </c>
      <c r="O906" s="106">
        <v>0.24</v>
      </c>
      <c r="P906" s="106">
        <v>1984</v>
      </c>
      <c r="Q906" s="106">
        <v>379.07962085308054</v>
      </c>
      <c r="R906" s="106">
        <v>4.9011537525911794E-2</v>
      </c>
      <c r="S906" s="106">
        <v>15596.431990521327</v>
      </c>
      <c r="T906" s="106">
        <v>14614.029146919431</v>
      </c>
      <c r="U906" s="106">
        <v>11898.74063274637</v>
      </c>
      <c r="V906" s="106">
        <v>0.61816777392692479</v>
      </c>
      <c r="W906" s="106">
        <v>82608.680353758697</v>
      </c>
      <c r="X906" s="110">
        <v>0.70681038928330941</v>
      </c>
      <c r="Y906" s="106">
        <v>451.38267148014438</v>
      </c>
      <c r="Z906" s="106">
        <v>15.234657039711191</v>
      </c>
      <c r="AA906" s="106">
        <v>48374.456136984278</v>
      </c>
      <c r="AB906" s="106">
        <v>401.59546255940177</v>
      </c>
      <c r="AC906" s="106">
        <v>2.0672067034061361</v>
      </c>
      <c r="AD906" s="106">
        <v>25.737664269774363</v>
      </c>
      <c r="AE906" s="106">
        <v>120.45568400770713</v>
      </c>
      <c r="AF906" s="106">
        <v>7.2212798413490459E-2</v>
      </c>
      <c r="AG906" s="106">
        <v>6601</v>
      </c>
      <c r="AH906" s="106">
        <v>14584.268009478674</v>
      </c>
      <c r="AI906" s="106">
        <v>14863.948578199052</v>
      </c>
      <c r="AJ906" s="106">
        <v>15690.721800947867</v>
      </c>
      <c r="AK906" s="104">
        <v>12750.127251184835</v>
      </c>
      <c r="AL906" s="118">
        <v>22634330</v>
      </c>
      <c r="AM906" s="118">
        <v>4823</v>
      </c>
      <c r="AN906" s="118">
        <v>125033</v>
      </c>
      <c r="AO906" s="118">
        <v>871</v>
      </c>
      <c r="AP906" s="118">
        <f t="shared" si="14"/>
        <v>606</v>
      </c>
    </row>
    <row r="907" spans="1:42" ht="12.75">
      <c r="A907" s="106">
        <v>2018</v>
      </c>
      <c r="B907" s="106">
        <v>3063</v>
      </c>
      <c r="C907" s="106">
        <v>1</v>
      </c>
      <c r="D907" s="106">
        <v>151801</v>
      </c>
      <c r="E907" s="106" t="s">
        <v>4250</v>
      </c>
      <c r="F907" s="106" t="s">
        <v>1576</v>
      </c>
      <c r="G907" s="106" t="s">
        <v>161</v>
      </c>
      <c r="H907" s="106">
        <v>6</v>
      </c>
      <c r="I907" s="106" t="s">
        <v>3640</v>
      </c>
      <c r="J907" s="106">
        <v>25980</v>
      </c>
      <c r="K907" s="106">
        <v>20342</v>
      </c>
      <c r="L907" s="106">
        <v>14509</v>
      </c>
      <c r="M907" s="106">
        <v>0.48</v>
      </c>
      <c r="N907" s="106">
        <v>0.66</v>
      </c>
      <c r="O907" s="106">
        <v>0.52</v>
      </c>
      <c r="P907" s="106">
        <v>13759</v>
      </c>
      <c r="Q907" s="106">
        <v>2610.972372279673</v>
      </c>
      <c r="R907" s="106">
        <v>0.19300772855702863</v>
      </c>
      <c r="S907" s="106">
        <v>14381.039049235993</v>
      </c>
      <c r="T907" s="106">
        <v>14132.96396048773</v>
      </c>
      <c r="U907" s="106">
        <v>11974.495909862633</v>
      </c>
      <c r="V907" s="106">
        <v>0.91167429995625704</v>
      </c>
      <c r="W907" s="106">
        <v>70412.612881952082</v>
      </c>
      <c r="X907" s="110">
        <v>0.583007196327198</v>
      </c>
      <c r="Y907" s="106">
        <v>558.29719917012437</v>
      </c>
      <c r="Z907" s="106">
        <v>20.162863070539416</v>
      </c>
      <c r="AA907" s="106">
        <v>30610.676267508385</v>
      </c>
      <c r="AB907" s="106">
        <v>432.45805590316581</v>
      </c>
      <c r="AC907" s="106">
        <v>3.266834065542835</v>
      </c>
      <c r="AD907" s="106">
        <v>38.920454545454547</v>
      </c>
      <c r="AE907" s="106">
        <v>70.782994673505627</v>
      </c>
      <c r="AF907" s="106">
        <v>3.632963850110809E-2</v>
      </c>
      <c r="AG907" s="106">
        <v>25980</v>
      </c>
      <c r="AH907" s="106">
        <v>13201.169084735298</v>
      </c>
      <c r="AI907" s="106">
        <v>14176.778746720172</v>
      </c>
      <c r="AJ907" s="106">
        <v>15382.435329526161</v>
      </c>
      <c r="AK907" s="104">
        <v>11974.495909862633</v>
      </c>
      <c r="AL907" s="118"/>
      <c r="AM907" s="118">
        <v>9374</v>
      </c>
      <c r="AN907" s="118">
        <v>358799</v>
      </c>
      <c r="AO907" s="118">
        <v>3039</v>
      </c>
      <c r="AP907" s="118">
        <f t="shared" si="14"/>
        <v>0</v>
      </c>
    </row>
    <row r="908" spans="1:42" ht="12.75">
      <c r="A908" s="106">
        <v>2018</v>
      </c>
      <c r="B908" s="106">
        <v>-462044</v>
      </c>
      <c r="C908" s="106">
        <v>0</v>
      </c>
      <c r="D908" s="106">
        <v>462044</v>
      </c>
      <c r="E908" s="106" t="s">
        <v>1577</v>
      </c>
      <c r="F908" s="106" t="s">
        <v>1578</v>
      </c>
      <c r="G908" s="106" t="s">
        <v>301</v>
      </c>
      <c r="H908" s="106">
        <v>7</v>
      </c>
      <c r="I908" s="106" t="s">
        <v>3641</v>
      </c>
      <c r="J908" s="106"/>
      <c r="K908" s="106"/>
      <c r="L908" s="106"/>
      <c r="M908" s="106"/>
      <c r="N908" s="106"/>
      <c r="O908" s="106"/>
      <c r="P908" s="106"/>
      <c r="Q908" s="106">
        <v>9989.1020408163258</v>
      </c>
      <c r="R908" s="106">
        <v>0.28925258912346535</v>
      </c>
      <c r="S908" s="106">
        <v>25676.020408163266</v>
      </c>
      <c r="T908" s="106">
        <v>23950.755102040817</v>
      </c>
      <c r="U908" s="106">
        <v>23950.755102040817</v>
      </c>
      <c r="V908" s="106">
        <v>1.0248145216332492</v>
      </c>
      <c r="W908" s="106">
        <v>145916.8125</v>
      </c>
      <c r="X908" s="110">
        <v>0.66311487772103817</v>
      </c>
      <c r="Y908" s="106">
        <v>488.5</v>
      </c>
      <c r="Z908" s="106">
        <v>24.5</v>
      </c>
      <c r="AA908" s="106">
        <v>293396.75</v>
      </c>
      <c r="AB908" s="106">
        <v>1201.2149437052201</v>
      </c>
      <c r="AC908" s="106">
        <v>0.34083540461849016</v>
      </c>
      <c r="AD908" s="106">
        <v>6.557377049180328</v>
      </c>
      <c r="AE908" s="106">
        <v>244.25</v>
      </c>
      <c r="AF908" s="106">
        <v>0.21560928775360672</v>
      </c>
      <c r="AG908" s="106"/>
      <c r="AH908" s="106">
        <v>24545.081632653062</v>
      </c>
      <c r="AI908" s="106">
        <v>25676.020408163266</v>
      </c>
      <c r="AJ908" s="106">
        <v>25692.306122448979</v>
      </c>
      <c r="AK908" s="104">
        <v>23950.755102040817</v>
      </c>
      <c r="AL908" s="118"/>
      <c r="AM908" s="118"/>
      <c r="AN908" s="118">
        <v>977</v>
      </c>
      <c r="AO908" s="118"/>
      <c r="AP908" s="118">
        <f t="shared" si="14"/>
        <v>0</v>
      </c>
    </row>
    <row r="909" spans="1:42" ht="12.75">
      <c r="A909" s="106">
        <v>2018</v>
      </c>
      <c r="B909" s="106">
        <v>-443128</v>
      </c>
      <c r="C909" s="106">
        <v>0</v>
      </c>
      <c r="D909" s="106">
        <v>443128</v>
      </c>
      <c r="E909" s="106" t="s">
        <v>1579</v>
      </c>
      <c r="F909" s="106" t="s">
        <v>1203</v>
      </c>
      <c r="G909" s="106" t="s">
        <v>121</v>
      </c>
      <c r="H909" s="106">
        <v>6</v>
      </c>
      <c r="I909" s="106" t="s">
        <v>3640</v>
      </c>
      <c r="J909" s="106"/>
      <c r="K909" s="106"/>
      <c r="L909" s="106"/>
      <c r="M909" s="106"/>
      <c r="N909" s="106"/>
      <c r="O909" s="106"/>
      <c r="P909" s="106"/>
      <c r="Q909" s="106">
        <v>208.68376068376068</v>
      </c>
      <c r="R909" s="106">
        <v>1.2311879430716767E-2</v>
      </c>
      <c r="S909" s="106">
        <v>16988.655270655272</v>
      </c>
      <c r="T909" s="106">
        <v>22971.601139601138</v>
      </c>
      <c r="U909" s="106">
        <v>20743.148202585147</v>
      </c>
      <c r="V909" s="106">
        <v>0.80706676005038747</v>
      </c>
      <c r="W909" s="106">
        <v>50974.08108108108</v>
      </c>
      <c r="X909" s="110">
        <v>0.46782426263470117</v>
      </c>
      <c r="Y909" s="106">
        <v>287.30113636363632</v>
      </c>
      <c r="Z909" s="106">
        <v>11.96590909090909</v>
      </c>
      <c r="AA909" s="106">
        <v>38219.65889295216</v>
      </c>
      <c r="AB909" s="106">
        <v>863.93889280419887</v>
      </c>
      <c r="AC909" s="106">
        <v>2.6164545392748222</v>
      </c>
      <c r="AD909" s="106">
        <v>54.273504273504273</v>
      </c>
      <c r="AE909" s="106">
        <v>44.238845144356958</v>
      </c>
      <c r="AF909" s="106">
        <v>-0.3216249956115963</v>
      </c>
      <c r="AG909" s="106"/>
      <c r="AH909" s="106">
        <v>16774.806267806267</v>
      </c>
      <c r="AI909" s="106">
        <v>16844.180911680913</v>
      </c>
      <c r="AJ909" s="106">
        <v>16994.62393162393</v>
      </c>
      <c r="AK909" s="104">
        <v>22971.601139601138</v>
      </c>
      <c r="AL909" s="118"/>
      <c r="AM909" s="118"/>
      <c r="AN909" s="118">
        <v>16855</v>
      </c>
      <c r="AO909" s="118"/>
      <c r="AP909" s="118">
        <f t="shared" si="14"/>
        <v>0</v>
      </c>
    </row>
    <row r="910" spans="1:42" ht="12.75">
      <c r="A910" s="106">
        <v>2018</v>
      </c>
      <c r="B910" s="106">
        <v>-173799</v>
      </c>
      <c r="C910" s="106">
        <v>0</v>
      </c>
      <c r="D910" s="106">
        <v>173799</v>
      </c>
      <c r="E910" s="106" t="s">
        <v>1580</v>
      </c>
      <c r="F910" s="106" t="s">
        <v>1581</v>
      </c>
      <c r="G910" s="106" t="s">
        <v>113</v>
      </c>
      <c r="H910" s="106">
        <v>4</v>
      </c>
      <c r="I910" s="106" t="s">
        <v>24</v>
      </c>
      <c r="J910" s="106">
        <v>5333</v>
      </c>
      <c r="K910" s="106">
        <v>10554</v>
      </c>
      <c r="L910" s="106">
        <v>9040</v>
      </c>
      <c r="M910" s="106">
        <v>0.36</v>
      </c>
      <c r="N910" s="106">
        <v>0.3</v>
      </c>
      <c r="O910" s="106">
        <v>0.06</v>
      </c>
      <c r="P910" s="106">
        <v>2807</v>
      </c>
      <c r="Q910" s="106">
        <v>104.70510271703115</v>
      </c>
      <c r="R910" s="106">
        <v>1.9635866525818679E-2</v>
      </c>
      <c r="S910" s="106">
        <v>12537.442014579192</v>
      </c>
      <c r="T910" s="106">
        <v>13577.203445990723</v>
      </c>
      <c r="U910" s="106">
        <v>11282.083711014851</v>
      </c>
      <c r="V910" s="106">
        <v>0.46335715358389012</v>
      </c>
      <c r="W910" s="106">
        <v>123896.50145772596</v>
      </c>
      <c r="X910" s="110">
        <v>0.6914047247169075</v>
      </c>
      <c r="Y910" s="106">
        <v>798.81176470588241</v>
      </c>
      <c r="Z910" s="106">
        <v>26.629411764705882</v>
      </c>
      <c r="AA910" s="106">
        <v>45888.583072564448</v>
      </c>
      <c r="AB910" s="106">
        <v>376.10268899221074</v>
      </c>
      <c r="AC910" s="106">
        <v>2.179191278184994</v>
      </c>
      <c r="AD910" s="106">
        <v>28.22365918600228</v>
      </c>
      <c r="AE910" s="106">
        <v>122.01078167115902</v>
      </c>
      <c r="AF910" s="106">
        <v>-2.6403439714164596E-2</v>
      </c>
      <c r="AG910" s="106">
        <v>4770</v>
      </c>
      <c r="AH910" s="106">
        <v>12507.952286282307</v>
      </c>
      <c r="AI910" s="106">
        <v>12633.200795228628</v>
      </c>
      <c r="AJ910" s="106">
        <v>12613.320079522862</v>
      </c>
      <c r="AK910" s="104">
        <v>11636.182902584493</v>
      </c>
      <c r="AL910" s="118">
        <v>16408000</v>
      </c>
      <c r="AM910" s="118">
        <v>4479</v>
      </c>
      <c r="AN910" s="118">
        <v>90532</v>
      </c>
      <c r="AO910" s="118">
        <v>602</v>
      </c>
      <c r="AP910" s="118">
        <f t="shared" si="14"/>
        <v>563</v>
      </c>
    </row>
    <row r="911" spans="1:42" ht="12.75">
      <c r="A911" s="106">
        <v>2018</v>
      </c>
      <c r="B911" s="106">
        <v>-191931</v>
      </c>
      <c r="C911" s="106">
        <v>0</v>
      </c>
      <c r="D911" s="106">
        <v>191931</v>
      </c>
      <c r="E911" s="106" t="s">
        <v>1582</v>
      </c>
      <c r="F911" s="106" t="s">
        <v>1583</v>
      </c>
      <c r="G911" s="106" t="s">
        <v>69</v>
      </c>
      <c r="H911" s="106">
        <v>6</v>
      </c>
      <c r="I911" s="106" t="s">
        <v>3640</v>
      </c>
      <c r="J911" s="106">
        <v>37682</v>
      </c>
      <c r="K911" s="106">
        <v>28131</v>
      </c>
      <c r="L911" s="106">
        <v>26366</v>
      </c>
      <c r="M911" s="106">
        <v>0.4</v>
      </c>
      <c r="N911" s="106">
        <v>0.67</v>
      </c>
      <c r="O911" s="106">
        <v>1</v>
      </c>
      <c r="P911" s="106">
        <v>19966</v>
      </c>
      <c r="Q911" s="106">
        <v>15883.865498728454</v>
      </c>
      <c r="R911" s="106">
        <v>0.44109730930092039</v>
      </c>
      <c r="S911" s="106">
        <v>30374.399547894885</v>
      </c>
      <c r="T911" s="106">
        <v>29636.337948573044</v>
      </c>
      <c r="U911" s="106">
        <v>24163.643615362373</v>
      </c>
      <c r="V911" s="106">
        <v>0.83290519513598937</v>
      </c>
      <c r="W911" s="106">
        <v>99691.950464396286</v>
      </c>
      <c r="X911" s="110">
        <v>0.61402705872257657</v>
      </c>
      <c r="Y911" s="106">
        <v>460.125</v>
      </c>
      <c r="Z911" s="106">
        <v>15.799107142857142</v>
      </c>
      <c r="AA911" s="106">
        <v>79771.580927954696</v>
      </c>
      <c r="AB911" s="106">
        <v>829.69626610361536</v>
      </c>
      <c r="AC911" s="106">
        <v>1.2535792676631858</v>
      </c>
      <c r="AD911" s="106">
        <v>30.76923076923077</v>
      </c>
      <c r="AE911" s="106">
        <v>96.145522388059703</v>
      </c>
      <c r="AF911" s="106">
        <v>5.658002600048026E-2</v>
      </c>
      <c r="AG911" s="106">
        <v>35482</v>
      </c>
      <c r="AH911" s="106">
        <v>28724.781011585193</v>
      </c>
      <c r="AI911" s="106">
        <v>30498.445888669117</v>
      </c>
      <c r="AJ911" s="106">
        <v>33359.706131675615</v>
      </c>
      <c r="AK911" s="104">
        <v>24213.054535179428</v>
      </c>
      <c r="AL911" s="118">
        <v>276000</v>
      </c>
      <c r="AM911" s="118">
        <v>3178</v>
      </c>
      <c r="AN911" s="118">
        <v>103068</v>
      </c>
      <c r="AO911" s="118">
        <v>595</v>
      </c>
      <c r="AP911" s="118">
        <f t="shared" si="14"/>
        <v>2200</v>
      </c>
    </row>
    <row r="912" spans="1:42" ht="12.75">
      <c r="A912" s="106">
        <v>2018</v>
      </c>
      <c r="B912" s="106">
        <v>-153524</v>
      </c>
      <c r="C912" s="106">
        <v>0</v>
      </c>
      <c r="D912" s="106">
        <v>153524</v>
      </c>
      <c r="E912" s="106" t="s">
        <v>1584</v>
      </c>
      <c r="F912" s="106" t="s">
        <v>1585</v>
      </c>
      <c r="G912" s="106" t="s">
        <v>447</v>
      </c>
      <c r="H912" s="106">
        <v>4</v>
      </c>
      <c r="I912" s="106" t="s">
        <v>24</v>
      </c>
      <c r="J912" s="106">
        <v>5340</v>
      </c>
      <c r="K912" s="106">
        <v>9576</v>
      </c>
      <c r="L912" s="106">
        <v>8006</v>
      </c>
      <c r="M912" s="106">
        <v>0.59</v>
      </c>
      <c r="N912" s="106">
        <v>0.59</v>
      </c>
      <c r="O912" s="106">
        <v>0.59</v>
      </c>
      <c r="P912" s="106">
        <v>1768</v>
      </c>
      <c r="Q912" s="106">
        <v>132.0573623559539</v>
      </c>
      <c r="R912" s="106">
        <v>2.2976528015481053E-2</v>
      </c>
      <c r="S912" s="106">
        <v>18515.965941101153</v>
      </c>
      <c r="T912" s="106">
        <v>17577.31600512164</v>
      </c>
      <c r="U912" s="106">
        <v>12273.817574399922</v>
      </c>
      <c r="V912" s="106">
        <v>0.45751311589635663</v>
      </c>
      <c r="W912" s="106">
        <v>66608.243749999994</v>
      </c>
      <c r="X912" s="110">
        <v>0.46579585704243798</v>
      </c>
      <c r="Y912" s="106">
        <v>577.09359605911334</v>
      </c>
      <c r="Z912" s="106">
        <v>19.236453201970445</v>
      </c>
      <c r="AA912" s="106">
        <v>43492.974254112247</v>
      </c>
      <c r="AB912" s="106">
        <v>409.12725247999737</v>
      </c>
      <c r="AC912" s="106">
        <v>2.2992219252640567</v>
      </c>
      <c r="AD912" s="106">
        <v>28.765335421560952</v>
      </c>
      <c r="AE912" s="106">
        <v>106.30671506352087</v>
      </c>
      <c r="AF912" s="106">
        <v>8.5282678301897008E-2</v>
      </c>
      <c r="AG912" s="106">
        <v>4920</v>
      </c>
      <c r="AH912" s="106">
        <v>18406.271702944941</v>
      </c>
      <c r="AI912" s="106">
        <v>18406.271702944941</v>
      </c>
      <c r="AJ912" s="106">
        <v>18642.011779769527</v>
      </c>
      <c r="AK912" s="104">
        <v>12745.123431498079</v>
      </c>
      <c r="AL912" s="119">
        <v>23128230</v>
      </c>
      <c r="AM912" s="118">
        <v>5788</v>
      </c>
      <c r="AN912" s="118">
        <v>117150</v>
      </c>
      <c r="AO912" s="118">
        <v>768</v>
      </c>
      <c r="AP912" s="118">
        <f t="shared" si="14"/>
        <v>420</v>
      </c>
    </row>
    <row r="913" spans="1:42" ht="12.75">
      <c r="A913" s="106">
        <v>2018</v>
      </c>
      <c r="B913" s="106">
        <v>-153533</v>
      </c>
      <c r="C913" s="106">
        <v>0</v>
      </c>
      <c r="D913" s="106">
        <v>153533</v>
      </c>
      <c r="E913" s="106" t="s">
        <v>1586</v>
      </c>
      <c r="F913" s="106" t="s">
        <v>1587</v>
      </c>
      <c r="G913" s="106" t="s">
        <v>447</v>
      </c>
      <c r="H913" s="106">
        <v>4</v>
      </c>
      <c r="I913" s="106" t="s">
        <v>24</v>
      </c>
      <c r="J913" s="106">
        <v>6236</v>
      </c>
      <c r="K913" s="106">
        <v>10101</v>
      </c>
      <c r="L913" s="106">
        <v>8218</v>
      </c>
      <c r="M913" s="106">
        <v>0.42</v>
      </c>
      <c r="N913" s="106">
        <v>0.53</v>
      </c>
      <c r="O913" s="106">
        <v>0.47</v>
      </c>
      <c r="P913" s="106">
        <v>2649</v>
      </c>
      <c r="Q913" s="106">
        <v>1024.0319843342036</v>
      </c>
      <c r="R913" s="106">
        <v>0.18821262805710237</v>
      </c>
      <c r="S913" s="106">
        <v>25307.278720626633</v>
      </c>
      <c r="T913" s="106">
        <v>25377.1409921671</v>
      </c>
      <c r="U913" s="106">
        <v>18203.6382614545</v>
      </c>
      <c r="V913" s="106">
        <v>0.24263243520347999</v>
      </c>
      <c r="W913" s="106">
        <v>77857.342786683119</v>
      </c>
      <c r="X913" s="110">
        <v>0.54137440460849362</v>
      </c>
      <c r="Y913" s="106">
        <v>411.59999999999997</v>
      </c>
      <c r="Z913" s="106">
        <v>13.719402985074627</v>
      </c>
      <c r="AA913" s="106">
        <v>75372.902206887273</v>
      </c>
      <c r="AB913" s="106">
        <v>606.76153815213206</v>
      </c>
      <c r="AC913" s="106">
        <v>1.3267367591275052</v>
      </c>
      <c r="AD913" s="106">
        <v>27.945619335347434</v>
      </c>
      <c r="AE913" s="106">
        <v>124.22162162162162</v>
      </c>
      <c r="AF913" s="106">
        <v>5.3724164189221867E-4</v>
      </c>
      <c r="AG913" s="106">
        <v>5504</v>
      </c>
      <c r="AH913" s="106">
        <v>25161.29960835509</v>
      </c>
      <c r="AI913" s="106">
        <v>25161.29960835509</v>
      </c>
      <c r="AJ913" s="106">
        <v>25387.125979112272</v>
      </c>
      <c r="AK913" s="104">
        <v>20192.319190600523</v>
      </c>
      <c r="AL913" s="118">
        <v>18353780</v>
      </c>
      <c r="AM913" s="118">
        <v>2011</v>
      </c>
      <c r="AN913" s="118">
        <v>45962</v>
      </c>
      <c r="AO913" s="118">
        <v>315</v>
      </c>
      <c r="AP913" s="118">
        <f t="shared" si="14"/>
        <v>732</v>
      </c>
    </row>
    <row r="914" spans="1:42" ht="12.75">
      <c r="A914" s="106">
        <v>2018</v>
      </c>
      <c r="B914" s="106">
        <v>-153603</v>
      </c>
      <c r="C914" s="106">
        <v>0</v>
      </c>
      <c r="D914" s="106">
        <v>153603</v>
      </c>
      <c r="E914" s="106" t="s">
        <v>1588</v>
      </c>
      <c r="F914" s="106" t="s">
        <v>1589</v>
      </c>
      <c r="G914" s="106" t="s">
        <v>447</v>
      </c>
      <c r="H914" s="106">
        <v>1</v>
      </c>
      <c r="I914" s="106" t="s">
        <v>23</v>
      </c>
      <c r="J914" s="106">
        <v>8636</v>
      </c>
      <c r="K914" s="106">
        <v>14643</v>
      </c>
      <c r="L914" s="106">
        <v>9801</v>
      </c>
      <c r="M914" s="106">
        <v>0.19</v>
      </c>
      <c r="N914" s="106">
        <v>0.5</v>
      </c>
      <c r="O914" s="106">
        <v>0.78</v>
      </c>
      <c r="P914" s="106">
        <v>7005</v>
      </c>
      <c r="Q914" s="106">
        <v>4367.5090273210981</v>
      </c>
      <c r="R914" s="106">
        <v>0.29012111824959369</v>
      </c>
      <c r="S914" s="106">
        <v>37834.421922640046</v>
      </c>
      <c r="T914" s="106">
        <v>37330.956148741556</v>
      </c>
      <c r="U914" s="106">
        <v>15899.224013501424</v>
      </c>
      <c r="V914" s="106">
        <v>0.67214472811795234</v>
      </c>
      <c r="W914" s="106">
        <v>119661.28576717619</v>
      </c>
      <c r="X914" s="110">
        <v>0.60386223269468475</v>
      </c>
      <c r="Y914" s="106">
        <v>400.57267805081216</v>
      </c>
      <c r="Z914" s="106">
        <v>13.933361099541857</v>
      </c>
      <c r="AA914" s="106">
        <v>61398.203872524144</v>
      </c>
      <c r="AB914" s="106">
        <v>553.03229980783101</v>
      </c>
      <c r="AC914" s="106">
        <v>1.6287121396518616</v>
      </c>
      <c r="AD914" s="106">
        <v>25.715388268819755</v>
      </c>
      <c r="AE914" s="106">
        <v>111.02100888837585</v>
      </c>
      <c r="AF914" s="106">
        <v>3.7829580113608451E-2</v>
      </c>
      <c r="AG914" s="106">
        <v>7456</v>
      </c>
      <c r="AH914" s="106">
        <v>35441.162222753635</v>
      </c>
      <c r="AI914" s="106">
        <v>37070.308453398698</v>
      </c>
      <c r="AJ914" s="106">
        <v>38321.221767202725</v>
      </c>
      <c r="AK914" s="104">
        <v>29609.585849225801</v>
      </c>
      <c r="AL914" s="118">
        <v>234395530</v>
      </c>
      <c r="AM914" s="118">
        <v>30406</v>
      </c>
      <c r="AN914" s="118">
        <v>961775</v>
      </c>
      <c r="AO914" s="118">
        <v>6796</v>
      </c>
      <c r="AP914" s="118">
        <f t="shared" si="14"/>
        <v>1180</v>
      </c>
    </row>
    <row r="915" spans="1:42" ht="12.75">
      <c r="A915" s="106">
        <v>2018</v>
      </c>
      <c r="B915" s="106">
        <v>-153621</v>
      </c>
      <c r="C915" s="106">
        <v>0</v>
      </c>
      <c r="D915" s="106">
        <v>153621</v>
      </c>
      <c r="E915" s="106" t="s">
        <v>1590</v>
      </c>
      <c r="F915" s="106" t="s">
        <v>671</v>
      </c>
      <c r="G915" s="106" t="s">
        <v>447</v>
      </c>
      <c r="H915" s="106">
        <v>7</v>
      </c>
      <c r="I915" s="106" t="s">
        <v>3641</v>
      </c>
      <c r="J915" s="106">
        <v>24600</v>
      </c>
      <c r="K915" s="106">
        <v>25016</v>
      </c>
      <c r="L915" s="106">
        <v>24558</v>
      </c>
      <c r="M915" s="106">
        <v>0.62</v>
      </c>
      <c r="N915" s="106">
        <v>0.69</v>
      </c>
      <c r="O915" s="106">
        <v>0.75</v>
      </c>
      <c r="P915" s="106">
        <v>11793</v>
      </c>
      <c r="Q915" s="106">
        <v>13831.209876543209</v>
      </c>
      <c r="R915" s="106">
        <v>0.57129931741705819</v>
      </c>
      <c r="S915" s="106">
        <v>21524.795414462082</v>
      </c>
      <c r="T915" s="106">
        <v>28796.603174603173</v>
      </c>
      <c r="U915" s="106">
        <v>24608.9417989418</v>
      </c>
      <c r="V915" s="106">
        <v>0.42175253542717944</v>
      </c>
      <c r="W915" s="106">
        <v>70299.701923076922</v>
      </c>
      <c r="X915" s="110">
        <v>0.44777774225526551</v>
      </c>
      <c r="Y915" s="106">
        <v>548.35483870967744</v>
      </c>
      <c r="Z915" s="106">
        <v>18.29032258064516</v>
      </c>
      <c r="AA915" s="106">
        <v>162247.32558139536</v>
      </c>
      <c r="AB915" s="106">
        <v>820.82887228660513</v>
      </c>
      <c r="AC915" s="106">
        <v>0.61634297910095626</v>
      </c>
      <c r="AD915" s="106">
        <v>14.776632302405499</v>
      </c>
      <c r="AE915" s="106">
        <v>197.66279069767441</v>
      </c>
      <c r="AF915" s="106">
        <v>-0.21628397832543594</v>
      </c>
      <c r="AG915" s="106">
        <v>23600</v>
      </c>
      <c r="AH915" s="106">
        <v>16860.539682539682</v>
      </c>
      <c r="AI915" s="106">
        <v>21316.118165784832</v>
      </c>
      <c r="AJ915" s="106">
        <v>22724.414462081128</v>
      </c>
      <c r="AK915" s="104">
        <v>24608.9417989418</v>
      </c>
      <c r="AL915" s="118"/>
      <c r="AM915" s="118">
        <v>628</v>
      </c>
      <c r="AN915" s="118">
        <v>16999</v>
      </c>
      <c r="AO915" s="118">
        <v>86</v>
      </c>
      <c r="AP915" s="118">
        <f t="shared" si="14"/>
        <v>1000</v>
      </c>
    </row>
    <row r="916" spans="1:42" ht="12.75">
      <c r="A916" s="106">
        <v>2018</v>
      </c>
      <c r="B916" s="106">
        <v>-153630</v>
      </c>
      <c r="C916" s="106">
        <v>0</v>
      </c>
      <c r="D916" s="106">
        <v>153630</v>
      </c>
      <c r="E916" s="106" t="s">
        <v>1591</v>
      </c>
      <c r="F916" s="106" t="s">
        <v>1592</v>
      </c>
      <c r="G916" s="106" t="s">
        <v>447</v>
      </c>
      <c r="H916" s="106">
        <v>4</v>
      </c>
      <c r="I916" s="106" t="s">
        <v>24</v>
      </c>
      <c r="J916" s="106">
        <v>5664</v>
      </c>
      <c r="K916" s="106">
        <v>10213</v>
      </c>
      <c r="L916" s="106">
        <v>8946</v>
      </c>
      <c r="M916" s="106">
        <v>0.57999999999999996</v>
      </c>
      <c r="N916" s="106">
        <v>0.74</v>
      </c>
      <c r="O916" s="106">
        <v>0.42</v>
      </c>
      <c r="P916" s="107">
        <v>4674</v>
      </c>
      <c r="Q916" s="107"/>
      <c r="R916" s="106"/>
      <c r="S916" s="106">
        <v>14891.420946400538</v>
      </c>
      <c r="T916" s="106">
        <v>13920.153397622786</v>
      </c>
      <c r="U916" s="106">
        <v>10419.744344322276</v>
      </c>
      <c r="V916" s="106">
        <v>0.48233282305331993</v>
      </c>
      <c r="W916" s="106">
        <v>57997.783177570091</v>
      </c>
      <c r="X916" s="110">
        <v>0.49990062826522663</v>
      </c>
      <c r="Y916" s="106">
        <v>611.72560975609747</v>
      </c>
      <c r="Z916" s="106">
        <v>20.391768292682926</v>
      </c>
      <c r="AA916" s="106">
        <v>37804.426388391395</v>
      </c>
      <c r="AB916" s="106">
        <v>347.34039077280158</v>
      </c>
      <c r="AC916" s="106">
        <v>2.6451928928276764</v>
      </c>
      <c r="AD916" s="106">
        <v>32.291119285338937</v>
      </c>
      <c r="AE916" s="106">
        <v>108.83970707892595</v>
      </c>
      <c r="AF916" s="106">
        <v>6.7887447738563741E-2</v>
      </c>
      <c r="AG916" s="106">
        <v>5120</v>
      </c>
      <c r="AH916" s="106">
        <v>15132.472303206998</v>
      </c>
      <c r="AI916" s="106">
        <v>15132.472303206998</v>
      </c>
      <c r="AJ916" s="106">
        <v>14982.736712267324</v>
      </c>
      <c r="AK916" s="104">
        <v>11762.624130971069</v>
      </c>
      <c r="AL916" s="118">
        <v>28904759</v>
      </c>
      <c r="AM916" s="118">
        <v>6080</v>
      </c>
      <c r="AN916" s="118">
        <v>133764</v>
      </c>
      <c r="AO916" s="118">
        <v>783</v>
      </c>
      <c r="AP916" s="118">
        <f t="shared" si="14"/>
        <v>544</v>
      </c>
    </row>
    <row r="917" spans="1:42" ht="12.75">
      <c r="A917" s="106">
        <v>2018</v>
      </c>
      <c r="B917" s="106">
        <v>-116439</v>
      </c>
      <c r="C917" s="106">
        <v>0</v>
      </c>
      <c r="D917" s="106">
        <v>116439</v>
      </c>
      <c r="E917" s="106" t="s">
        <v>4113</v>
      </c>
      <c r="F917" s="106" t="s">
        <v>434</v>
      </c>
      <c r="G917" s="106" t="s">
        <v>121</v>
      </c>
      <c r="H917" s="106">
        <v>4</v>
      </c>
      <c r="I917" s="106" t="s">
        <v>24</v>
      </c>
      <c r="J917" s="106">
        <v>1142</v>
      </c>
      <c r="K917" s="106">
        <v>5100</v>
      </c>
      <c r="L917" s="106">
        <v>1723</v>
      </c>
      <c r="M917" s="106">
        <v>0.25</v>
      </c>
      <c r="N917" s="106">
        <v>0.01</v>
      </c>
      <c r="O917" s="106">
        <v>0.06</v>
      </c>
      <c r="P917" s="106">
        <v>1529</v>
      </c>
      <c r="Q917" s="106"/>
      <c r="R917" s="106"/>
      <c r="S917" s="106">
        <v>12674.890403368794</v>
      </c>
      <c r="T917" s="106">
        <v>11257.253767730497</v>
      </c>
      <c r="U917" s="106">
        <v>8289.7475739640686</v>
      </c>
      <c r="V917" s="106">
        <v>0.26701157486585408</v>
      </c>
      <c r="W917" s="106">
        <v>152868.35422163588</v>
      </c>
      <c r="X917" s="110">
        <v>0.76043831982329602</v>
      </c>
      <c r="Y917" s="106">
        <v>909.49384098544249</v>
      </c>
      <c r="Z917" s="106">
        <v>30.315789473684216</v>
      </c>
      <c r="AA917" s="106">
        <v>21796.818795877549</v>
      </c>
      <c r="AB917" s="106">
        <v>276.31879504536596</v>
      </c>
      <c r="AC917" s="106">
        <v>4.5878254499648854</v>
      </c>
      <c r="AD917" s="106">
        <v>44.681682072646787</v>
      </c>
      <c r="AE917" s="106">
        <v>78.882867132867133</v>
      </c>
      <c r="AF917" s="106"/>
      <c r="AG917" s="106">
        <v>1104</v>
      </c>
      <c r="AH917" s="106">
        <v>12344.365580673759</v>
      </c>
      <c r="AI917" s="106">
        <v>12344.365580673759</v>
      </c>
      <c r="AJ917" s="106">
        <v>12745.282579787234</v>
      </c>
      <c r="AK917" s="104">
        <v>9791.166223404256</v>
      </c>
      <c r="AL917" s="118">
        <v>76593183</v>
      </c>
      <c r="AM917" s="118">
        <v>13395</v>
      </c>
      <c r="AN917" s="118">
        <v>270726</v>
      </c>
      <c r="AO917" s="118">
        <v>1689</v>
      </c>
      <c r="AP917" s="118">
        <f t="shared" si="14"/>
        <v>38</v>
      </c>
    </row>
    <row r="918" spans="1:42" ht="12.75">
      <c r="A918" s="106">
        <v>2018</v>
      </c>
      <c r="B918" s="106">
        <v>-198710</v>
      </c>
      <c r="C918" s="106">
        <v>0</v>
      </c>
      <c r="D918" s="106">
        <v>198710</v>
      </c>
      <c r="E918" s="106" t="s">
        <v>1593</v>
      </c>
      <c r="F918" s="106" t="s">
        <v>1594</v>
      </c>
      <c r="G918" s="106" t="s">
        <v>90</v>
      </c>
      <c r="H918" s="106">
        <v>4</v>
      </c>
      <c r="I918" s="106" t="s">
        <v>24</v>
      </c>
      <c r="J918" s="106">
        <v>2542</v>
      </c>
      <c r="K918" s="106">
        <v>5617</v>
      </c>
      <c r="L918" s="106">
        <v>4863</v>
      </c>
      <c r="M918" s="106">
        <v>0.48</v>
      </c>
      <c r="N918" s="106">
        <v>0</v>
      </c>
      <c r="O918" s="106">
        <v>0.32</v>
      </c>
      <c r="P918" s="106">
        <v>3294</v>
      </c>
      <c r="Q918" s="106">
        <v>354.95224913494809</v>
      </c>
      <c r="R918" s="106">
        <v>0.12824073472155409</v>
      </c>
      <c r="S918" s="106">
        <v>14299.215224913494</v>
      </c>
      <c r="T918" s="106">
        <v>15991.154325259515</v>
      </c>
      <c r="U918" s="106">
        <v>11877.99706217715</v>
      </c>
      <c r="V918" s="106">
        <v>0.20314086303976536</v>
      </c>
      <c r="W918" s="106">
        <v>58459.257692307692</v>
      </c>
      <c r="X918" s="110">
        <v>0.65777745291536183</v>
      </c>
      <c r="Y918" s="106">
        <v>371.52000000000004</v>
      </c>
      <c r="Z918" s="106">
        <v>12.385714285714286</v>
      </c>
      <c r="AA918" s="106">
        <v>17531.875132631238</v>
      </c>
      <c r="AB918" s="106">
        <v>395.98804343959904</v>
      </c>
      <c r="AC918" s="106">
        <v>5.703896431128169</v>
      </c>
      <c r="AD918" s="106">
        <v>84.542314335060453</v>
      </c>
      <c r="AE918" s="106">
        <v>44.273748723186927</v>
      </c>
      <c r="AF918" s="106">
        <v>8.9901226291967395E-2</v>
      </c>
      <c r="AG918" s="106">
        <v>2432</v>
      </c>
      <c r="AH918" s="106">
        <v>13661.418685121107</v>
      </c>
      <c r="AI918" s="106">
        <v>14221.287197231833</v>
      </c>
      <c r="AJ918" s="106">
        <v>14926.458131487889</v>
      </c>
      <c r="AK918" s="104">
        <v>14932.185467128027</v>
      </c>
      <c r="AL918" s="119">
        <v>12402495</v>
      </c>
      <c r="AM918" s="118">
        <v>1929</v>
      </c>
      <c r="AN918" s="118">
        <v>43344</v>
      </c>
      <c r="AO918" s="118">
        <v>302</v>
      </c>
      <c r="AP918" s="118">
        <f t="shared" si="14"/>
        <v>110</v>
      </c>
    </row>
    <row r="919" spans="1:42" ht="12.75">
      <c r="A919" s="106">
        <v>2018</v>
      </c>
      <c r="B919" s="106">
        <v>-173805</v>
      </c>
      <c r="C919" s="106">
        <v>0</v>
      </c>
      <c r="D919" s="106">
        <v>173805</v>
      </c>
      <c r="E919" s="106" t="s">
        <v>1595</v>
      </c>
      <c r="F919" s="106" t="s">
        <v>186</v>
      </c>
      <c r="G919" s="106" t="s">
        <v>113</v>
      </c>
      <c r="H919" s="106">
        <v>4</v>
      </c>
      <c r="I919" s="106" t="s">
        <v>24</v>
      </c>
      <c r="J919" s="106">
        <v>5325</v>
      </c>
      <c r="K919" s="106">
        <v>11487</v>
      </c>
      <c r="L919" s="106">
        <v>9984</v>
      </c>
      <c r="M919" s="106">
        <v>0.52</v>
      </c>
      <c r="N919" s="106">
        <v>0.55000000000000004</v>
      </c>
      <c r="O919" s="106">
        <v>0.12</v>
      </c>
      <c r="P919" s="106">
        <v>1442</v>
      </c>
      <c r="Q919" s="106">
        <v>275.05330490405117</v>
      </c>
      <c r="R919" s="106">
        <v>5.4235862938826991E-2</v>
      </c>
      <c r="S919" s="106">
        <v>14865.671641791045</v>
      </c>
      <c r="T919" s="106">
        <v>16250.533049040512</v>
      </c>
      <c r="U919" s="106">
        <v>12372.028627822467</v>
      </c>
      <c r="V919" s="106">
        <v>0.38767896606206803</v>
      </c>
      <c r="W919" s="106">
        <v>128549.35622317596</v>
      </c>
      <c r="X919" s="110">
        <v>0.65498917535918122</v>
      </c>
      <c r="Y919" s="106">
        <v>703.57500000000005</v>
      </c>
      <c r="Z919" s="106">
        <v>23.45</v>
      </c>
      <c r="AA919" s="106">
        <v>39338.857128466014</v>
      </c>
      <c r="AB919" s="106">
        <v>412.35699296085971</v>
      </c>
      <c r="AC919" s="106">
        <v>2.5420158921607037</v>
      </c>
      <c r="AD919" s="106">
        <v>34.02537485582468</v>
      </c>
      <c r="AE919" s="106">
        <v>95.4</v>
      </c>
      <c r="AF919" s="106">
        <v>-0.16792530550597282</v>
      </c>
      <c r="AG919" s="106">
        <v>4729</v>
      </c>
      <c r="AH919" s="106">
        <v>14502.132196162047</v>
      </c>
      <c r="AI919" s="106">
        <v>15028.784648187633</v>
      </c>
      <c r="AJ919" s="106">
        <v>14946.695095948828</v>
      </c>
      <c r="AK919" s="104">
        <v>13254.797441364606</v>
      </c>
      <c r="AL919" s="118">
        <v>5486000</v>
      </c>
      <c r="AM919" s="118">
        <v>1211</v>
      </c>
      <c r="AN919" s="118">
        <v>28143</v>
      </c>
      <c r="AO919" s="118">
        <v>249</v>
      </c>
      <c r="AP919" s="118">
        <f t="shared" si="14"/>
        <v>596</v>
      </c>
    </row>
    <row r="920" spans="1:42" ht="12.75">
      <c r="A920" s="106">
        <v>2018</v>
      </c>
      <c r="B920" s="106">
        <v>-175829</v>
      </c>
      <c r="C920" s="106">
        <v>0</v>
      </c>
      <c r="D920" s="106">
        <v>175829</v>
      </c>
      <c r="E920" s="106" t="s">
        <v>1596</v>
      </c>
      <c r="F920" s="106" t="s">
        <v>1597</v>
      </c>
      <c r="G920" s="106" t="s">
        <v>107</v>
      </c>
      <c r="H920" s="106">
        <v>4</v>
      </c>
      <c r="I920" s="106" t="s">
        <v>24</v>
      </c>
      <c r="J920" s="106">
        <v>2840</v>
      </c>
      <c r="K920" s="106">
        <v>6224</v>
      </c>
      <c r="L920" s="106">
        <v>4796</v>
      </c>
      <c r="M920" s="106">
        <v>0.64</v>
      </c>
      <c r="N920" s="106">
        <v>0.18</v>
      </c>
      <c r="O920" s="106">
        <v>0.55000000000000004</v>
      </c>
      <c r="P920" s="106">
        <v>2163</v>
      </c>
      <c r="Q920" s="106">
        <v>1315.5257845073513</v>
      </c>
      <c r="R920" s="106">
        <v>0.32727317890059138</v>
      </c>
      <c r="S920" s="106">
        <v>15337.717577353522</v>
      </c>
      <c r="T920" s="106">
        <v>15900.530173359666</v>
      </c>
      <c r="U920" s="106">
        <v>10544.963791968401</v>
      </c>
      <c r="V920" s="106">
        <v>0.2564381292478784</v>
      </c>
      <c r="W920" s="106">
        <v>73920.017937219731</v>
      </c>
      <c r="X920" s="110">
        <v>0.45499464826288116</v>
      </c>
      <c r="Y920" s="106">
        <v>598.79124087591242</v>
      </c>
      <c r="Z920" s="106">
        <v>19.95766423357664</v>
      </c>
      <c r="AA920" s="106">
        <v>36321.54195011338</v>
      </c>
      <c r="AB920" s="106">
        <v>351.46280097129983</v>
      </c>
      <c r="AC920" s="106">
        <v>2.7531870793741962</v>
      </c>
      <c r="AD920" s="106">
        <v>33.459787556904402</v>
      </c>
      <c r="AE920" s="106">
        <v>103.34391534391534</v>
      </c>
      <c r="AF920" s="106">
        <v>0.11367848954940689</v>
      </c>
      <c r="AG920" s="106">
        <v>2700</v>
      </c>
      <c r="AH920" s="106">
        <v>11848.834320825104</v>
      </c>
      <c r="AI920" s="106">
        <v>12170.795918367347</v>
      </c>
      <c r="AJ920" s="106">
        <v>15342.916611806013</v>
      </c>
      <c r="AK920" s="104">
        <v>14464.336405529953</v>
      </c>
      <c r="AL920" s="118">
        <v>22905536</v>
      </c>
      <c r="AM920" s="118">
        <v>5019</v>
      </c>
      <c r="AN920" s="118">
        <v>136724</v>
      </c>
      <c r="AO920" s="118">
        <v>1154</v>
      </c>
      <c r="AP920" s="118">
        <f t="shared" si="14"/>
        <v>140</v>
      </c>
    </row>
    <row r="921" spans="1:42" ht="12.75">
      <c r="A921" s="106">
        <v>2018</v>
      </c>
      <c r="B921" s="106">
        <v>-191968</v>
      </c>
      <c r="C921" s="106">
        <v>0</v>
      </c>
      <c r="D921" s="106">
        <v>191968</v>
      </c>
      <c r="E921" s="106" t="s">
        <v>1598</v>
      </c>
      <c r="F921" s="106" t="s">
        <v>944</v>
      </c>
      <c r="G921" s="106" t="s">
        <v>69</v>
      </c>
      <c r="H921" s="106">
        <v>6</v>
      </c>
      <c r="I921" s="106" t="s">
        <v>3640</v>
      </c>
      <c r="J921" s="106">
        <v>42884</v>
      </c>
      <c r="K921" s="106">
        <v>34827</v>
      </c>
      <c r="L921" s="106">
        <v>19958</v>
      </c>
      <c r="M921" s="106">
        <v>0.21</v>
      </c>
      <c r="N921" s="106">
        <v>0.72</v>
      </c>
      <c r="O921" s="106">
        <v>0.95</v>
      </c>
      <c r="P921" s="106">
        <v>24408</v>
      </c>
      <c r="Q921" s="106">
        <v>18773.150103519667</v>
      </c>
      <c r="R921" s="106">
        <v>0.46811772296983972</v>
      </c>
      <c r="S921" s="106">
        <v>34529.516858917479</v>
      </c>
      <c r="T921" s="106">
        <v>35213.640195208522</v>
      </c>
      <c r="U921" s="106">
        <v>27732.73942877879</v>
      </c>
      <c r="V921" s="106">
        <v>0.76913897114917207</v>
      </c>
      <c r="W921" s="106">
        <v>100917.9781835428</v>
      </c>
      <c r="X921" s="110">
        <v>0.59575102555120141</v>
      </c>
      <c r="Y921" s="106">
        <v>324.38895152198421</v>
      </c>
      <c r="Z921" s="106">
        <v>11.435174746335964</v>
      </c>
      <c r="AA921" s="106">
        <v>113242.01933418006</v>
      </c>
      <c r="AB921" s="106">
        <v>977.61875080753077</v>
      </c>
      <c r="AC921" s="106">
        <v>0.88306443657541533</v>
      </c>
      <c r="AD921" s="106">
        <v>25.887134594341099</v>
      </c>
      <c r="AE921" s="106">
        <v>115.83454106280193</v>
      </c>
      <c r="AF921" s="106">
        <v>3.2067793574915758E-2</v>
      </c>
      <c r="AG921" s="106">
        <v>42884</v>
      </c>
      <c r="AH921" s="106">
        <v>32805.58547766933</v>
      </c>
      <c r="AI921" s="106">
        <v>34663.779650990829</v>
      </c>
      <c r="AJ921" s="106">
        <v>38092.843833185449</v>
      </c>
      <c r="AK921" s="104">
        <v>28665.824460218872</v>
      </c>
      <c r="AL921" s="118">
        <v>536223</v>
      </c>
      <c r="AM921" s="118">
        <v>6059</v>
      </c>
      <c r="AN921" s="118">
        <v>191822</v>
      </c>
      <c r="AO921" s="118">
        <v>1383</v>
      </c>
      <c r="AP921" s="118">
        <f t="shared" si="14"/>
        <v>0</v>
      </c>
    </row>
    <row r="922" spans="1:42" ht="12.75">
      <c r="A922" s="106">
        <v>2018</v>
      </c>
      <c r="B922" s="106">
        <v>-150987</v>
      </c>
      <c r="C922" s="106">
        <v>0</v>
      </c>
      <c r="D922" s="106">
        <v>150987</v>
      </c>
      <c r="E922" s="106" t="s">
        <v>1599</v>
      </c>
      <c r="F922" s="106" t="s">
        <v>493</v>
      </c>
      <c r="G922" s="106" t="s">
        <v>161</v>
      </c>
      <c r="H922" s="106">
        <v>4</v>
      </c>
      <c r="I922" s="106" t="s">
        <v>24</v>
      </c>
      <c r="J922" s="106">
        <v>4255</v>
      </c>
      <c r="K922" s="106">
        <v>5425</v>
      </c>
      <c r="L922" s="106">
        <v>4221</v>
      </c>
      <c r="M922" s="106">
        <v>0.56999999999999995</v>
      </c>
      <c r="N922" s="106">
        <v>0.2</v>
      </c>
      <c r="O922" s="106">
        <v>0.11</v>
      </c>
      <c r="P922" s="107">
        <v>738</v>
      </c>
      <c r="Q922" s="106">
        <v>122.05287913598784</v>
      </c>
      <c r="R922" s="106">
        <v>3.165429433239797E-2</v>
      </c>
      <c r="S922" s="106">
        <v>10491.424679342223</v>
      </c>
      <c r="T922" s="106">
        <v>9672.9317618539353</v>
      </c>
      <c r="U922" s="106">
        <v>8256.2396989505269</v>
      </c>
      <c r="V922" s="106">
        <v>0.45223433281672804</v>
      </c>
      <c r="W922" s="106">
        <v>61801.035425730268</v>
      </c>
      <c r="X922" s="110">
        <v>0.55791811313311368</v>
      </c>
      <c r="Y922" s="106">
        <v>701.58369764490192</v>
      </c>
      <c r="Z922" s="106">
        <v>23.386123254830064</v>
      </c>
      <c r="AA922" s="106">
        <v>17687.096920470034</v>
      </c>
      <c r="AB922" s="106">
        <v>275.20798996501759</v>
      </c>
      <c r="AC922" s="106">
        <v>5.6538390923988056</v>
      </c>
      <c r="AD922" s="106">
        <v>65.468246517646463</v>
      </c>
      <c r="AE922" s="106">
        <v>64.268108359493084</v>
      </c>
      <c r="AF922" s="106">
        <v>8.9470123275452243E-2</v>
      </c>
      <c r="AG922" s="106">
        <v>4135</v>
      </c>
      <c r="AH922" s="106">
        <v>9858.8073520632443</v>
      </c>
      <c r="AI922" s="106">
        <v>9881.7942905729324</v>
      </c>
      <c r="AJ922" s="106">
        <v>10548.94759122239</v>
      </c>
      <c r="AK922" s="104">
        <v>9491.107187437814</v>
      </c>
      <c r="AL922" s="118">
        <v>267570136</v>
      </c>
      <c r="AM922" s="118">
        <v>75486</v>
      </c>
      <c r="AN922" s="118">
        <v>1658310</v>
      </c>
      <c r="AO922" s="118">
        <v>8995</v>
      </c>
      <c r="AP922" s="118">
        <f t="shared" si="14"/>
        <v>120</v>
      </c>
    </row>
    <row r="923" spans="1:42" ht="12.75">
      <c r="A923" s="106">
        <v>2018</v>
      </c>
      <c r="B923" s="106">
        <v>-101471</v>
      </c>
      <c r="C923" s="106">
        <v>0</v>
      </c>
      <c r="D923" s="106">
        <v>101471</v>
      </c>
      <c r="E923" s="106" t="s">
        <v>1601</v>
      </c>
      <c r="F923" s="106" t="s">
        <v>1602</v>
      </c>
      <c r="G923" s="106" t="s">
        <v>85</v>
      </c>
      <c r="H923" s="106">
        <v>4</v>
      </c>
      <c r="I923" s="106" t="s">
        <v>24</v>
      </c>
      <c r="J923" s="106">
        <v>4968</v>
      </c>
      <c r="K923" s="106">
        <v>3266</v>
      </c>
      <c r="L923" s="106">
        <v>3345</v>
      </c>
      <c r="M923" s="106">
        <v>0.2</v>
      </c>
      <c r="N923" s="106">
        <v>0</v>
      </c>
      <c r="O923" s="106">
        <v>0</v>
      </c>
      <c r="P923" s="106"/>
      <c r="Q923" s="106">
        <v>3690.138783269962</v>
      </c>
      <c r="R923" s="106">
        <v>0.8304989164222466</v>
      </c>
      <c r="S923" s="106">
        <v>25977.676806083651</v>
      </c>
      <c r="T923" s="106">
        <v>23823.884030418252</v>
      </c>
      <c r="U923" s="106">
        <v>21701.526615969582</v>
      </c>
      <c r="V923" s="106">
        <v>3.4704502486771135E-2</v>
      </c>
      <c r="W923" s="106">
        <v>86974.291139240508</v>
      </c>
      <c r="X923" s="110">
        <v>0.73106907843943236</v>
      </c>
      <c r="Y923" s="106">
        <v>394.3</v>
      </c>
      <c r="Z923" s="106">
        <v>13.15</v>
      </c>
      <c r="AA923" s="106">
        <v>14376.578085642317</v>
      </c>
      <c r="AB923" s="106">
        <v>723.75114126299775</v>
      </c>
      <c r="AC923" s="106">
        <v>6.9557581369010588</v>
      </c>
      <c r="AD923" s="106">
        <v>204.11311053984576</v>
      </c>
      <c r="AE923" s="106">
        <v>19.863979848866499</v>
      </c>
      <c r="AF923" s="106">
        <v>-0.26151666339053498</v>
      </c>
      <c r="AG923" s="106">
        <v>4284</v>
      </c>
      <c r="AH923" s="106">
        <v>25977.676806083651</v>
      </c>
      <c r="AI923" s="106">
        <v>25977.676806083651</v>
      </c>
      <c r="AJ923" s="106">
        <v>26001.072243346007</v>
      </c>
      <c r="AK923" s="104">
        <v>21701.526615969582</v>
      </c>
      <c r="AL923" s="118">
        <v>8018249</v>
      </c>
      <c r="AM923" s="118">
        <v>449</v>
      </c>
      <c r="AN923" s="118">
        <v>15772</v>
      </c>
      <c r="AO923" s="118">
        <v>0</v>
      </c>
      <c r="AP923" s="118">
        <f t="shared" si="14"/>
        <v>684</v>
      </c>
    </row>
    <row r="924" spans="1:42" ht="12.75">
      <c r="A924" s="106">
        <v>2018</v>
      </c>
      <c r="B924" s="106">
        <v>-232414</v>
      </c>
      <c r="C924" s="106">
        <v>0</v>
      </c>
      <c r="D924" s="106">
        <v>232414</v>
      </c>
      <c r="E924" s="106" t="s">
        <v>1603</v>
      </c>
      <c r="F924" s="106" t="s">
        <v>1078</v>
      </c>
      <c r="G924" s="106" t="s">
        <v>261</v>
      </c>
      <c r="H924" s="106">
        <v>4</v>
      </c>
      <c r="I924" s="106" t="s">
        <v>24</v>
      </c>
      <c r="J924" s="106">
        <v>4886</v>
      </c>
      <c r="K924" s="106">
        <v>6177</v>
      </c>
      <c r="L924" s="106">
        <v>5273</v>
      </c>
      <c r="M924" s="106">
        <v>0.48</v>
      </c>
      <c r="N924" s="106">
        <v>0.1</v>
      </c>
      <c r="O924" s="106">
        <v>0.1</v>
      </c>
      <c r="P924" s="106">
        <v>1968</v>
      </c>
      <c r="Q924" s="106">
        <v>190.68504073496274</v>
      </c>
      <c r="R924" s="106">
        <v>3.4803108084072228E-2</v>
      </c>
      <c r="S924" s="106">
        <v>11544.836366788006</v>
      </c>
      <c r="T924" s="106">
        <v>11942.515340613625</v>
      </c>
      <c r="U924" s="106">
        <v>9581.456580735161</v>
      </c>
      <c r="V924" s="106">
        <v>0.55192869337479089</v>
      </c>
      <c r="W924" s="106">
        <v>67129.486163863257</v>
      </c>
      <c r="X924" s="110">
        <v>0.59857842149624974</v>
      </c>
      <c r="Y924" s="106">
        <v>634.69437652811746</v>
      </c>
      <c r="Z924" s="106">
        <v>21.157701711491445</v>
      </c>
      <c r="AA924" s="106">
        <v>33642.984183969049</v>
      </c>
      <c r="AB924" s="106">
        <v>319.4003410046293</v>
      </c>
      <c r="AC924" s="106">
        <v>2.9723879265041599</v>
      </c>
      <c r="AD924" s="106">
        <v>33.953296135565196</v>
      </c>
      <c r="AE924" s="106">
        <v>105.33171028606208</v>
      </c>
      <c r="AF924" s="106">
        <v>-1.6064467978864586E-2</v>
      </c>
      <c r="AG924" s="106">
        <v>4376</v>
      </c>
      <c r="AH924" s="106">
        <v>10782.656439590917</v>
      </c>
      <c r="AI924" s="106">
        <v>10893.033801352054</v>
      </c>
      <c r="AJ924" s="106">
        <v>11549.157739642918</v>
      </c>
      <c r="AK924" s="104">
        <v>11233.206968278731</v>
      </c>
      <c r="AL924" s="118">
        <v>26003552</v>
      </c>
      <c r="AM924" s="118">
        <v>9334</v>
      </c>
      <c r="AN924" s="118">
        <v>173060</v>
      </c>
      <c r="AO924" s="118">
        <v>928</v>
      </c>
      <c r="AP924" s="118">
        <f t="shared" si="14"/>
        <v>510</v>
      </c>
    </row>
    <row r="925" spans="1:42" ht="12.75">
      <c r="A925" s="106">
        <v>2018</v>
      </c>
      <c r="B925" s="106">
        <v>-101462</v>
      </c>
      <c r="C925" s="106">
        <v>0</v>
      </c>
      <c r="D925" s="106">
        <v>101462</v>
      </c>
      <c r="E925" s="106" t="s">
        <v>4114</v>
      </c>
      <c r="F925" s="106" t="s">
        <v>1600</v>
      </c>
      <c r="G925" s="106" t="s">
        <v>85</v>
      </c>
      <c r="H925" s="106">
        <v>4</v>
      </c>
      <c r="I925" s="106" t="s">
        <v>24</v>
      </c>
      <c r="J925" s="106">
        <v>4410</v>
      </c>
      <c r="K925" s="106">
        <v>4884</v>
      </c>
      <c r="L925" s="106">
        <v>4711</v>
      </c>
      <c r="M925" s="106">
        <v>0.88</v>
      </c>
      <c r="N925" s="106">
        <v>0</v>
      </c>
      <c r="O925" s="106">
        <v>0.17</v>
      </c>
      <c r="P925" s="106">
        <v>2933</v>
      </c>
      <c r="Q925" s="106">
        <v>413.00520833333331</v>
      </c>
      <c r="R925" s="106">
        <v>9.1085044257749409E-2</v>
      </c>
      <c r="S925" s="106">
        <v>19427.774305555555</v>
      </c>
      <c r="T925" s="106">
        <v>18859.204861111109</v>
      </c>
      <c r="U925" s="106">
        <v>13967.638888888889</v>
      </c>
      <c r="V925" s="106">
        <v>0.29505889108753369</v>
      </c>
      <c r="W925" s="106">
        <v>65263.788079470192</v>
      </c>
      <c r="X925" s="110">
        <v>0.6048004483516467</v>
      </c>
      <c r="Y925" s="106">
        <v>432.32499999999999</v>
      </c>
      <c r="Z925" s="106">
        <v>14.4</v>
      </c>
      <c r="AA925" s="106">
        <v>36240.360360360362</v>
      </c>
      <c r="AB925" s="106">
        <v>465.23795755508007</v>
      </c>
      <c r="AC925" s="106">
        <v>2.7593544602106057</v>
      </c>
      <c r="AD925" s="106">
        <v>44.758064516129032</v>
      </c>
      <c r="AE925" s="106">
        <v>77.896396396396398</v>
      </c>
      <c r="AF925" s="106">
        <v>0.17127868259343218</v>
      </c>
      <c r="AG925" s="106">
        <v>3570</v>
      </c>
      <c r="AH925" s="106">
        <v>17935.536458333332</v>
      </c>
      <c r="AI925" s="106">
        <v>17952.842013888891</v>
      </c>
      <c r="AJ925" s="106">
        <v>19431.590277777777</v>
      </c>
      <c r="AK925" s="104">
        <v>15832.126736111111</v>
      </c>
      <c r="AL925" s="119">
        <v>5161054</v>
      </c>
      <c r="AM925" s="118">
        <v>752</v>
      </c>
      <c r="AN925" s="118">
        <v>17293</v>
      </c>
      <c r="AO925" s="118">
        <v>64</v>
      </c>
      <c r="AP925" s="118">
        <f t="shared" si="14"/>
        <v>840</v>
      </c>
    </row>
    <row r="926" spans="1:42" ht="12.75">
      <c r="A926" s="106">
        <v>2018</v>
      </c>
      <c r="B926" s="106">
        <v>-170444</v>
      </c>
      <c r="C926" s="106">
        <v>0</v>
      </c>
      <c r="D926" s="106">
        <v>170444</v>
      </c>
      <c r="E926" s="106" t="s">
        <v>1604</v>
      </c>
      <c r="F926" s="106" t="s">
        <v>273</v>
      </c>
      <c r="G926" s="106" t="s">
        <v>74</v>
      </c>
      <c r="H926" s="106">
        <v>4</v>
      </c>
      <c r="I926" s="106" t="s">
        <v>24</v>
      </c>
      <c r="J926" s="106">
        <v>5984</v>
      </c>
      <c r="K926" s="106">
        <v>8634</v>
      </c>
      <c r="L926" s="106">
        <v>7371</v>
      </c>
      <c r="M926" s="106">
        <v>0.65</v>
      </c>
      <c r="N926" s="106">
        <v>0.38</v>
      </c>
      <c r="O926" s="106">
        <v>0.15</v>
      </c>
      <c r="P926" s="106">
        <v>1592</v>
      </c>
      <c r="Q926" s="106">
        <v>411.90332163110992</v>
      </c>
      <c r="R926" s="106">
        <v>5.6308836624123407E-2</v>
      </c>
      <c r="S926" s="106">
        <v>14221.235484742101</v>
      </c>
      <c r="T926" s="106">
        <v>12314.699972994869</v>
      </c>
      <c r="U926" s="106">
        <v>11337.841194746401</v>
      </c>
      <c r="V926" s="106">
        <v>0.60886114242610689</v>
      </c>
      <c r="W926" s="106">
        <v>120136.3728129206</v>
      </c>
      <c r="X926" s="110">
        <v>0.65247597800538026</v>
      </c>
      <c r="Y926" s="106">
        <v>1633.4852941176471</v>
      </c>
      <c r="Z926" s="106">
        <v>54.455882352941174</v>
      </c>
      <c r="AA926" s="106">
        <v>52089.362213580549</v>
      </c>
      <c r="AB926" s="106">
        <v>377.9722709845056</v>
      </c>
      <c r="AC926" s="106">
        <v>1.9197777770818696</v>
      </c>
      <c r="AD926" s="106">
        <v>26.143366850470322</v>
      </c>
      <c r="AE926" s="106">
        <v>137.81265508684862</v>
      </c>
      <c r="AF926" s="106">
        <v>0.3310321143680327</v>
      </c>
      <c r="AG926" s="106">
        <v>4640</v>
      </c>
      <c r="AH926" s="106">
        <v>14124.985147177964</v>
      </c>
      <c r="AI926" s="106">
        <v>14317.284634080475</v>
      </c>
      <c r="AJ926" s="106">
        <v>14225.394004860924</v>
      </c>
      <c r="AK926" s="104">
        <v>11941.907102349447</v>
      </c>
      <c r="AL926" s="118">
        <v>17972012</v>
      </c>
      <c r="AM926" s="118">
        <v>4798</v>
      </c>
      <c r="AN926" s="118">
        <v>111077</v>
      </c>
      <c r="AO926" s="118">
        <v>645</v>
      </c>
      <c r="AP926" s="118">
        <f t="shared" si="14"/>
        <v>1344</v>
      </c>
    </row>
    <row r="927" spans="1:42" ht="12.75">
      <c r="A927" s="106">
        <v>2018</v>
      </c>
      <c r="B927" s="106">
        <v>-220400</v>
      </c>
      <c r="C927" s="106">
        <v>0</v>
      </c>
      <c r="D927" s="106">
        <v>220400</v>
      </c>
      <c r="E927" s="106" t="s">
        <v>1605</v>
      </c>
      <c r="F927" s="106" t="s">
        <v>273</v>
      </c>
      <c r="G927" s="106" t="s">
        <v>255</v>
      </c>
      <c r="H927" s="106">
        <v>4</v>
      </c>
      <c r="I927" s="106" t="s">
        <v>24</v>
      </c>
      <c r="J927" s="106">
        <v>4125</v>
      </c>
      <c r="K927" s="106">
        <v>7725</v>
      </c>
      <c r="L927" s="106">
        <v>6994</v>
      </c>
      <c r="M927" s="106">
        <v>0.66</v>
      </c>
      <c r="N927" s="106">
        <v>0.01</v>
      </c>
      <c r="O927" s="106">
        <v>0.04</v>
      </c>
      <c r="P927" s="106">
        <v>2667</v>
      </c>
      <c r="Q927" s="106">
        <v>347.00304774805284</v>
      </c>
      <c r="R927" s="106">
        <v>6.8104054115307275E-2</v>
      </c>
      <c r="S927" s="106">
        <v>11895.333897731121</v>
      </c>
      <c r="T927" s="106">
        <v>11569.090755164239</v>
      </c>
      <c r="U927" s="106">
        <v>8087.010184195874</v>
      </c>
      <c r="V927" s="106">
        <v>0.58713741458482249</v>
      </c>
      <c r="W927" s="106">
        <v>68662.806122448979</v>
      </c>
      <c r="X927" s="110">
        <v>0.59088940617222607</v>
      </c>
      <c r="Y927" s="106">
        <v>606.78082191780823</v>
      </c>
      <c r="Z927" s="106">
        <v>20.226027397260275</v>
      </c>
      <c r="AA927" s="106">
        <v>31969.131290402165</v>
      </c>
      <c r="AB927" s="106">
        <v>269.56700613986249</v>
      </c>
      <c r="AC927" s="106">
        <v>3.1280174331800561</v>
      </c>
      <c r="AD927" s="106">
        <v>24.229646448264678</v>
      </c>
      <c r="AE927" s="106">
        <v>118.59437751004016</v>
      </c>
      <c r="AF927" s="106">
        <v>4.2603808786405323E-2</v>
      </c>
      <c r="AG927" s="106">
        <v>3840</v>
      </c>
      <c r="AH927" s="106">
        <v>11738.943785980358</v>
      </c>
      <c r="AI927" s="106">
        <v>11759.82898747037</v>
      </c>
      <c r="AJ927" s="106">
        <v>11982.356247883508</v>
      </c>
      <c r="AK927" s="104">
        <v>9954.6806637317986</v>
      </c>
      <c r="AL927" s="119">
        <v>13697796</v>
      </c>
      <c r="AM927" s="118">
        <v>4746</v>
      </c>
      <c r="AN927" s="118">
        <v>88590</v>
      </c>
      <c r="AO927" s="118">
        <v>542</v>
      </c>
      <c r="AP927" s="118">
        <f t="shared" si="14"/>
        <v>285</v>
      </c>
    </row>
    <row r="928" spans="1:42" ht="12.75">
      <c r="A928" s="106">
        <v>2018</v>
      </c>
      <c r="B928" s="106">
        <v>-175856</v>
      </c>
      <c r="C928" s="106">
        <v>0</v>
      </c>
      <c r="D928" s="106">
        <v>175856</v>
      </c>
      <c r="E928" s="106" t="s">
        <v>1606</v>
      </c>
      <c r="F928" s="106" t="s">
        <v>273</v>
      </c>
      <c r="G928" s="106" t="s">
        <v>107</v>
      </c>
      <c r="H928" s="106">
        <v>1</v>
      </c>
      <c r="I928" s="106" t="s">
        <v>23</v>
      </c>
      <c r="J928" s="106">
        <v>7621</v>
      </c>
      <c r="K928" s="106">
        <v>12541</v>
      </c>
      <c r="L928" s="106">
        <v>12825</v>
      </c>
      <c r="M928" s="106">
        <v>0.55000000000000004</v>
      </c>
      <c r="N928" s="106">
        <v>0.56999999999999995</v>
      </c>
      <c r="O928" s="106">
        <v>0.35</v>
      </c>
      <c r="P928" s="106">
        <v>8223</v>
      </c>
      <c r="Q928" s="106">
        <v>1951.0329544003066</v>
      </c>
      <c r="R928" s="106">
        <v>0.24903654397734459</v>
      </c>
      <c r="S928" s="106">
        <v>21718.607357261462</v>
      </c>
      <c r="T928" s="106">
        <v>24544.058117256354</v>
      </c>
      <c r="U928" s="106">
        <v>16842.932298267733</v>
      </c>
      <c r="V928" s="106">
        <v>0.34930324870317037</v>
      </c>
      <c r="W928" s="106">
        <v>89347.583834909718</v>
      </c>
      <c r="X928" s="110">
        <v>0.54076660471803162</v>
      </c>
      <c r="Y928" s="106">
        <v>514.77718631178709</v>
      </c>
      <c r="Z928" s="106">
        <v>17.86083650190114</v>
      </c>
      <c r="AA928" s="106">
        <v>82985.095634448124</v>
      </c>
      <c r="AB928" s="106">
        <v>584.38654235493993</v>
      </c>
      <c r="AC928" s="106">
        <v>1.2050356661695378</v>
      </c>
      <c r="AD928" s="106">
        <v>21.397791543226504</v>
      </c>
      <c r="AE928" s="106">
        <v>142.0037759597231</v>
      </c>
      <c r="AF928" s="106">
        <v>-0.1377383345619769</v>
      </c>
      <c r="AG928" s="106">
        <v>7501</v>
      </c>
      <c r="AH928" s="106">
        <v>20888.618597522032</v>
      </c>
      <c r="AI928" s="106">
        <v>20888.618597522032</v>
      </c>
      <c r="AJ928" s="106">
        <v>21934.708902797291</v>
      </c>
      <c r="AK928" s="104">
        <v>21781.885298250098</v>
      </c>
      <c r="AL928" s="119">
        <v>45259170</v>
      </c>
      <c r="AM928" s="118">
        <v>6500</v>
      </c>
      <c r="AN928" s="118">
        <v>225644</v>
      </c>
      <c r="AO928" s="118">
        <v>1109</v>
      </c>
      <c r="AP928" s="118">
        <f t="shared" si="14"/>
        <v>120</v>
      </c>
    </row>
    <row r="929" spans="1:42" ht="12.75">
      <c r="A929" s="106">
        <v>2018</v>
      </c>
      <c r="B929" s="106">
        <v>-101480</v>
      </c>
      <c r="C929" s="106">
        <v>0</v>
      </c>
      <c r="D929" s="106">
        <v>101480</v>
      </c>
      <c r="E929" s="106" t="s">
        <v>1607</v>
      </c>
      <c r="F929" s="106" t="s">
        <v>792</v>
      </c>
      <c r="G929" s="106" t="s">
        <v>85</v>
      </c>
      <c r="H929" s="106">
        <v>2</v>
      </c>
      <c r="I929" s="106" t="s">
        <v>25</v>
      </c>
      <c r="J929" s="106">
        <v>10020</v>
      </c>
      <c r="K929" s="106">
        <v>12243</v>
      </c>
      <c r="L929" s="106">
        <v>14370</v>
      </c>
      <c r="M929" s="106">
        <v>0.44</v>
      </c>
      <c r="N929" s="106">
        <v>0.59</v>
      </c>
      <c r="O929" s="106">
        <v>0.57999999999999996</v>
      </c>
      <c r="P929" s="106">
        <v>7013</v>
      </c>
      <c r="Q929" s="106">
        <v>3272.8390004096682</v>
      </c>
      <c r="R929" s="106">
        <v>0.32889175540674059</v>
      </c>
      <c r="S929" s="106">
        <v>17336.47412262734</v>
      </c>
      <c r="T929" s="106">
        <v>22784.241431107468</v>
      </c>
      <c r="U929" s="106">
        <v>17608.441134730365</v>
      </c>
      <c r="V929" s="106">
        <v>0.37926548297775381</v>
      </c>
      <c r="W929" s="106">
        <v>80645.46355585831</v>
      </c>
      <c r="X929" s="110">
        <v>0.47303266426529378</v>
      </c>
      <c r="Y929" s="106">
        <v>586.03542234332429</v>
      </c>
      <c r="Z929" s="106">
        <v>19.95367847411444</v>
      </c>
      <c r="AA929" s="106">
        <v>77029.040877915453</v>
      </c>
      <c r="AB929" s="106">
        <v>599.54255227074498</v>
      </c>
      <c r="AC929" s="106">
        <v>1.2982116726403432</v>
      </c>
      <c r="AD929" s="106">
        <v>24.420131291028447</v>
      </c>
      <c r="AE929" s="106">
        <v>128.47968936678615</v>
      </c>
      <c r="AF929" s="106">
        <v>1.8549158647081996</v>
      </c>
      <c r="AG929" s="106">
        <v>9270</v>
      </c>
      <c r="AH929" s="106">
        <v>15632.800764713915</v>
      </c>
      <c r="AI929" s="106">
        <v>15632.800764713915</v>
      </c>
      <c r="AJ929" s="106">
        <v>17496.517820565343</v>
      </c>
      <c r="AK929" s="104">
        <v>20779.43943738905</v>
      </c>
      <c r="AL929" s="119">
        <v>38898000</v>
      </c>
      <c r="AM929" s="118">
        <v>7491</v>
      </c>
      <c r="AN929" s="118">
        <v>215075</v>
      </c>
      <c r="AO929" s="118">
        <v>1304</v>
      </c>
      <c r="AP929" s="118">
        <f t="shared" si="14"/>
        <v>750</v>
      </c>
    </row>
    <row r="930" spans="1:42" ht="12.75">
      <c r="A930" s="106">
        <v>2018</v>
      </c>
      <c r="B930" s="106">
        <v>-134945</v>
      </c>
      <c r="C930" s="106">
        <v>0</v>
      </c>
      <c r="D930" s="106">
        <v>134945</v>
      </c>
      <c r="E930" s="106" t="s">
        <v>1608</v>
      </c>
      <c r="F930" s="106" t="s">
        <v>792</v>
      </c>
      <c r="G930" s="106" t="s">
        <v>258</v>
      </c>
      <c r="H930" s="106">
        <v>6</v>
      </c>
      <c r="I930" s="106" t="s">
        <v>3640</v>
      </c>
      <c r="J930" s="106">
        <v>35260</v>
      </c>
      <c r="K930" s="106">
        <v>21820</v>
      </c>
      <c r="L930" s="106">
        <v>17486</v>
      </c>
      <c r="M930" s="106">
        <v>0.43</v>
      </c>
      <c r="N930" s="106">
        <v>0.61</v>
      </c>
      <c r="O930" s="106">
        <v>0.97</v>
      </c>
      <c r="P930" s="106">
        <v>25209</v>
      </c>
      <c r="Q930" s="106">
        <v>10299.628860489884</v>
      </c>
      <c r="R930" s="106">
        <v>0.39744603662054101</v>
      </c>
      <c r="S930" s="106">
        <v>24481.333333333332</v>
      </c>
      <c r="T930" s="106">
        <v>26111.203407880723</v>
      </c>
      <c r="U930" s="106">
        <v>22517.75806512971</v>
      </c>
      <c r="V930" s="106">
        <v>0.69344848510909751</v>
      </c>
      <c r="W930" s="106">
        <v>85060.724586880329</v>
      </c>
      <c r="X930" s="110">
        <v>0.57734235117923582</v>
      </c>
      <c r="Y930" s="106">
        <v>377.78883495145629</v>
      </c>
      <c r="Z930" s="106">
        <v>13.674757281553397</v>
      </c>
      <c r="AA930" s="106">
        <v>72102.897947678764</v>
      </c>
      <c r="AB930" s="106">
        <v>815.07140385701666</v>
      </c>
      <c r="AC930" s="106">
        <v>1.3869068074429503</v>
      </c>
      <c r="AD930" s="106">
        <v>36.248454882571075</v>
      </c>
      <c r="AE930" s="106">
        <v>88.46206308610401</v>
      </c>
      <c r="AF930" s="106">
        <v>-3.7269504895327751E-2</v>
      </c>
      <c r="AG930" s="106">
        <v>35260</v>
      </c>
      <c r="AH930" s="106">
        <v>22127.6285942492</v>
      </c>
      <c r="AI930" s="106">
        <v>23771.308306709267</v>
      </c>
      <c r="AJ930" s="106">
        <v>25139.755058572951</v>
      </c>
      <c r="AK930" s="104">
        <v>23288.652555910543</v>
      </c>
      <c r="AL930" s="118"/>
      <c r="AM930" s="118">
        <v>2877</v>
      </c>
      <c r="AN930" s="118">
        <v>103766</v>
      </c>
      <c r="AO930" s="118">
        <v>706</v>
      </c>
      <c r="AP930" s="118">
        <f t="shared" si="14"/>
        <v>0</v>
      </c>
    </row>
    <row r="931" spans="1:42" ht="12.75">
      <c r="A931" s="106">
        <v>2018</v>
      </c>
      <c r="B931" s="106">
        <v>-203678</v>
      </c>
      <c r="C931" s="106">
        <v>0</v>
      </c>
      <c r="D931" s="106">
        <v>203678</v>
      </c>
      <c r="E931" s="106" t="s">
        <v>1609</v>
      </c>
      <c r="F931" s="106" t="s">
        <v>1610</v>
      </c>
      <c r="G931" s="106" t="s">
        <v>82</v>
      </c>
      <c r="H931" s="106">
        <v>4</v>
      </c>
      <c r="I931" s="106" t="s">
        <v>24</v>
      </c>
      <c r="J931" s="106">
        <v>3845</v>
      </c>
      <c r="K931" s="106">
        <v>7735</v>
      </c>
      <c r="L931" s="106">
        <v>6318</v>
      </c>
      <c r="M931" s="106">
        <v>0.46</v>
      </c>
      <c r="N931" s="106">
        <v>0.38</v>
      </c>
      <c r="O931" s="106">
        <v>0.35</v>
      </c>
      <c r="P931" s="107">
        <v>1854</v>
      </c>
      <c r="Q931" s="106">
        <v>103.70459933617829</v>
      </c>
      <c r="R931" s="106">
        <v>2.3145812597791068E-2</v>
      </c>
      <c r="S931" s="106">
        <v>11086.464201043149</v>
      </c>
      <c r="T931" s="106">
        <v>10654.507823613087</v>
      </c>
      <c r="U931" s="106">
        <v>6899.9095462695695</v>
      </c>
      <c r="V931" s="106">
        <v>0.63432514951474028</v>
      </c>
      <c r="W931" s="106">
        <v>28814.248291571752</v>
      </c>
      <c r="X931" s="110">
        <v>0.37529310281986172</v>
      </c>
      <c r="Y931" s="106">
        <v>381.1144578313253</v>
      </c>
      <c r="Z931" s="106">
        <v>12.704819277108435</v>
      </c>
      <c r="AA931" s="106">
        <v>24498.163692058119</v>
      </c>
      <c r="AB931" s="106">
        <v>230.0151621446696</v>
      </c>
      <c r="AC931" s="106">
        <v>4.0819385998477218</v>
      </c>
      <c r="AD931" s="106">
        <v>32.655305112699281</v>
      </c>
      <c r="AE931" s="106">
        <v>106.50673400673401</v>
      </c>
      <c r="AF931" s="106">
        <v>0.19294831712002952</v>
      </c>
      <c r="AG931" s="106">
        <v>3845</v>
      </c>
      <c r="AH931" s="106">
        <v>10362.421526789947</v>
      </c>
      <c r="AI931" s="106">
        <v>10367.936462778567</v>
      </c>
      <c r="AJ931" s="106">
        <v>11115.351351351352</v>
      </c>
      <c r="AK931" s="104">
        <v>8774.6685633001416</v>
      </c>
      <c r="AL931" s="118">
        <v>10382192</v>
      </c>
      <c r="AM931" s="118">
        <v>3760</v>
      </c>
      <c r="AN931" s="118">
        <v>63265</v>
      </c>
      <c r="AO931" s="118">
        <v>428</v>
      </c>
      <c r="AP931" s="118">
        <f t="shared" si="14"/>
        <v>0</v>
      </c>
    </row>
    <row r="932" spans="1:42" ht="12.75">
      <c r="A932" s="106">
        <v>2018</v>
      </c>
      <c r="B932" s="106">
        <v>-232423</v>
      </c>
      <c r="C932" s="106">
        <v>0</v>
      </c>
      <c r="D932" s="106">
        <v>232423</v>
      </c>
      <c r="E932" s="106" t="s">
        <v>1612</v>
      </c>
      <c r="F932" s="106" t="s">
        <v>1117</v>
      </c>
      <c r="G932" s="106" t="s">
        <v>261</v>
      </c>
      <c r="H932" s="106">
        <v>2</v>
      </c>
      <c r="I932" s="106" t="s">
        <v>25</v>
      </c>
      <c r="J932" s="106">
        <v>10830</v>
      </c>
      <c r="K932" s="106">
        <v>17753</v>
      </c>
      <c r="L932" s="106">
        <v>13426</v>
      </c>
      <c r="M932" s="106">
        <v>0.15</v>
      </c>
      <c r="N932" s="106">
        <v>0.43</v>
      </c>
      <c r="O932" s="106">
        <v>0.16</v>
      </c>
      <c r="P932" s="106">
        <v>6821</v>
      </c>
      <c r="Q932" s="106">
        <v>1082.0727922505407</v>
      </c>
      <c r="R932" s="106">
        <v>9.6036576045590683E-2</v>
      </c>
      <c r="S932" s="106">
        <v>25880.43962193172</v>
      </c>
      <c r="T932" s="106">
        <v>25817.160773064985</v>
      </c>
      <c r="U932" s="106">
        <v>15361.08637883655</v>
      </c>
      <c r="V932" s="106">
        <v>0.66305375129941146</v>
      </c>
      <c r="W932" s="106">
        <v>85900.868645342416</v>
      </c>
      <c r="X932" s="110">
        <v>0.52012512242072662</v>
      </c>
      <c r="Y932" s="106">
        <v>529.06642274134538</v>
      </c>
      <c r="Z932" s="106">
        <v>17.956093442161556</v>
      </c>
      <c r="AA932" s="106">
        <v>61717.147729517863</v>
      </c>
      <c r="AB932" s="106">
        <v>521.34304982410868</v>
      </c>
      <c r="AC932" s="106">
        <v>1.6202952287792189</v>
      </c>
      <c r="AD932" s="106">
        <v>25.618314699191714</v>
      </c>
      <c r="AE932" s="106">
        <v>118.38106933686001</v>
      </c>
      <c r="AF932" s="106">
        <v>2.2870445568049493E-2</v>
      </c>
      <c r="AG932" s="106">
        <v>6250</v>
      </c>
      <c r="AH932" s="106">
        <v>25830.647512461204</v>
      </c>
      <c r="AI932" s="106">
        <v>25830.911078717199</v>
      </c>
      <c r="AJ932" s="106">
        <v>25970.488291169004</v>
      </c>
      <c r="AK932" s="104">
        <v>17262.932944606415</v>
      </c>
      <c r="AL932" s="118">
        <v>93275156</v>
      </c>
      <c r="AM932" s="118">
        <v>19975</v>
      </c>
      <c r="AN932" s="118">
        <v>626591</v>
      </c>
      <c r="AO932" s="118">
        <v>4450</v>
      </c>
      <c r="AP932" s="118">
        <f t="shared" si="14"/>
        <v>4580</v>
      </c>
    </row>
    <row r="933" spans="1:42" ht="12.75">
      <c r="A933" s="106">
        <v>2018</v>
      </c>
      <c r="B933" s="106">
        <v>-198729</v>
      </c>
      <c r="C933" s="106">
        <v>0</v>
      </c>
      <c r="D933" s="106">
        <v>198729</v>
      </c>
      <c r="E933" s="106" t="s">
        <v>1613</v>
      </c>
      <c r="F933" s="106" t="s">
        <v>1614</v>
      </c>
      <c r="G933" s="106" t="s">
        <v>90</v>
      </c>
      <c r="H933" s="106">
        <v>4</v>
      </c>
      <c r="I933" s="106" t="s">
        <v>24</v>
      </c>
      <c r="J933" s="106">
        <v>2542</v>
      </c>
      <c r="K933" s="106">
        <v>4282</v>
      </c>
      <c r="L933" s="106">
        <v>3393</v>
      </c>
      <c r="M933" s="106">
        <v>0.92</v>
      </c>
      <c r="N933" s="106">
        <v>0.02</v>
      </c>
      <c r="O933" s="106">
        <v>7.0000000000000007E-2</v>
      </c>
      <c r="P933" s="106">
        <v>1914</v>
      </c>
      <c r="Q933" s="106">
        <v>36.130054644808745</v>
      </c>
      <c r="R933" s="106">
        <v>2.0480139363324698E-2</v>
      </c>
      <c r="S933" s="106">
        <v>16258.131147540984</v>
      </c>
      <c r="T933" s="106">
        <v>17502.015300546449</v>
      </c>
      <c r="U933" s="106">
        <v>13266.106010928961</v>
      </c>
      <c r="V933" s="106">
        <v>0.13025832626422057</v>
      </c>
      <c r="W933" s="106">
        <v>51561.850671140935</v>
      </c>
      <c r="X933" s="110">
        <v>0.63965286370768604</v>
      </c>
      <c r="Y933" s="106">
        <v>413.9095477386935</v>
      </c>
      <c r="Z933" s="106">
        <v>13.793969849246231</v>
      </c>
      <c r="AA933" s="106">
        <v>39283.12944983819</v>
      </c>
      <c r="AB933" s="106">
        <v>442.10689831002333</v>
      </c>
      <c r="AC933" s="106">
        <v>2.54562203674972</v>
      </c>
      <c r="AD933" s="106">
        <v>44.717800289435601</v>
      </c>
      <c r="AE933" s="106">
        <v>88.854368932038838</v>
      </c>
      <c r="AF933" s="106">
        <v>-6.8872416702555117E-2</v>
      </c>
      <c r="AG933" s="106">
        <v>2432</v>
      </c>
      <c r="AH933" s="106">
        <v>15173.629508196722</v>
      </c>
      <c r="AI933" s="106">
        <v>15173.629508196722</v>
      </c>
      <c r="AJ933" s="106">
        <v>16269.069945355192</v>
      </c>
      <c r="AK933" s="104">
        <v>14617.024043715846</v>
      </c>
      <c r="AL933" s="119">
        <v>9007109</v>
      </c>
      <c r="AM933" s="118">
        <v>1219</v>
      </c>
      <c r="AN933" s="118">
        <v>27456</v>
      </c>
      <c r="AO933" s="118">
        <v>161</v>
      </c>
      <c r="AP933" s="118">
        <f t="shared" si="14"/>
        <v>110</v>
      </c>
    </row>
    <row r="934" spans="1:42" ht="12.75">
      <c r="A934" s="106">
        <v>2018</v>
      </c>
      <c r="B934" s="106">
        <v>-191986</v>
      </c>
      <c r="C934" s="106">
        <v>0</v>
      </c>
      <c r="D934" s="106">
        <v>191986</v>
      </c>
      <c r="E934" s="106" t="s">
        <v>1615</v>
      </c>
      <c r="F934" s="106" t="s">
        <v>1403</v>
      </c>
      <c r="G934" s="106" t="s">
        <v>69</v>
      </c>
      <c r="H934" s="106">
        <v>4</v>
      </c>
      <c r="I934" s="106" t="s">
        <v>24</v>
      </c>
      <c r="J934" s="106">
        <v>5670</v>
      </c>
      <c r="K934" s="106">
        <v>8255</v>
      </c>
      <c r="L934" s="106">
        <v>5819</v>
      </c>
      <c r="M934" s="106">
        <v>0.64</v>
      </c>
      <c r="N934" s="106">
        <v>0.34</v>
      </c>
      <c r="O934" s="106">
        <v>0.26</v>
      </c>
      <c r="P934" s="107">
        <v>2346</v>
      </c>
      <c r="Q934" s="106">
        <v>215.36956521739131</v>
      </c>
      <c r="R934" s="106">
        <v>4.0866970168544361E-2</v>
      </c>
      <c r="S934" s="106">
        <v>13634.798820928519</v>
      </c>
      <c r="T934" s="106">
        <v>14852.317612380251</v>
      </c>
      <c r="U934" s="106">
        <v>12749.995963865653</v>
      </c>
      <c r="V934" s="106">
        <v>0.39644294197590385</v>
      </c>
      <c r="W934" s="106">
        <v>80258.238993710693</v>
      </c>
      <c r="X934" s="110">
        <v>0.63315884045300841</v>
      </c>
      <c r="Y934" s="106">
        <v>565.33333333333337</v>
      </c>
      <c r="Z934" s="106">
        <v>18.847222222222221</v>
      </c>
      <c r="AA934" s="106">
        <v>49646.325747390794</v>
      </c>
      <c r="AB934" s="106">
        <v>425.06251284801721</v>
      </c>
      <c r="AC934" s="106">
        <v>2.0142477513606449</v>
      </c>
      <c r="AD934" s="106">
        <v>24.311126613184513</v>
      </c>
      <c r="AE934" s="106">
        <v>116.79770444763271</v>
      </c>
      <c r="AF934" s="106">
        <v>3.5461900955971524E-3</v>
      </c>
      <c r="AG934" s="106">
        <v>4750</v>
      </c>
      <c r="AH934" s="106">
        <v>13230.870302137067</v>
      </c>
      <c r="AI934" s="106">
        <v>13255.314664701547</v>
      </c>
      <c r="AJ934" s="106">
        <v>13635.940309506264</v>
      </c>
      <c r="AK934" s="104">
        <v>14736.203389830509</v>
      </c>
      <c r="AL934" s="119">
        <v>14817559</v>
      </c>
      <c r="AM934" s="118">
        <v>4463</v>
      </c>
      <c r="AN934" s="118">
        <v>81408</v>
      </c>
      <c r="AO934" s="118">
        <v>636</v>
      </c>
      <c r="AP934" s="118">
        <f t="shared" si="14"/>
        <v>920</v>
      </c>
    </row>
    <row r="935" spans="1:42" ht="12.75">
      <c r="A935" s="106">
        <v>2018</v>
      </c>
      <c r="B935" s="106">
        <v>-225885</v>
      </c>
      <c r="C935" s="106">
        <v>0</v>
      </c>
      <c r="D935" s="106">
        <v>225885</v>
      </c>
      <c r="E935" s="106" t="s">
        <v>1616</v>
      </c>
      <c r="F935" s="106" t="s">
        <v>1617</v>
      </c>
      <c r="G935" s="106" t="s">
        <v>60</v>
      </c>
      <c r="H935" s="106">
        <v>7</v>
      </c>
      <c r="I935" s="106" t="s">
        <v>3641</v>
      </c>
      <c r="J935" s="106">
        <v>11720</v>
      </c>
      <c r="K935" s="106">
        <v>12220</v>
      </c>
      <c r="L935" s="106">
        <v>12039</v>
      </c>
      <c r="M935" s="106">
        <v>0.97</v>
      </c>
      <c r="N935" s="106">
        <v>0.91</v>
      </c>
      <c r="O935" s="106">
        <v>0.63</v>
      </c>
      <c r="P935" s="107">
        <v>5313</v>
      </c>
      <c r="Q935" s="106">
        <v>3089.8253968253966</v>
      </c>
      <c r="R935" s="106">
        <v>0.27815597048153551</v>
      </c>
      <c r="S935" s="106">
        <v>19134.405291005292</v>
      </c>
      <c r="T935" s="106">
        <v>19284.149206349208</v>
      </c>
      <c r="U935" s="106">
        <v>13904.392522572976</v>
      </c>
      <c r="V935" s="106">
        <v>0.57668267126411876</v>
      </c>
      <c r="W935" s="106">
        <v>50805.803203661329</v>
      </c>
      <c r="X935" s="110">
        <v>0.40610768906842976</v>
      </c>
      <c r="Y935" s="106">
        <v>659.55813953488371</v>
      </c>
      <c r="Z935" s="106">
        <v>21.976744186046513</v>
      </c>
      <c r="AA935" s="106">
        <v>149314.2151571757</v>
      </c>
      <c r="AB935" s="106">
        <v>463.29998708901178</v>
      </c>
      <c r="AC935" s="106">
        <v>0.66972859814274843</v>
      </c>
      <c r="AD935" s="106">
        <v>10.185185185185185</v>
      </c>
      <c r="AE935" s="106">
        <v>322.28409090909093</v>
      </c>
      <c r="AF935" s="106">
        <v>0.10922981206489681</v>
      </c>
      <c r="AG935" s="106">
        <v>10400</v>
      </c>
      <c r="AH935" s="106">
        <v>17303.106878306877</v>
      </c>
      <c r="AI935" s="106">
        <v>18530.766137566137</v>
      </c>
      <c r="AJ935" s="106">
        <v>21966.13015873016</v>
      </c>
      <c r="AK935" s="104">
        <v>14681.895238095238</v>
      </c>
      <c r="AL935" s="118"/>
      <c r="AM935" s="118">
        <v>909</v>
      </c>
      <c r="AN935" s="118">
        <v>28361</v>
      </c>
      <c r="AO935" s="118">
        <v>88</v>
      </c>
      <c r="AP935" s="118">
        <f t="shared" si="14"/>
        <v>1320</v>
      </c>
    </row>
    <row r="936" spans="1:42" ht="12.75">
      <c r="A936" s="106">
        <v>2018</v>
      </c>
      <c r="B936" s="106">
        <v>-177676</v>
      </c>
      <c r="C936" s="106">
        <v>0</v>
      </c>
      <c r="D936" s="106">
        <v>177676</v>
      </c>
      <c r="E936" s="106" t="s">
        <v>1618</v>
      </c>
      <c r="F936" s="106" t="s">
        <v>1478</v>
      </c>
      <c r="G936" s="106" t="s">
        <v>264</v>
      </c>
      <c r="H936" s="106">
        <v>4</v>
      </c>
      <c r="I936" s="106" t="s">
        <v>24</v>
      </c>
      <c r="J936" s="106">
        <v>3300</v>
      </c>
      <c r="K936" s="106">
        <v>7537</v>
      </c>
      <c r="L936" s="106">
        <v>7090</v>
      </c>
      <c r="M936" s="106">
        <v>0.49</v>
      </c>
      <c r="N936" s="106">
        <v>0.13</v>
      </c>
      <c r="O936" s="106">
        <v>0.12</v>
      </c>
      <c r="P936" s="107">
        <v>3411</v>
      </c>
      <c r="Q936" s="106">
        <v>315.09387617765816</v>
      </c>
      <c r="R936" s="106">
        <v>8.1216016135332539E-2</v>
      </c>
      <c r="S936" s="106">
        <v>14162.800134589503</v>
      </c>
      <c r="T936" s="106">
        <v>13827.808209959623</v>
      </c>
      <c r="U936" s="106">
        <v>11444.662693389397</v>
      </c>
      <c r="V936" s="106">
        <v>0.31146460412387944</v>
      </c>
      <c r="W936" s="106">
        <v>73018.426794258383</v>
      </c>
      <c r="X936" s="110">
        <v>0.61890694347118713</v>
      </c>
      <c r="Y936" s="106">
        <v>575.21290322580649</v>
      </c>
      <c r="Z936" s="106">
        <v>19.174193548387098</v>
      </c>
      <c r="AA936" s="106">
        <v>37876.990562086066</v>
      </c>
      <c r="AB936" s="106">
        <v>381.49731403523282</v>
      </c>
      <c r="AC936" s="106">
        <v>2.6401252717288877</v>
      </c>
      <c r="AD936" s="106">
        <v>31.061916291940506</v>
      </c>
      <c r="AE936" s="106">
        <v>99.285077951002222</v>
      </c>
      <c r="AF936" s="106">
        <v>4.2030490854516336E-2</v>
      </c>
      <c r="AG936" s="106">
        <v>3150</v>
      </c>
      <c r="AH936" s="106">
        <v>12901.438425302826</v>
      </c>
      <c r="AI936" s="106">
        <v>12901.438425302826</v>
      </c>
      <c r="AJ936" s="106">
        <v>14201.169246298788</v>
      </c>
      <c r="AK936" s="104">
        <v>13362.309219380888</v>
      </c>
      <c r="AL936" s="118">
        <v>18537088</v>
      </c>
      <c r="AM936" s="118">
        <v>4439</v>
      </c>
      <c r="AN936" s="118">
        <v>89158</v>
      </c>
      <c r="AO936" s="118">
        <v>734</v>
      </c>
      <c r="AP936" s="118">
        <f t="shared" si="14"/>
        <v>150</v>
      </c>
    </row>
    <row r="937" spans="1:42" ht="12.75">
      <c r="A937" s="106">
        <v>2018</v>
      </c>
      <c r="B937" s="106">
        <v>-156921</v>
      </c>
      <c r="C937" s="106">
        <v>0</v>
      </c>
      <c r="D937" s="106">
        <v>156921</v>
      </c>
      <c r="E937" s="106" t="s">
        <v>4115</v>
      </c>
      <c r="F937" s="106" t="s">
        <v>319</v>
      </c>
      <c r="G937" s="106" t="s">
        <v>118</v>
      </c>
      <c r="H937" s="106">
        <v>4</v>
      </c>
      <c r="I937" s="106" t="s">
        <v>24</v>
      </c>
      <c r="J937" s="106">
        <v>4160</v>
      </c>
      <c r="K937" s="106">
        <v>6376</v>
      </c>
      <c r="L937" s="106">
        <v>4518</v>
      </c>
      <c r="M937" s="106">
        <v>0.55000000000000004</v>
      </c>
      <c r="N937" s="106">
        <v>0.21</v>
      </c>
      <c r="O937" s="106">
        <v>0.05</v>
      </c>
      <c r="P937" s="106">
        <v>3589</v>
      </c>
      <c r="Q937" s="106">
        <v>3019.9195544554455</v>
      </c>
      <c r="R937" s="106">
        <v>0.56955091054427898</v>
      </c>
      <c r="S937" s="106">
        <v>10569.921565594059</v>
      </c>
      <c r="T937" s="106">
        <v>8850.453898514852</v>
      </c>
      <c r="U937" s="106">
        <v>6944.4555627473674</v>
      </c>
      <c r="V937" s="106">
        <v>0.32865966934871671</v>
      </c>
      <c r="W937" s="106">
        <v>60396.698307134218</v>
      </c>
      <c r="X937" s="110">
        <v>0.58205035213309775</v>
      </c>
      <c r="Y937" s="106">
        <v>692.6035714285714</v>
      </c>
      <c r="Z937" s="106">
        <v>23.085714285714285</v>
      </c>
      <c r="AA937" s="106">
        <v>10882.17230487248</v>
      </c>
      <c r="AB937" s="106">
        <v>231.4711093111344</v>
      </c>
      <c r="AC937" s="106">
        <v>9.1893417231801333</v>
      </c>
      <c r="AD937" s="106">
        <v>63.637766121567417</v>
      </c>
      <c r="AE937" s="106">
        <v>47.013090909090906</v>
      </c>
      <c r="AF937" s="106"/>
      <c r="AG937" s="106">
        <v>3888</v>
      </c>
      <c r="AH937" s="106">
        <v>9804.4956683168311</v>
      </c>
      <c r="AI937" s="106">
        <v>9841.2818688118805</v>
      </c>
      <c r="AJ937" s="106">
        <v>10591.284344059406</v>
      </c>
      <c r="AK937" s="104">
        <v>8459.8406559405939</v>
      </c>
      <c r="AL937" s="118">
        <v>21298500</v>
      </c>
      <c r="AM937" s="118">
        <v>12250</v>
      </c>
      <c r="AN937" s="118">
        <v>193929</v>
      </c>
      <c r="AO937" s="118">
        <v>1335</v>
      </c>
      <c r="AP937" s="118">
        <f t="shared" si="14"/>
        <v>272</v>
      </c>
    </row>
    <row r="938" spans="1:42" ht="12.75">
      <c r="A938" s="106">
        <v>2018</v>
      </c>
      <c r="B938" s="106">
        <v>-192022</v>
      </c>
      <c r="C938" s="106">
        <v>0</v>
      </c>
      <c r="D938" s="106">
        <v>192022</v>
      </c>
      <c r="E938" s="106" t="s">
        <v>1619</v>
      </c>
      <c r="F938" s="106" t="s">
        <v>1620</v>
      </c>
      <c r="G938" s="106" t="s">
        <v>69</v>
      </c>
      <c r="H938" s="106">
        <v>4</v>
      </c>
      <c r="I938" s="106" t="s">
        <v>24</v>
      </c>
      <c r="J938" s="106">
        <v>5257</v>
      </c>
      <c r="K938" s="106">
        <v>10603</v>
      </c>
      <c r="L938" s="106">
        <v>8832</v>
      </c>
      <c r="M938" s="106">
        <v>0.62</v>
      </c>
      <c r="N938" s="106">
        <v>0.49</v>
      </c>
      <c r="O938" s="106">
        <v>0.15</v>
      </c>
      <c r="P938" s="106">
        <v>1319</v>
      </c>
      <c r="Q938" s="106">
        <v>103.55721795390214</v>
      </c>
      <c r="R938" s="106">
        <v>1.9841945931187387E-2</v>
      </c>
      <c r="S938" s="106">
        <v>19304.342903356246</v>
      </c>
      <c r="T938" s="106">
        <v>15814.742822482815</v>
      </c>
      <c r="U938" s="106">
        <v>11954.787956111142</v>
      </c>
      <c r="V938" s="106">
        <v>0.42790794324615544</v>
      </c>
      <c r="W938" s="106">
        <v>76529.49069767441</v>
      </c>
      <c r="X938" s="110">
        <v>0.56094433886862138</v>
      </c>
      <c r="Y938" s="106">
        <v>575.20155038759685</v>
      </c>
      <c r="Z938" s="106">
        <v>19.170542635658915</v>
      </c>
      <c r="AA938" s="106">
        <v>47916.030170928454</v>
      </c>
      <c r="AB938" s="106">
        <v>398.43385689495904</v>
      </c>
      <c r="AC938" s="106">
        <v>2.0869842439633461</v>
      </c>
      <c r="AD938" s="106">
        <v>25.132382892057027</v>
      </c>
      <c r="AE938" s="106">
        <v>120.26094003241491</v>
      </c>
      <c r="AF938" s="106">
        <v>0.58744801900122523</v>
      </c>
      <c r="AG938" s="106">
        <v>4584</v>
      </c>
      <c r="AH938" s="106">
        <v>19040.178730287102</v>
      </c>
      <c r="AI938" s="106">
        <v>19040.178730287102</v>
      </c>
      <c r="AJ938" s="106">
        <v>19541.540234532957</v>
      </c>
      <c r="AK938" s="104">
        <v>13827.790942175496</v>
      </c>
      <c r="AL938" s="119">
        <v>13661141</v>
      </c>
      <c r="AM938" s="118">
        <v>3460</v>
      </c>
      <c r="AN938" s="118">
        <v>74201</v>
      </c>
      <c r="AO938" s="118">
        <v>594</v>
      </c>
      <c r="AP938" s="118">
        <f t="shared" si="14"/>
        <v>673</v>
      </c>
    </row>
    <row r="939" spans="1:42" ht="12.75">
      <c r="A939" s="106">
        <v>2018</v>
      </c>
      <c r="B939" s="106">
        <v>-101505</v>
      </c>
      <c r="C939" s="106">
        <v>0</v>
      </c>
      <c r="D939" s="106">
        <v>101505</v>
      </c>
      <c r="E939" s="106" t="s">
        <v>1621</v>
      </c>
      <c r="F939" s="106" t="s">
        <v>377</v>
      </c>
      <c r="G939" s="106" t="s">
        <v>85</v>
      </c>
      <c r="H939" s="106">
        <v>4</v>
      </c>
      <c r="I939" s="106" t="s">
        <v>24</v>
      </c>
      <c r="J939" s="106">
        <v>4500</v>
      </c>
      <c r="K939" s="106">
        <v>8235</v>
      </c>
      <c r="L939" s="106">
        <v>7739</v>
      </c>
      <c r="M939" s="106">
        <v>0.53</v>
      </c>
      <c r="N939" s="106">
        <v>0.26</v>
      </c>
      <c r="O939" s="106">
        <v>0.17</v>
      </c>
      <c r="P939" s="106">
        <v>3928</v>
      </c>
      <c r="Q939" s="106">
        <v>385.4264022865309</v>
      </c>
      <c r="R939" s="106">
        <v>8.0331765791558957E-2</v>
      </c>
      <c r="S939" s="106">
        <v>10024.904072883173</v>
      </c>
      <c r="T939" s="106">
        <v>9297.1132547338329</v>
      </c>
      <c r="U939" s="106">
        <v>8436.7074244333653</v>
      </c>
      <c r="V939" s="106">
        <v>0.52301283311709701</v>
      </c>
      <c r="W939" s="106">
        <v>67097.773432231959</v>
      </c>
      <c r="X939" s="110">
        <v>0.6373045066177041</v>
      </c>
      <c r="Y939" s="106">
        <v>692.06456043956041</v>
      </c>
      <c r="Z939" s="106">
        <v>23.068681318681318</v>
      </c>
      <c r="AA939" s="106">
        <v>34523.894855247061</v>
      </c>
      <c r="AB939" s="106">
        <v>281.22190627647791</v>
      </c>
      <c r="AC939" s="106">
        <v>2.8965445648378707</v>
      </c>
      <c r="AD939" s="106">
        <v>28.946254760897165</v>
      </c>
      <c r="AE939" s="106">
        <v>122.76388888888889</v>
      </c>
      <c r="AF939" s="106">
        <v>6.9927680713724724E-2</v>
      </c>
      <c r="AG939" s="106">
        <v>3570</v>
      </c>
      <c r="AH939" s="106">
        <v>9415.1566630939615</v>
      </c>
      <c r="AI939" s="106">
        <v>9427.2518756698828</v>
      </c>
      <c r="AJ939" s="106">
        <v>10023.96123615577</v>
      </c>
      <c r="AK939" s="104">
        <v>9264.669346195069</v>
      </c>
      <c r="AL939" s="118">
        <v>21850504</v>
      </c>
      <c r="AM939" s="118">
        <v>8840</v>
      </c>
      <c r="AN939" s="118">
        <v>167941</v>
      </c>
      <c r="AO939" s="118">
        <v>848</v>
      </c>
      <c r="AP939" s="118">
        <f t="shared" si="14"/>
        <v>930</v>
      </c>
    </row>
    <row r="940" spans="1:42" ht="12.75">
      <c r="A940" s="106">
        <v>2018</v>
      </c>
      <c r="B940" s="106">
        <v>-146205</v>
      </c>
      <c r="C940" s="106">
        <v>0</v>
      </c>
      <c r="D940" s="106">
        <v>146205</v>
      </c>
      <c r="E940" s="106" t="s">
        <v>1622</v>
      </c>
      <c r="F940" s="106" t="s">
        <v>1623</v>
      </c>
      <c r="G940" s="106" t="s">
        <v>243</v>
      </c>
      <c r="H940" s="106">
        <v>4</v>
      </c>
      <c r="I940" s="106" t="s">
        <v>24</v>
      </c>
      <c r="J940" s="106">
        <v>3600</v>
      </c>
      <c r="K940" s="106">
        <v>6927</v>
      </c>
      <c r="L940" s="106">
        <v>6244</v>
      </c>
      <c r="M940" s="106">
        <v>0.56000000000000005</v>
      </c>
      <c r="N940" s="106">
        <v>0.03</v>
      </c>
      <c r="O940" s="106">
        <v>0.14000000000000001</v>
      </c>
      <c r="P940" s="106">
        <v>2895</v>
      </c>
      <c r="Q940" s="106">
        <v>1063.736303630363</v>
      </c>
      <c r="R940" s="106">
        <v>0.26757029475210831</v>
      </c>
      <c r="S940" s="106">
        <v>19345.344884488448</v>
      </c>
      <c r="T940" s="106">
        <v>17806.288118811881</v>
      </c>
      <c r="U940" s="106">
        <v>9542.9804426897117</v>
      </c>
      <c r="V940" s="106">
        <v>0.30512514594542484</v>
      </c>
      <c r="W940" s="106">
        <v>59781.545454545449</v>
      </c>
      <c r="X940" s="110">
        <v>0.38190064981123495</v>
      </c>
      <c r="Y940" s="106">
        <v>749.2664835164835</v>
      </c>
      <c r="Z940" s="106">
        <v>24.972527472527471</v>
      </c>
      <c r="AA940" s="106">
        <v>34381.962831569348</v>
      </c>
      <c r="AB940" s="106">
        <v>318.06085887681166</v>
      </c>
      <c r="AC940" s="106">
        <v>2.9085017772219941</v>
      </c>
      <c r="AD940" s="106">
        <v>32.172915072685541</v>
      </c>
      <c r="AE940" s="106">
        <v>108.0986920332937</v>
      </c>
      <c r="AF940" s="106">
        <v>0.10246258675046911</v>
      </c>
      <c r="AG940" s="106">
        <v>3450</v>
      </c>
      <c r="AH940" s="106">
        <v>18353.507260726074</v>
      </c>
      <c r="AI940" s="106">
        <v>18400.383498349835</v>
      </c>
      <c r="AJ940" s="106">
        <v>19515.591749174917</v>
      </c>
      <c r="AK940" s="104">
        <v>12635.17392739274</v>
      </c>
      <c r="AL940" s="119">
        <v>12446217</v>
      </c>
      <c r="AM940" s="118">
        <v>3933</v>
      </c>
      <c r="AN940" s="118">
        <v>90911</v>
      </c>
      <c r="AO940" s="118">
        <v>486</v>
      </c>
      <c r="AP940" s="118">
        <f t="shared" si="14"/>
        <v>150</v>
      </c>
    </row>
    <row r="941" spans="1:42" ht="12.75">
      <c r="A941" s="106">
        <v>2018</v>
      </c>
      <c r="B941" s="106">
        <v>-107141</v>
      </c>
      <c r="C941" s="106">
        <v>0</v>
      </c>
      <c r="D941" s="106">
        <v>107141</v>
      </c>
      <c r="E941" s="106" t="s">
        <v>1624</v>
      </c>
      <c r="F941" s="106" t="s">
        <v>1625</v>
      </c>
      <c r="G941" s="106" t="s">
        <v>200</v>
      </c>
      <c r="H941" s="106">
        <v>6</v>
      </c>
      <c r="I941" s="106" t="s">
        <v>3640</v>
      </c>
      <c r="J941" s="106">
        <v>26144</v>
      </c>
      <c r="K941" s="106">
        <v>22390</v>
      </c>
      <c r="L941" s="106">
        <v>20157</v>
      </c>
      <c r="M941" s="106">
        <v>0.32</v>
      </c>
      <c r="N941" s="106">
        <v>0.54</v>
      </c>
      <c r="O941" s="106">
        <v>0.95</v>
      </c>
      <c r="P941" s="107">
        <v>14765</v>
      </c>
      <c r="Q941" s="106">
        <v>8451.9263602251413</v>
      </c>
      <c r="R941" s="106">
        <v>0.41121924891008521</v>
      </c>
      <c r="S941" s="106">
        <v>24542.182457786115</v>
      </c>
      <c r="T941" s="106">
        <v>24384.851782363978</v>
      </c>
      <c r="U941" s="106">
        <v>19563.809337636871</v>
      </c>
      <c r="V941" s="106">
        <v>0.61856088048124724</v>
      </c>
      <c r="W941" s="106">
        <v>67530.156000000003</v>
      </c>
      <c r="X941" s="110">
        <v>0.54122667195809293</v>
      </c>
      <c r="Y941" s="106">
        <v>446.81662591687041</v>
      </c>
      <c r="Z941" s="106">
        <v>15.638141809290952</v>
      </c>
      <c r="AA941" s="106">
        <v>70935.444741227562</v>
      </c>
      <c r="AB941" s="106">
        <v>684.71405719091558</v>
      </c>
      <c r="AC941" s="106">
        <v>1.4097324738683163</v>
      </c>
      <c r="AD941" s="106">
        <v>28.529839883551674</v>
      </c>
      <c r="AE941" s="106">
        <v>103.59863945578232</v>
      </c>
      <c r="AF941" s="106">
        <v>4.2178495268693078E-2</v>
      </c>
      <c r="AG941" s="106">
        <v>25000</v>
      </c>
      <c r="AH941" s="106">
        <v>18419.518761726078</v>
      </c>
      <c r="AI941" s="106">
        <v>25244.319887429643</v>
      </c>
      <c r="AJ941" s="106">
        <v>28615.847091932457</v>
      </c>
      <c r="AK941" s="104">
        <v>21540.437617260788</v>
      </c>
      <c r="AM941" s="118">
        <v>1972</v>
      </c>
      <c r="AN941" s="118">
        <v>60916</v>
      </c>
      <c r="AO941" s="118">
        <v>395</v>
      </c>
      <c r="AP941" s="118">
        <f t="shared" si="14"/>
        <v>1144</v>
      </c>
    </row>
    <row r="942" spans="1:42" ht="12.75">
      <c r="A942" s="106">
        <v>2018</v>
      </c>
      <c r="B942" s="106">
        <v>-101514</v>
      </c>
      <c r="C942" s="106">
        <v>0</v>
      </c>
      <c r="D942" s="106">
        <v>101514</v>
      </c>
      <c r="E942" s="106" t="s">
        <v>1626</v>
      </c>
      <c r="F942" s="106" t="s">
        <v>1627</v>
      </c>
      <c r="G942" s="106" t="s">
        <v>85</v>
      </c>
      <c r="H942" s="106">
        <v>4</v>
      </c>
      <c r="I942" s="106" t="s">
        <v>24</v>
      </c>
      <c r="J942" s="106">
        <v>4520</v>
      </c>
      <c r="K942" s="106">
        <v>4910</v>
      </c>
      <c r="L942" s="106">
        <v>3704</v>
      </c>
      <c r="M942" s="106">
        <v>0.45</v>
      </c>
      <c r="N942" s="106">
        <v>0.27</v>
      </c>
      <c r="O942" s="106">
        <v>0.2</v>
      </c>
      <c r="P942" s="107">
        <v>2684</v>
      </c>
      <c r="Q942" s="106">
        <v>318.82867924528301</v>
      </c>
      <c r="R942" s="106">
        <v>6.5550150454949219E-2</v>
      </c>
      <c r="S942" s="106">
        <v>10078.278490566037</v>
      </c>
      <c r="T942" s="106">
        <v>9797.0707924528306</v>
      </c>
      <c r="U942" s="106">
        <v>8277.790490566038</v>
      </c>
      <c r="V942" s="106">
        <v>0.5490668898210409</v>
      </c>
      <c r="W942" s="106">
        <v>68347.832163369487</v>
      </c>
      <c r="X942" s="110">
        <v>0.55003504012304394</v>
      </c>
      <c r="Y942" s="106">
        <v>798.18072289156623</v>
      </c>
      <c r="Z942" s="106">
        <v>26.606425702811244</v>
      </c>
      <c r="AA942" s="106">
        <v>31773.095017381227</v>
      </c>
      <c r="AB942" s="106">
        <v>275.93051467443536</v>
      </c>
      <c r="AC942" s="106">
        <v>3.1473169341952922</v>
      </c>
      <c r="AD942" s="106">
        <v>31.341928454694024</v>
      </c>
      <c r="AE942" s="106">
        <v>115.14889918887602</v>
      </c>
      <c r="AF942" s="106">
        <v>4.2603924823635619E-2</v>
      </c>
      <c r="AG942" s="106">
        <v>3570</v>
      </c>
      <c r="AH942" s="106">
        <v>9096.3933584905662</v>
      </c>
      <c r="AI942" s="106">
        <v>9147.3907924528303</v>
      </c>
      <c r="AJ942" s="106">
        <v>10084.587320754717</v>
      </c>
      <c r="AK942" s="104">
        <v>9317.1252830188678</v>
      </c>
      <c r="AL942" s="119">
        <v>25814684</v>
      </c>
      <c r="AM942" s="118">
        <v>9861</v>
      </c>
      <c r="AN942" s="118">
        <v>198747</v>
      </c>
      <c r="AO942" s="118">
        <v>1103</v>
      </c>
      <c r="AP942" s="118">
        <f t="shared" si="14"/>
        <v>950</v>
      </c>
    </row>
    <row r="943" spans="1:42" ht="12.75">
      <c r="A943" s="106">
        <v>2018</v>
      </c>
      <c r="B943" s="106">
        <v>-203368</v>
      </c>
      <c r="C943" s="106">
        <v>0</v>
      </c>
      <c r="D943" s="106">
        <v>203368</v>
      </c>
      <c r="E943" s="106" t="s">
        <v>1628</v>
      </c>
      <c r="F943" s="106" t="s">
        <v>1629</v>
      </c>
      <c r="G943" s="106" t="s">
        <v>82</v>
      </c>
      <c r="H943" s="106">
        <v>6</v>
      </c>
      <c r="I943" s="106" t="s">
        <v>3640</v>
      </c>
      <c r="J943" s="106">
        <v>39990</v>
      </c>
      <c r="K943" s="106">
        <v>28765</v>
      </c>
      <c r="L943" s="106">
        <v>20852</v>
      </c>
      <c r="M943" s="106">
        <v>0.2</v>
      </c>
      <c r="N943" s="106">
        <v>0.61</v>
      </c>
      <c r="O943" s="106">
        <v>0.98</v>
      </c>
      <c r="P943" s="107">
        <v>24317</v>
      </c>
      <c r="Q943" s="106">
        <v>21017.460718635812</v>
      </c>
      <c r="R943" s="106">
        <v>0.5601980887535869</v>
      </c>
      <c r="S943" s="106">
        <v>30461.773751522534</v>
      </c>
      <c r="T943" s="106">
        <v>29722.649512789281</v>
      </c>
      <c r="U943" s="106">
        <v>20921.515192425442</v>
      </c>
      <c r="V943" s="106">
        <v>0.78868321809351416</v>
      </c>
      <c r="W943" s="106">
        <v>97776.093587521667</v>
      </c>
      <c r="X943" s="110">
        <v>0.57798667524932923</v>
      </c>
      <c r="Y943" s="106">
        <v>382.41666666666669</v>
      </c>
      <c r="Z943" s="106">
        <v>13.031746031746032</v>
      </c>
      <c r="AA943" s="106">
        <v>77371.909788204008</v>
      </c>
      <c r="AB943" s="106">
        <v>712.94976488212137</v>
      </c>
      <c r="AC943" s="106">
        <v>1.2924587266068213</v>
      </c>
      <c r="AD943" s="106">
        <v>26.650660264105642</v>
      </c>
      <c r="AE943" s="106">
        <v>108.52364864864865</v>
      </c>
      <c r="AF943" s="106">
        <v>6.5767802831041819E-2</v>
      </c>
      <c r="AG943" s="106">
        <v>38490</v>
      </c>
      <c r="AH943" s="106">
        <v>24261.247259439708</v>
      </c>
      <c r="AI943" s="106">
        <v>30652.79963459196</v>
      </c>
      <c r="AJ943" s="106">
        <v>36566.579171741781</v>
      </c>
      <c r="AK943" s="104">
        <v>23997.136419001217</v>
      </c>
      <c r="AM943" s="118">
        <v>3052</v>
      </c>
      <c r="AN943" s="118">
        <v>96369</v>
      </c>
      <c r="AO943" s="118">
        <v>683</v>
      </c>
      <c r="AP943" s="118">
        <f t="shared" si="14"/>
        <v>1500</v>
      </c>
    </row>
    <row r="944" spans="1:42" ht="12.75">
      <c r="A944" s="106">
        <v>2018</v>
      </c>
      <c r="B944" s="106">
        <v>-116712</v>
      </c>
      <c r="C944" s="106">
        <v>0</v>
      </c>
      <c r="D944" s="106">
        <v>116712</v>
      </c>
      <c r="E944" s="106" t="s">
        <v>1630</v>
      </c>
      <c r="F944" s="106" t="s">
        <v>1041</v>
      </c>
      <c r="G944" s="106" t="s">
        <v>121</v>
      </c>
      <c r="H944" s="106">
        <v>6</v>
      </c>
      <c r="I944" s="106" t="s">
        <v>3640</v>
      </c>
      <c r="J944" s="106">
        <v>23628</v>
      </c>
      <c r="K944" s="106"/>
      <c r="L944" s="106"/>
      <c r="M944" s="106"/>
      <c r="N944" s="106"/>
      <c r="O944" s="106"/>
      <c r="P944" s="106"/>
      <c r="Q944" s="106">
        <v>1727.9415121255349</v>
      </c>
      <c r="R944" s="106">
        <v>7.4430187876026108E-2</v>
      </c>
      <c r="S944" s="106">
        <v>28403.415121255348</v>
      </c>
      <c r="T944" s="106">
        <v>36751.788873038517</v>
      </c>
      <c r="U944" s="106">
        <v>31051.255349500712</v>
      </c>
      <c r="V944" s="106">
        <v>0.69200613040056635</v>
      </c>
      <c r="W944" s="106">
        <v>55689.091954022988</v>
      </c>
      <c r="X944" s="110">
        <v>0.56417539662688398</v>
      </c>
      <c r="Y944" s="106">
        <v>114.21694214876034</v>
      </c>
      <c r="Z944" s="106">
        <v>4.3450413223140503</v>
      </c>
      <c r="AA944" s="106">
        <v>74800.446735395191</v>
      </c>
      <c r="AB944" s="106">
        <v>1181.2519672220112</v>
      </c>
      <c r="AC944" s="106">
        <v>1.3368904112798634</v>
      </c>
      <c r="AD944" s="106">
        <v>51.05263157894737</v>
      </c>
      <c r="AE944" s="106">
        <v>63.323024054982817</v>
      </c>
      <c r="AF944" s="106">
        <v>-0.37031344638388641</v>
      </c>
      <c r="AG944" s="106">
        <v>23280</v>
      </c>
      <c r="AH944" s="106">
        <v>26511.135520684737</v>
      </c>
      <c r="AI944" s="106">
        <v>28009.921540656207</v>
      </c>
      <c r="AJ944" s="106">
        <v>29234.503566333809</v>
      </c>
      <c r="AK944" s="104">
        <v>31051.255349500712</v>
      </c>
      <c r="AL944" s="118"/>
      <c r="AM944" s="118">
        <v>96</v>
      </c>
      <c r="AN944" s="118">
        <v>18427</v>
      </c>
      <c r="AO944" s="118">
        <v>43</v>
      </c>
      <c r="AP944" s="118">
        <f t="shared" si="14"/>
        <v>348</v>
      </c>
    </row>
    <row r="945" spans="1:42" ht="12.75">
      <c r="A945" s="106">
        <v>2018</v>
      </c>
      <c r="B945" s="106">
        <v>-462354</v>
      </c>
      <c r="C945" s="106">
        <v>0</v>
      </c>
      <c r="D945" s="106">
        <v>462354</v>
      </c>
      <c r="E945" s="106" t="s">
        <v>1631</v>
      </c>
      <c r="F945" s="106" t="s">
        <v>1632</v>
      </c>
      <c r="G945" s="106" t="s">
        <v>121</v>
      </c>
      <c r="H945" s="106">
        <v>7</v>
      </c>
      <c r="I945" s="106" t="s">
        <v>3641</v>
      </c>
      <c r="J945" s="106">
        <v>24900</v>
      </c>
      <c r="K945" s="106">
        <v>29168</v>
      </c>
      <c r="L945" s="106">
        <v>22058</v>
      </c>
      <c r="M945" s="106">
        <v>0.41</v>
      </c>
      <c r="N945" s="106">
        <v>0.68</v>
      </c>
      <c r="O945" s="106">
        <v>0.96</v>
      </c>
      <c r="P945" s="106">
        <v>9616</v>
      </c>
      <c r="Q945" s="106">
        <v>9765.6207865168544</v>
      </c>
      <c r="R945" s="106">
        <v>0.41218165409454649</v>
      </c>
      <c r="S945" s="106">
        <v>20323.696629213482</v>
      </c>
      <c r="T945" s="106">
        <v>20279.727528089887</v>
      </c>
      <c r="U945" s="106">
        <v>20279.727528089887</v>
      </c>
      <c r="V945" s="106">
        <v>0.68673980200795526</v>
      </c>
      <c r="W945" s="106">
        <v>74362.294964028784</v>
      </c>
      <c r="X945" s="110">
        <v>0.47723712020486503</v>
      </c>
      <c r="Y945" s="106">
        <v>990.51063829787222</v>
      </c>
      <c r="Z945" s="106">
        <v>22.723404255319146</v>
      </c>
      <c r="AA945" s="106">
        <v>82040.715909090912</v>
      </c>
      <c r="AB945" s="106">
        <v>465.23927052455213</v>
      </c>
      <c r="AC945" s="106">
        <v>1.2189069645712225</v>
      </c>
      <c r="AD945" s="106">
        <v>28.75816993464052</v>
      </c>
      <c r="AE945" s="106">
        <v>176.34090909090909</v>
      </c>
      <c r="AF945" s="106">
        <v>3.9311151919565702E-3</v>
      </c>
      <c r="AG945" s="106">
        <v>24000</v>
      </c>
      <c r="AH945" s="106">
        <v>18966.617977528091</v>
      </c>
      <c r="AI945" s="106">
        <v>20323.696629213482</v>
      </c>
      <c r="AJ945" s="106">
        <v>20329.991573033709</v>
      </c>
      <c r="AK945" s="104">
        <v>20279.727528089887</v>
      </c>
      <c r="AL945" s="118"/>
      <c r="AM945" s="118">
        <v>260</v>
      </c>
      <c r="AN945" s="118">
        <v>15518</v>
      </c>
      <c r="AO945" s="118">
        <v>50</v>
      </c>
      <c r="AP945" s="118">
        <f t="shared" si="14"/>
        <v>900</v>
      </c>
    </row>
    <row r="946" spans="1:42" ht="12.75">
      <c r="A946" s="106">
        <v>2018</v>
      </c>
      <c r="B946" s="106">
        <v>-232450</v>
      </c>
      <c r="C946" s="106">
        <v>0</v>
      </c>
      <c r="D946" s="106">
        <v>232450</v>
      </c>
      <c r="E946" s="106" t="s">
        <v>1633</v>
      </c>
      <c r="F946" s="106" t="s">
        <v>1634</v>
      </c>
      <c r="G946" s="106" t="s">
        <v>261</v>
      </c>
      <c r="H946" s="106">
        <v>4</v>
      </c>
      <c r="I946" s="106" t="s">
        <v>24</v>
      </c>
      <c r="J946" s="106">
        <v>4608</v>
      </c>
      <c r="K946" s="106">
        <v>6458</v>
      </c>
      <c r="L946" s="106">
        <v>5324</v>
      </c>
      <c r="M946" s="106">
        <v>0.42</v>
      </c>
      <c r="N946" s="106">
        <v>0.13</v>
      </c>
      <c r="O946" s="106">
        <v>0.04</v>
      </c>
      <c r="P946" s="106">
        <v>1995</v>
      </c>
      <c r="Q946" s="106">
        <v>106.72293280490001</v>
      </c>
      <c r="R946" s="106">
        <v>2.5975046953302317E-2</v>
      </c>
      <c r="S946" s="106">
        <v>7970.0866510538644</v>
      </c>
      <c r="T946" s="106">
        <v>8371.9800036029537</v>
      </c>
      <c r="U946" s="106">
        <v>7144.8349846874435</v>
      </c>
      <c r="V946" s="106">
        <v>0.56011769149722701</v>
      </c>
      <c r="W946" s="106">
        <v>68353.359531772585</v>
      </c>
      <c r="X946" s="110">
        <v>0.58636816011822468</v>
      </c>
      <c r="Y946" s="106">
        <v>799.32</v>
      </c>
      <c r="Z946" s="106">
        <v>26.644800000000004</v>
      </c>
      <c r="AA946" s="106">
        <v>21791.746703296703</v>
      </c>
      <c r="AB946" s="106">
        <v>238.16831706950907</v>
      </c>
      <c r="AC946" s="106">
        <v>4.5888932797145525</v>
      </c>
      <c r="AD946" s="106">
        <v>35.20309477756286</v>
      </c>
      <c r="AE946" s="106">
        <v>91.497252747252745</v>
      </c>
      <c r="AF946" s="106">
        <v>-9.9021117759242969E-3</v>
      </c>
      <c r="AG946" s="106">
        <v>4283</v>
      </c>
      <c r="AH946" s="106">
        <v>7764.245541343902</v>
      </c>
      <c r="AI946" s="106">
        <v>7832.6215096379028</v>
      </c>
      <c r="AJ946" s="106">
        <v>7972.2008647090615</v>
      </c>
      <c r="AK946" s="104">
        <v>7993.6184471266442</v>
      </c>
      <c r="AL946" s="118">
        <v>18522994</v>
      </c>
      <c r="AM946" s="118">
        <v>10380</v>
      </c>
      <c r="AN946" s="118">
        <v>166525</v>
      </c>
      <c r="AO946" s="118">
        <v>920</v>
      </c>
      <c r="AP946" s="118">
        <f t="shared" si="14"/>
        <v>325</v>
      </c>
    </row>
    <row r="947" spans="1:42" ht="12.75">
      <c r="A947" s="106">
        <v>2018</v>
      </c>
      <c r="B947" s="106">
        <v>-146278</v>
      </c>
      <c r="C947" s="106">
        <v>0</v>
      </c>
      <c r="D947" s="106">
        <v>146278</v>
      </c>
      <c r="E947" s="106" t="s">
        <v>1635</v>
      </c>
      <c r="F947" s="106" t="s">
        <v>1121</v>
      </c>
      <c r="G947" s="106" t="s">
        <v>243</v>
      </c>
      <c r="H947" s="106">
        <v>4</v>
      </c>
      <c r="I947" s="106" t="s">
        <v>24</v>
      </c>
      <c r="J947" s="106">
        <v>4800</v>
      </c>
      <c r="K947" s="106">
        <v>6741</v>
      </c>
      <c r="L947" s="106">
        <v>4852</v>
      </c>
      <c r="M947" s="106">
        <v>0.47</v>
      </c>
      <c r="N947" s="106">
        <v>0.28000000000000003</v>
      </c>
      <c r="O947" s="106">
        <v>0.3</v>
      </c>
      <c r="P947" s="106">
        <v>2252</v>
      </c>
      <c r="Q947" s="106"/>
      <c r="R947" s="106"/>
      <c r="S947" s="106">
        <v>19086.054864667156</v>
      </c>
      <c r="T947" s="106">
        <v>19165.592538405268</v>
      </c>
      <c r="U947" s="106">
        <v>15002.958530921427</v>
      </c>
      <c r="V947" s="106">
        <v>0.34514343488632493</v>
      </c>
      <c r="W947" s="106">
        <v>55869.665624999994</v>
      </c>
      <c r="X947" s="110">
        <v>0.45492942290776894</v>
      </c>
      <c r="Y947" s="106">
        <v>455.62222222222221</v>
      </c>
      <c r="Z947" s="106">
        <v>15.188888888888888</v>
      </c>
      <c r="AA947" s="106">
        <v>44010.82470336822</v>
      </c>
      <c r="AB947" s="106">
        <v>500.14740066745327</v>
      </c>
      <c r="AC947" s="106">
        <v>2.2721682830075856</v>
      </c>
      <c r="AD947" s="106">
        <v>37.610976594027441</v>
      </c>
      <c r="AE947" s="106">
        <v>87.995708154506431</v>
      </c>
      <c r="AF947" s="106">
        <v>1.7334868820402987E-3</v>
      </c>
      <c r="AG947" s="106">
        <v>4260</v>
      </c>
      <c r="AH947" s="106">
        <v>17724.787856620336</v>
      </c>
      <c r="AI947" s="106">
        <v>17724.787856620336</v>
      </c>
      <c r="AJ947" s="106">
        <v>19208.56693489393</v>
      </c>
      <c r="AK947" s="104">
        <v>17922.224579370886</v>
      </c>
      <c r="AL947" s="118">
        <v>7030100</v>
      </c>
      <c r="AM947" s="118">
        <v>1896</v>
      </c>
      <c r="AN947" s="118">
        <v>41006</v>
      </c>
      <c r="AO947" s="118">
        <v>309</v>
      </c>
      <c r="AP947" s="118">
        <f t="shared" si="14"/>
        <v>540</v>
      </c>
    </row>
    <row r="948" spans="1:42" ht="12.75">
      <c r="A948" s="106">
        <v>2018</v>
      </c>
      <c r="B948" s="106">
        <v>-162928</v>
      </c>
      <c r="C948" s="106">
        <v>0</v>
      </c>
      <c r="D948" s="106">
        <v>162928</v>
      </c>
      <c r="E948" s="106" t="s">
        <v>1636</v>
      </c>
      <c r="F948" s="106" t="s">
        <v>284</v>
      </c>
      <c r="G948" s="106" t="s">
        <v>124</v>
      </c>
      <c r="H948" s="106">
        <v>5</v>
      </c>
      <c r="I948" s="106" t="s">
        <v>3639</v>
      </c>
      <c r="J948" s="106">
        <v>52170</v>
      </c>
      <c r="K948" s="106">
        <v>27868</v>
      </c>
      <c r="L948" s="106">
        <v>13968</v>
      </c>
      <c r="M948" s="106">
        <v>0.16</v>
      </c>
      <c r="N948" s="106">
        <v>0.34</v>
      </c>
      <c r="O948" s="106">
        <v>0.57999999999999996</v>
      </c>
      <c r="P948" s="106">
        <v>40540</v>
      </c>
      <c r="Q948" s="106">
        <v>12841.692282802136</v>
      </c>
      <c r="R948" s="106">
        <v>0.32030386182962756</v>
      </c>
      <c r="S948" s="106">
        <v>246617.82074098042</v>
      </c>
      <c r="T948" s="106">
        <v>237633.02863614302</v>
      </c>
      <c r="U948" s="106">
        <v>98686.958329663423</v>
      </c>
      <c r="V948" s="106">
        <v>0.2761309727862486</v>
      </c>
      <c r="W948" s="106">
        <v>202877.99797320121</v>
      </c>
      <c r="X948" s="110">
        <v>0.61333998497763242</v>
      </c>
      <c r="Y948" s="106">
        <v>130.96782126045107</v>
      </c>
      <c r="Z948" s="106">
        <v>5.2112695847677939</v>
      </c>
      <c r="AA948" s="106">
        <v>267478.22382620024</v>
      </c>
      <c r="AB948" s="106">
        <v>3926.7992657057534</v>
      </c>
      <c r="AC948" s="106">
        <v>0.37386221042419199</v>
      </c>
      <c r="AD948" s="106">
        <v>49.286794899502915</v>
      </c>
      <c r="AE948" s="106">
        <v>68.116092962069715</v>
      </c>
      <c r="AF948" s="106">
        <v>0.10895865525948818</v>
      </c>
      <c r="AG948" s="106">
        <v>52170</v>
      </c>
      <c r="AH948" s="106">
        <v>185004.24688561721</v>
      </c>
      <c r="AI948" s="106">
        <v>247267.39200776574</v>
      </c>
      <c r="AJ948" s="106">
        <v>261700.73612684032</v>
      </c>
      <c r="AK948" s="104">
        <v>233674.7290082511</v>
      </c>
      <c r="AL948" s="119">
        <v>22857000</v>
      </c>
      <c r="AM948" s="118">
        <v>6109</v>
      </c>
      <c r="AN948" s="118">
        <v>621355</v>
      </c>
      <c r="AO948" s="118">
        <v>1523</v>
      </c>
      <c r="AP948" s="118">
        <f t="shared" si="14"/>
        <v>0</v>
      </c>
    </row>
    <row r="949" spans="1:42" ht="12.75">
      <c r="A949" s="106">
        <v>2018</v>
      </c>
      <c r="B949" s="106">
        <v>2652</v>
      </c>
      <c r="C949" s="106">
        <v>1</v>
      </c>
      <c r="D949" s="106">
        <v>217235</v>
      </c>
      <c r="E949" s="106" t="s">
        <v>3854</v>
      </c>
      <c r="F949" s="106" t="s">
        <v>468</v>
      </c>
      <c r="G949" s="106" t="s">
        <v>469</v>
      </c>
      <c r="H949" s="106">
        <v>6</v>
      </c>
      <c r="I949" s="106" t="s">
        <v>3640</v>
      </c>
      <c r="J949" s="106">
        <v>31158</v>
      </c>
      <c r="K949" s="106">
        <v>28089</v>
      </c>
      <c r="L949" s="106">
        <v>23299</v>
      </c>
      <c r="M949" s="106">
        <v>0.53</v>
      </c>
      <c r="N949" s="106">
        <v>0.84</v>
      </c>
      <c r="O949" s="106">
        <v>0.99</v>
      </c>
      <c r="P949" s="106">
        <v>17228</v>
      </c>
      <c r="Q949" s="106">
        <v>10991.961917715063</v>
      </c>
      <c r="R949" s="106">
        <v>0.43482897186137881</v>
      </c>
      <c r="S949" s="106">
        <v>20771.512138728325</v>
      </c>
      <c r="T949" s="106">
        <v>21418.424005440327</v>
      </c>
      <c r="U949" s="106">
        <v>16422.714019982363</v>
      </c>
      <c r="V949" s="106">
        <v>0.86994481313558791</v>
      </c>
      <c r="W949" s="106">
        <v>96077.320536370316</v>
      </c>
      <c r="X949" s="110">
        <v>0.55356064147298401</v>
      </c>
      <c r="Y949" s="106">
        <v>973.48194583751263</v>
      </c>
      <c r="Z949" s="106">
        <v>22.123871614844536</v>
      </c>
      <c r="AA949" s="106">
        <v>52820.649532773547</v>
      </c>
      <c r="AB949" s="106">
        <v>373.23138667231387</v>
      </c>
      <c r="AC949" s="106">
        <v>1.8931989834383456</v>
      </c>
      <c r="AD949" s="106">
        <v>34.316595361405092</v>
      </c>
      <c r="AE949" s="106">
        <v>141.52252843394575</v>
      </c>
      <c r="AF949" s="106">
        <v>1.8014901189673128E-2</v>
      </c>
      <c r="AG949" s="106">
        <v>31158</v>
      </c>
      <c r="AH949" s="106">
        <v>20508.94981298878</v>
      </c>
      <c r="AI949" s="106">
        <v>20832.702142128528</v>
      </c>
      <c r="AJ949" s="106">
        <v>22157.538524311458</v>
      </c>
      <c r="AK949" s="104">
        <v>16431.101734104046</v>
      </c>
      <c r="AL949" s="118"/>
      <c r="AM949" s="118">
        <v>12861</v>
      </c>
      <c r="AN949" s="118">
        <v>647041</v>
      </c>
      <c r="AO949" s="118">
        <v>3887</v>
      </c>
      <c r="AP949" s="118">
        <f t="shared" si="14"/>
        <v>0</v>
      </c>
    </row>
    <row r="950" spans="1:42" ht="12.75">
      <c r="A950" s="106">
        <v>2018</v>
      </c>
      <c r="B950" s="106">
        <v>-198756</v>
      </c>
      <c r="C950" s="106">
        <v>0</v>
      </c>
      <c r="D950" s="106">
        <v>198756</v>
      </c>
      <c r="E950" s="106" t="s">
        <v>1637</v>
      </c>
      <c r="F950" s="106" t="s">
        <v>605</v>
      </c>
      <c r="G950" s="106" t="s">
        <v>90</v>
      </c>
      <c r="H950" s="106">
        <v>7</v>
      </c>
      <c r="I950" s="106" t="s">
        <v>3641</v>
      </c>
      <c r="J950" s="106">
        <v>18236</v>
      </c>
      <c r="K950" s="106">
        <v>18991</v>
      </c>
      <c r="L950" s="106">
        <v>18216</v>
      </c>
      <c r="M950" s="106">
        <v>0.74</v>
      </c>
      <c r="N950" s="106">
        <v>0.84</v>
      </c>
      <c r="O950" s="106">
        <v>0.66</v>
      </c>
      <c r="P950" s="106">
        <v>8139</v>
      </c>
      <c r="Q950" s="106">
        <v>4652.0676982591876</v>
      </c>
      <c r="R950" s="106">
        <v>0.28593062663619323</v>
      </c>
      <c r="S950" s="106">
        <v>27374.535783365569</v>
      </c>
      <c r="T950" s="106">
        <v>27977.368149580914</v>
      </c>
      <c r="U950" s="106">
        <v>20531.782269796124</v>
      </c>
      <c r="V950" s="106">
        <v>0.56584711554388101</v>
      </c>
      <c r="W950" s="106">
        <v>54239.659090909088</v>
      </c>
      <c r="X950" s="110">
        <v>0.38498961281636457</v>
      </c>
      <c r="Y950" s="106">
        <v>381.42382271468148</v>
      </c>
      <c r="Z950" s="106">
        <v>12.889196675900278</v>
      </c>
      <c r="AA950" s="106">
        <v>131048.53621585922</v>
      </c>
      <c r="AB950" s="106">
        <v>693.81659986173236</v>
      </c>
      <c r="AC950" s="106">
        <v>0.7630760547777734</v>
      </c>
      <c r="AD950" s="106">
        <v>16.96927374301676</v>
      </c>
      <c r="AE950" s="106">
        <v>188.88065843621399</v>
      </c>
      <c r="AF950" s="106">
        <v>3.1280456622429974E-2</v>
      </c>
      <c r="AG950" s="106">
        <v>15466</v>
      </c>
      <c r="AH950" s="106">
        <v>16478.867827208254</v>
      </c>
      <c r="AI950" s="106">
        <v>23627.898130238555</v>
      </c>
      <c r="AJ950" s="106">
        <v>30052.143778207606</v>
      </c>
      <c r="AK950" s="104">
        <v>22498.793681495808</v>
      </c>
      <c r="AL950" s="118"/>
      <c r="AM950" s="118">
        <v>1394</v>
      </c>
      <c r="AN950" s="118">
        <v>45898</v>
      </c>
      <c r="AO950" s="118">
        <v>206</v>
      </c>
      <c r="AP950" s="118">
        <f t="shared" si="14"/>
        <v>2770</v>
      </c>
    </row>
    <row r="951" spans="1:42" ht="12.75">
      <c r="A951" s="106">
        <v>2018</v>
      </c>
      <c r="B951" s="106">
        <v>-155210</v>
      </c>
      <c r="C951" s="106">
        <v>0</v>
      </c>
      <c r="D951" s="106">
        <v>155210</v>
      </c>
      <c r="E951" s="106" t="s">
        <v>14</v>
      </c>
      <c r="F951" s="106" t="s">
        <v>1638</v>
      </c>
      <c r="G951" s="106" t="s">
        <v>129</v>
      </c>
      <c r="H951" s="106">
        <v>4</v>
      </c>
      <c r="I951" s="106" t="s">
        <v>24</v>
      </c>
      <c r="J951" s="106">
        <v>2790</v>
      </c>
      <c r="K951" s="106">
        <v>12333</v>
      </c>
      <c r="L951" s="106">
        <v>11048</v>
      </c>
      <c r="M951" s="106">
        <v>0.38</v>
      </c>
      <c r="N951" s="106">
        <v>0.21</v>
      </c>
      <c r="O951" s="106">
        <v>0.22</v>
      </c>
      <c r="P951" s="106">
        <v>1756</v>
      </c>
      <c r="Q951" s="106"/>
      <c r="R951" s="106"/>
      <c r="S951" s="106">
        <v>18281.439689781022</v>
      </c>
      <c r="T951" s="106">
        <v>16597.608576642335</v>
      </c>
      <c r="U951" s="106">
        <v>14503.643421519879</v>
      </c>
      <c r="V951" s="106">
        <v>0.24399418480145108</v>
      </c>
      <c r="W951" s="106">
        <v>90121.255087209298</v>
      </c>
      <c r="X951" s="110">
        <v>0.681694190290693</v>
      </c>
      <c r="Y951" s="106">
        <v>634.34855305466237</v>
      </c>
      <c r="Z951" s="106">
        <v>21.144694533762056</v>
      </c>
      <c r="AA951" s="106">
        <v>51610.367499953856</v>
      </c>
      <c r="AB951" s="106">
        <v>483.44889934385799</v>
      </c>
      <c r="AC951" s="106">
        <v>1.9375951934480877</v>
      </c>
      <c r="AD951" s="106">
        <v>30.479960415635826</v>
      </c>
      <c r="AE951" s="106">
        <v>106.75454545454545</v>
      </c>
      <c r="AF951" s="106">
        <v>8.5528971232362805E-2</v>
      </c>
      <c r="AG951" s="106">
        <v>2310</v>
      </c>
      <c r="AH951" s="106">
        <v>17621.962043795622</v>
      </c>
      <c r="AI951" s="106">
        <v>17621.962043795622</v>
      </c>
      <c r="AJ951" s="106">
        <v>18437.375821167883</v>
      </c>
      <c r="AK951" s="104">
        <v>15413.366149635036</v>
      </c>
      <c r="AL951" s="118">
        <v>135594804</v>
      </c>
      <c r="AM951" s="118">
        <v>18638</v>
      </c>
      <c r="AN951" s="118">
        <v>328804</v>
      </c>
      <c r="AO951" s="118">
        <v>1714</v>
      </c>
      <c r="AP951" s="118">
        <f t="shared" si="14"/>
        <v>480</v>
      </c>
    </row>
    <row r="952" spans="1:42" ht="12.75">
      <c r="A952" s="106">
        <v>2018</v>
      </c>
      <c r="B952" s="106">
        <v>-230913</v>
      </c>
      <c r="C952" s="106">
        <v>0</v>
      </c>
      <c r="D952" s="106">
        <v>230913</v>
      </c>
      <c r="E952" s="106" t="s">
        <v>4116</v>
      </c>
      <c r="F952" s="106" t="s">
        <v>4117</v>
      </c>
      <c r="G952" s="106" t="s">
        <v>345</v>
      </c>
      <c r="H952" s="106">
        <v>2</v>
      </c>
      <c r="I952" s="106" t="s">
        <v>25</v>
      </c>
      <c r="J952" s="106">
        <v>11730</v>
      </c>
      <c r="K952" s="106">
        <v>15399</v>
      </c>
      <c r="L952" s="106">
        <v>12333</v>
      </c>
      <c r="M952" s="106">
        <v>0.5</v>
      </c>
      <c r="N952" s="106">
        <v>0.79</v>
      </c>
      <c r="O952" s="106">
        <v>0.92</v>
      </c>
      <c r="P952" s="106">
        <v>5216</v>
      </c>
      <c r="Q952" s="106">
        <v>2562.9294392523366</v>
      </c>
      <c r="R952" s="106">
        <v>0.14443317145220505</v>
      </c>
      <c r="S952" s="106">
        <v>25900.528971962616</v>
      </c>
      <c r="T952" s="106">
        <v>24935.037850467288</v>
      </c>
      <c r="U952" s="106">
        <v>18686.356522847884</v>
      </c>
      <c r="V952" s="106">
        <v>0.81245442714042659</v>
      </c>
      <c r="W952" s="106">
        <v>173115.03152364271</v>
      </c>
      <c r="X952" s="110">
        <v>0.61748416881616175</v>
      </c>
      <c r="Y952" s="106">
        <v>776.36326530612257</v>
      </c>
      <c r="Z952" s="106">
        <v>26.204081632653065</v>
      </c>
      <c r="AA952" s="106">
        <v>69666.90410957225</v>
      </c>
      <c r="AB952" s="106">
        <v>630.7083727724945</v>
      </c>
      <c r="AC952" s="106">
        <v>1.4354018063257097</v>
      </c>
      <c r="AD952" s="106">
        <v>48.976109215017068</v>
      </c>
      <c r="AE952" s="106">
        <v>110.4581881533101</v>
      </c>
      <c r="AF952" s="106"/>
      <c r="AG952" s="106">
        <v>10632</v>
      </c>
      <c r="AH952" s="106">
        <v>27437.449532710281</v>
      </c>
      <c r="AI952" s="106">
        <v>27745.508411214953</v>
      </c>
      <c r="AJ952" s="106">
        <v>26335.316822429908</v>
      </c>
      <c r="AK952" s="104">
        <v>21021.764485981308</v>
      </c>
      <c r="AL952" s="118">
        <v>10929027</v>
      </c>
      <c r="AM952" s="118">
        <v>1379</v>
      </c>
      <c r="AN952" s="118">
        <v>63403</v>
      </c>
      <c r="AO952" s="118">
        <v>525</v>
      </c>
      <c r="AP952" s="118">
        <f t="shared" si="14"/>
        <v>1098</v>
      </c>
    </row>
    <row r="953" spans="1:42" ht="12.75">
      <c r="A953" s="106">
        <v>2018</v>
      </c>
      <c r="B953" s="106">
        <v>-198774</v>
      </c>
      <c r="C953" s="106">
        <v>0</v>
      </c>
      <c r="D953" s="106">
        <v>198774</v>
      </c>
      <c r="E953" s="106" t="s">
        <v>1639</v>
      </c>
      <c r="F953" s="106" t="s">
        <v>475</v>
      </c>
      <c r="G953" s="106" t="s">
        <v>90</v>
      </c>
      <c r="H953" s="106">
        <v>4</v>
      </c>
      <c r="I953" s="106" t="s">
        <v>24</v>
      </c>
      <c r="J953" s="106">
        <v>2657</v>
      </c>
      <c r="K953" s="106">
        <v>6762</v>
      </c>
      <c r="L953" s="106">
        <v>5981</v>
      </c>
      <c r="M953" s="106">
        <v>0.49</v>
      </c>
      <c r="N953" s="106">
        <v>0.02</v>
      </c>
      <c r="O953" s="106">
        <v>0.04</v>
      </c>
      <c r="P953" s="106">
        <v>1178</v>
      </c>
      <c r="Q953" s="106">
        <v>46.251781472684087</v>
      </c>
      <c r="R953" s="106">
        <v>2.4255609428882354E-2</v>
      </c>
      <c r="S953" s="106">
        <v>10715.124109263657</v>
      </c>
      <c r="T953" s="106">
        <v>11692.885095011876</v>
      </c>
      <c r="U953" s="106">
        <v>9068.0068264827187</v>
      </c>
      <c r="V953" s="106">
        <v>0.20518258597109676</v>
      </c>
      <c r="W953" s="106">
        <v>54980.886498516316</v>
      </c>
      <c r="X953" s="110">
        <v>0.62731635558978927</v>
      </c>
      <c r="Y953" s="106">
        <v>557.20588235294122</v>
      </c>
      <c r="Z953" s="106">
        <v>18.573529411764707</v>
      </c>
      <c r="AA953" s="106">
        <v>27789.851675699541</v>
      </c>
      <c r="AB953" s="106">
        <v>302.26689421609063</v>
      </c>
      <c r="AC953" s="106">
        <v>3.5984359026803894</v>
      </c>
      <c r="AD953" s="106">
        <v>45.394465097067325</v>
      </c>
      <c r="AE953" s="106">
        <v>91.938125568698823</v>
      </c>
      <c r="AF953" s="106">
        <v>1.489854555983696E-3</v>
      </c>
      <c r="AG953" s="106">
        <v>2432</v>
      </c>
      <c r="AH953" s="106">
        <v>9816.5816508313546</v>
      </c>
      <c r="AI953" s="106">
        <v>9816.6143111638958</v>
      </c>
      <c r="AJ953" s="106">
        <v>10735.25</v>
      </c>
      <c r="AK953" s="104">
        <v>10467.127672209026</v>
      </c>
      <c r="AL953" s="119">
        <v>23465142</v>
      </c>
      <c r="AM953" s="119">
        <v>4152</v>
      </c>
      <c r="AN953" s="118">
        <v>101040</v>
      </c>
      <c r="AO953" s="119">
        <v>582</v>
      </c>
      <c r="AP953" s="118">
        <f t="shared" si="14"/>
        <v>225</v>
      </c>
    </row>
    <row r="954" spans="1:42" ht="12.75">
      <c r="A954" s="106">
        <v>2018</v>
      </c>
      <c r="B954" s="106">
        <v>-146296</v>
      </c>
      <c r="C954" s="106">
        <v>0</v>
      </c>
      <c r="D954" s="106">
        <v>146296</v>
      </c>
      <c r="E954" s="106" t="s">
        <v>1640</v>
      </c>
      <c r="F954" s="106" t="s">
        <v>1641</v>
      </c>
      <c r="G954" s="106" t="s">
        <v>243</v>
      </c>
      <c r="H954" s="106">
        <v>4</v>
      </c>
      <c r="I954" s="106" t="s">
        <v>24</v>
      </c>
      <c r="J954" s="106">
        <v>4320</v>
      </c>
      <c r="K954" s="106">
        <v>4428</v>
      </c>
      <c r="L954" s="106">
        <v>3202</v>
      </c>
      <c r="M954" s="106">
        <v>0.36</v>
      </c>
      <c r="N954" s="106">
        <v>0.14000000000000001</v>
      </c>
      <c r="O954" s="106">
        <v>0.09</v>
      </c>
      <c r="P954" s="106">
        <v>2070</v>
      </c>
      <c r="Q954" s="106">
        <v>467.40044388078633</v>
      </c>
      <c r="R954" s="106">
        <v>0.10417349225087484</v>
      </c>
      <c r="S954" s="106">
        <v>18654.334918621855</v>
      </c>
      <c r="T954" s="106">
        <v>17795.327203551045</v>
      </c>
      <c r="U954" s="106">
        <v>15441.331118055468</v>
      </c>
      <c r="V954" s="106">
        <v>0.26029814331448164</v>
      </c>
      <c r="W954" s="106">
        <v>81373.098914354647</v>
      </c>
      <c r="X954" s="110">
        <v>0.40063276510581886</v>
      </c>
      <c r="Y954" s="106">
        <v>766.50135013501347</v>
      </c>
      <c r="Z954" s="106">
        <v>25.549954995499547</v>
      </c>
      <c r="AA954" s="106">
        <v>54233.806621767202</v>
      </c>
      <c r="AB954" s="106">
        <v>514.70922401823725</v>
      </c>
      <c r="AC954" s="106">
        <v>1.8438683586680813</v>
      </c>
      <c r="AD954" s="106">
        <v>32.54802464661109</v>
      </c>
      <c r="AE954" s="106">
        <v>105.36785449146251</v>
      </c>
      <c r="AF954" s="106">
        <v>6.9122668708137505E-2</v>
      </c>
      <c r="AG954" s="106">
        <v>3390</v>
      </c>
      <c r="AH954" s="106">
        <v>18360.402557598816</v>
      </c>
      <c r="AI954" s="106">
        <v>18364.794335235678</v>
      </c>
      <c r="AJ954" s="106">
        <v>18773.655041217502</v>
      </c>
      <c r="AK954" s="104">
        <v>16689.135595011627</v>
      </c>
      <c r="AL954" s="118">
        <v>61250288</v>
      </c>
      <c r="AM954" s="118">
        <v>14910</v>
      </c>
      <c r="AN954" s="118">
        <v>283861</v>
      </c>
      <c r="AO954" s="118">
        <v>1801</v>
      </c>
      <c r="AP954" s="118">
        <f t="shared" si="14"/>
        <v>930</v>
      </c>
    </row>
    <row r="955" spans="1:42" ht="12.75">
      <c r="A955" s="106">
        <v>2018</v>
      </c>
      <c r="B955" s="106">
        <v>-175883</v>
      </c>
      <c r="C955" s="106">
        <v>0</v>
      </c>
      <c r="D955" s="106">
        <v>175883</v>
      </c>
      <c r="E955" s="106" t="s">
        <v>1642</v>
      </c>
      <c r="F955" s="106" t="s">
        <v>1643</v>
      </c>
      <c r="G955" s="106" t="s">
        <v>107</v>
      </c>
      <c r="H955" s="106">
        <v>4</v>
      </c>
      <c r="I955" s="106" t="s">
        <v>24</v>
      </c>
      <c r="J955" s="106">
        <v>3480</v>
      </c>
      <c r="K955" s="106">
        <v>5674</v>
      </c>
      <c r="L955" s="106">
        <v>4451</v>
      </c>
      <c r="M955" s="106">
        <v>0.6</v>
      </c>
      <c r="N955" s="106">
        <v>0.13</v>
      </c>
      <c r="O955" s="106">
        <v>0.35</v>
      </c>
      <c r="P955" s="106">
        <v>2638</v>
      </c>
      <c r="Q955" s="106">
        <v>1711.8341754708315</v>
      </c>
      <c r="R955" s="106">
        <v>0.50387503039647141</v>
      </c>
      <c r="S955" s="106">
        <v>10467.895268718419</v>
      </c>
      <c r="T955" s="106">
        <v>12373.612310519064</v>
      </c>
      <c r="U955" s="106">
        <v>7241.4726688102892</v>
      </c>
      <c r="V955" s="106">
        <v>0.23275715735790742</v>
      </c>
      <c r="W955" s="106">
        <v>84254.207182320446</v>
      </c>
      <c r="X955" s="110">
        <v>0.56612878532910105</v>
      </c>
      <c r="Y955" s="106">
        <v>911.33023255813953</v>
      </c>
      <c r="Z955" s="106">
        <v>30.376744186046508</v>
      </c>
      <c r="AA955" s="106">
        <v>20894.216037110669</v>
      </c>
      <c r="AB955" s="106">
        <v>241.375030622244</v>
      </c>
      <c r="AC955" s="106">
        <v>4.7860134987782192</v>
      </c>
      <c r="AD955" s="106">
        <v>40.037145131334576</v>
      </c>
      <c r="AE955" s="106">
        <v>86.56328694499669</v>
      </c>
      <c r="AF955" s="106">
        <v>-0.13883325364374979</v>
      </c>
      <c r="AG955" s="106">
        <v>3400</v>
      </c>
      <c r="AH955" s="106">
        <v>9468.0948553054659</v>
      </c>
      <c r="AI955" s="106">
        <v>9519.8819476343597</v>
      </c>
      <c r="AJ955" s="106">
        <v>10469.436380339917</v>
      </c>
      <c r="AK955" s="104">
        <v>8431.2762976573267</v>
      </c>
      <c r="AL955" s="119">
        <v>18828151</v>
      </c>
      <c r="AM955" s="118">
        <v>4517</v>
      </c>
      <c r="AN955" s="118">
        <v>130624</v>
      </c>
      <c r="AO955" s="118">
        <v>877</v>
      </c>
      <c r="AP955" s="118">
        <f t="shared" si="14"/>
        <v>80</v>
      </c>
    </row>
    <row r="956" spans="1:42" ht="12.75">
      <c r="A956" s="106">
        <v>2018</v>
      </c>
      <c r="B956" s="106">
        <v>-101541</v>
      </c>
      <c r="C956" s="106">
        <v>0</v>
      </c>
      <c r="D956" s="106">
        <v>101541</v>
      </c>
      <c r="E956" s="106" t="s">
        <v>1644</v>
      </c>
      <c r="F956" s="106" t="s">
        <v>1576</v>
      </c>
      <c r="G956" s="106" t="s">
        <v>85</v>
      </c>
      <c r="H956" s="106">
        <v>7</v>
      </c>
      <c r="I956" s="106" t="s">
        <v>3641</v>
      </c>
      <c r="J956" s="106">
        <v>17896</v>
      </c>
      <c r="K956" s="106">
        <v>16348</v>
      </c>
      <c r="L956" s="106">
        <v>15918</v>
      </c>
      <c r="M956" s="106">
        <v>0.6</v>
      </c>
      <c r="N956" s="106">
        <v>0.74</v>
      </c>
      <c r="O956" s="106">
        <v>0.98</v>
      </c>
      <c r="P956" s="106">
        <v>11929</v>
      </c>
      <c r="Q956" s="106">
        <v>9884.0739436619715</v>
      </c>
      <c r="R956" s="106">
        <v>0.54494900294734194</v>
      </c>
      <c r="S956" s="106">
        <v>36650.538732394365</v>
      </c>
      <c r="T956" s="106">
        <v>34842.471830985916</v>
      </c>
      <c r="U956" s="106">
        <v>25338.12653697042</v>
      </c>
      <c r="V956" s="106">
        <v>0.32573595053887555</v>
      </c>
      <c r="W956" s="106">
        <v>49231.327102803742</v>
      </c>
      <c r="X956" s="110">
        <v>0.53235093724653271</v>
      </c>
      <c r="Y956" s="106">
        <v>193.65909090909091</v>
      </c>
      <c r="Z956" s="106">
        <v>6.4545454545454541</v>
      </c>
      <c r="AA956" s="106">
        <v>102800.39909285142</v>
      </c>
      <c r="AB956" s="106">
        <v>844.50509758239639</v>
      </c>
      <c r="AC956" s="106">
        <v>0.97275886944444601</v>
      </c>
      <c r="AD956" s="106">
        <v>26.615969581749049</v>
      </c>
      <c r="AE956" s="106">
        <v>121.72857142857143</v>
      </c>
      <c r="AF956" s="106">
        <v>-2.9700305154208659E-2</v>
      </c>
      <c r="AG956" s="106">
        <v>16736</v>
      </c>
      <c r="AH956" s="106">
        <v>27526.426056338027</v>
      </c>
      <c r="AI956" s="106">
        <v>36616.278169014084</v>
      </c>
      <c r="AJ956" s="106">
        <v>38222.566901408449</v>
      </c>
      <c r="AK956" s="104">
        <v>25944.066901408452</v>
      </c>
      <c r="AL956" s="118"/>
      <c r="AM956" s="118">
        <v>315</v>
      </c>
      <c r="AN956" s="118">
        <v>8521</v>
      </c>
      <c r="AO956" s="118">
        <v>70</v>
      </c>
      <c r="AP956" s="118">
        <f t="shared" si="14"/>
        <v>1160</v>
      </c>
    </row>
    <row r="957" spans="1:42" ht="12.75">
      <c r="A957" s="106">
        <v>2018</v>
      </c>
      <c r="B957" s="106">
        <v>-146339</v>
      </c>
      <c r="C957" s="106">
        <v>0</v>
      </c>
      <c r="D957" s="106">
        <v>146339</v>
      </c>
      <c r="E957" s="106" t="s">
        <v>1645</v>
      </c>
      <c r="F957" s="106" t="s">
        <v>1164</v>
      </c>
      <c r="G957" s="106" t="s">
        <v>243</v>
      </c>
      <c r="H957" s="106">
        <v>6</v>
      </c>
      <c r="I957" s="106" t="s">
        <v>3640</v>
      </c>
      <c r="J957" s="106">
        <v>29434</v>
      </c>
      <c r="K957" s="106">
        <v>21437</v>
      </c>
      <c r="L957" s="106">
        <v>18416</v>
      </c>
      <c r="M957" s="106">
        <v>0.43</v>
      </c>
      <c r="N957" s="106">
        <v>0.77</v>
      </c>
      <c r="O957" s="106">
        <v>0.79</v>
      </c>
      <c r="P957" s="106">
        <v>20330</v>
      </c>
      <c r="Q957" s="106">
        <v>9031.0963020030813</v>
      </c>
      <c r="R957" s="106">
        <v>0.45965495889877894</v>
      </c>
      <c r="S957" s="106">
        <v>16112.168721109399</v>
      </c>
      <c r="T957" s="106">
        <v>18401.620184899846</v>
      </c>
      <c r="U957" s="106">
        <v>15749.483821263482</v>
      </c>
      <c r="V957" s="106">
        <v>0.67408299144492223</v>
      </c>
      <c r="W957" s="106">
        <v>57552.172897196258</v>
      </c>
      <c r="X957" s="110">
        <v>0.51563779617951677</v>
      </c>
      <c r="Y957" s="106">
        <v>347.29846153846148</v>
      </c>
      <c r="Z957" s="106">
        <v>11.981538461538461</v>
      </c>
      <c r="AA957" s="106">
        <v>56007.753424657538</v>
      </c>
      <c r="AB957" s="106">
        <v>543.34547097597283</v>
      </c>
      <c r="AC957" s="106">
        <v>1.7854670806341391</v>
      </c>
      <c r="AD957" s="106">
        <v>35.163776493256258</v>
      </c>
      <c r="AE957" s="106">
        <v>103.07945205479452</v>
      </c>
      <c r="AF957" s="106">
        <v>-6.2593646447806586E-2</v>
      </c>
      <c r="AG957" s="106">
        <v>28408</v>
      </c>
      <c r="AH957" s="106">
        <v>15026.592449922959</v>
      </c>
      <c r="AI957" s="106">
        <v>16223.944530046225</v>
      </c>
      <c r="AJ957" s="106">
        <v>16627.009244992296</v>
      </c>
      <c r="AK957" s="104">
        <v>15749.483821263482</v>
      </c>
      <c r="AL957" s="118">
        <v>476505</v>
      </c>
      <c r="AM957" s="118">
        <v>1081</v>
      </c>
      <c r="AN957" s="118">
        <v>37624</v>
      </c>
      <c r="AO957" s="118">
        <v>272</v>
      </c>
      <c r="AP957" s="118">
        <f t="shared" si="14"/>
        <v>1026</v>
      </c>
    </row>
    <row r="958" spans="1:42" ht="12.75">
      <c r="A958" s="106">
        <v>2018</v>
      </c>
      <c r="B958" s="106">
        <v>-213251</v>
      </c>
      <c r="C958" s="106">
        <v>0</v>
      </c>
      <c r="D958" s="106">
        <v>213251</v>
      </c>
      <c r="E958" s="106" t="s">
        <v>1646</v>
      </c>
      <c r="F958" s="106" t="s">
        <v>1647</v>
      </c>
      <c r="G958" s="106" t="s">
        <v>104</v>
      </c>
      <c r="H958" s="106">
        <v>7</v>
      </c>
      <c r="I958" s="106" t="s">
        <v>3641</v>
      </c>
      <c r="J958" s="106">
        <v>43875</v>
      </c>
      <c r="K958" s="106">
        <v>28154</v>
      </c>
      <c r="L958" s="106">
        <v>20638</v>
      </c>
      <c r="M958" s="106">
        <v>0.28000000000000003</v>
      </c>
      <c r="N958" s="106">
        <v>0.74</v>
      </c>
      <c r="O958" s="106">
        <v>1</v>
      </c>
      <c r="P958" s="106">
        <v>27095</v>
      </c>
      <c r="Q958" s="106">
        <v>24298.666898954703</v>
      </c>
      <c r="R958" s="106">
        <v>0.57694679034489149</v>
      </c>
      <c r="S958" s="106">
        <v>34604.727526132403</v>
      </c>
      <c r="T958" s="106">
        <v>38388.783972125435</v>
      </c>
      <c r="U958" s="106">
        <v>30195.117000015922</v>
      </c>
      <c r="V958" s="106">
        <v>0.59007194074423397</v>
      </c>
      <c r="W958" s="106">
        <v>83279.915959252961</v>
      </c>
      <c r="X958" s="110">
        <v>0.59361936163664242</v>
      </c>
      <c r="Y958" s="106">
        <v>332.32731958762884</v>
      </c>
      <c r="Z958" s="106">
        <v>11.095360824742267</v>
      </c>
      <c r="AA958" s="106">
        <v>115546.64772006092</v>
      </c>
      <c r="AB958" s="106">
        <v>1008.1197016128718</v>
      </c>
      <c r="AC958" s="106">
        <v>0.86545133046415712</v>
      </c>
      <c r="AD958" s="106">
        <v>26.005547850208043</v>
      </c>
      <c r="AE958" s="106">
        <v>114.616</v>
      </c>
      <c r="AF958" s="106">
        <v>3.6497877785353537E-2</v>
      </c>
      <c r="AG958" s="106">
        <v>43050</v>
      </c>
      <c r="AH958" s="106">
        <v>28901.630662020907</v>
      </c>
      <c r="AI958" s="106">
        <v>34604.727526132403</v>
      </c>
      <c r="AJ958" s="106">
        <v>42124.708013937285</v>
      </c>
      <c r="AK958" s="105">
        <v>32148.857839721255</v>
      </c>
      <c r="AM958" s="119">
        <v>1485</v>
      </c>
      <c r="AN958" s="119">
        <v>42981</v>
      </c>
      <c r="AO958" s="119">
        <v>355</v>
      </c>
      <c r="AP958" s="118">
        <f t="shared" si="14"/>
        <v>825</v>
      </c>
    </row>
    <row r="959" spans="1:42" ht="12.75">
      <c r="A959" s="106">
        <v>2018</v>
      </c>
      <c r="B959" s="106">
        <v>-170532</v>
      </c>
      <c r="C959" s="106">
        <v>0</v>
      </c>
      <c r="D959" s="106">
        <v>170532</v>
      </c>
      <c r="E959" s="106" t="s">
        <v>1648</v>
      </c>
      <c r="F959" s="106" t="s">
        <v>1649</v>
      </c>
      <c r="G959" s="106" t="s">
        <v>74</v>
      </c>
      <c r="H959" s="106">
        <v>7</v>
      </c>
      <c r="I959" s="106" t="s">
        <v>3641</v>
      </c>
      <c r="J959" s="106">
        <v>46840</v>
      </c>
      <c r="K959" s="106">
        <v>25903</v>
      </c>
      <c r="L959" s="106">
        <v>14564</v>
      </c>
      <c r="M959" s="106">
        <v>0.27</v>
      </c>
      <c r="N959" s="106">
        <v>0.59</v>
      </c>
      <c r="O959" s="106">
        <v>0.98</v>
      </c>
      <c r="P959" s="106">
        <v>31414</v>
      </c>
      <c r="Q959" s="106">
        <v>27968.340440165062</v>
      </c>
      <c r="R959" s="106">
        <v>0.61488579446488933</v>
      </c>
      <c r="S959" s="106">
        <v>47461.483493810178</v>
      </c>
      <c r="T959" s="106">
        <v>39264.623796423657</v>
      </c>
      <c r="U959" s="106">
        <v>33122.646240950904</v>
      </c>
      <c r="V959" s="106">
        <v>0.52885516463633298</v>
      </c>
      <c r="W959" s="106">
        <v>84918.914285714287</v>
      </c>
      <c r="X959" s="110">
        <v>0.57266325202204782</v>
      </c>
      <c r="Y959" s="106">
        <v>540.74380165289256</v>
      </c>
      <c r="Z959" s="106">
        <v>12.016528925619834</v>
      </c>
      <c r="AA959" s="106">
        <v>154360.02446904685</v>
      </c>
      <c r="AB959" s="106">
        <v>736.05880535446454</v>
      </c>
      <c r="AC959" s="106">
        <v>0.64783612430725268</v>
      </c>
      <c r="AD959" s="106">
        <v>21.80293501048218</v>
      </c>
      <c r="AE959" s="106">
        <v>209.71153846153845</v>
      </c>
      <c r="AF959" s="106">
        <v>0.12157959389814796</v>
      </c>
      <c r="AG959" s="106">
        <v>46350</v>
      </c>
      <c r="AH959" s="106">
        <v>25101.669876203578</v>
      </c>
      <c r="AI959" s="106">
        <v>47733.665749656124</v>
      </c>
      <c r="AJ959" s="106">
        <v>62434.310178817053</v>
      </c>
      <c r="AK959" s="104">
        <v>33630.066712517197</v>
      </c>
      <c r="AL959" s="118"/>
      <c r="AM959" s="118">
        <v>1436</v>
      </c>
      <c r="AN959" s="118">
        <v>65430</v>
      </c>
      <c r="AO959" s="118">
        <v>312</v>
      </c>
      <c r="AP959" s="118">
        <f t="shared" si="14"/>
        <v>490</v>
      </c>
    </row>
    <row r="960" spans="1:42" ht="12.75">
      <c r="A960" s="106">
        <v>2018</v>
      </c>
      <c r="B960" s="106">
        <v>-170541</v>
      </c>
      <c r="C960" s="106">
        <v>0</v>
      </c>
      <c r="D960" s="106">
        <v>170541</v>
      </c>
      <c r="E960" s="106" t="s">
        <v>1650</v>
      </c>
      <c r="F960" s="106" t="s">
        <v>1649</v>
      </c>
      <c r="G960" s="106" t="s">
        <v>74</v>
      </c>
      <c r="H960" s="106">
        <v>4</v>
      </c>
      <c r="I960" s="106" t="s">
        <v>24</v>
      </c>
      <c r="J960" s="106">
        <v>3381</v>
      </c>
      <c r="K960" s="106">
        <v>4174</v>
      </c>
      <c r="L960" s="106">
        <v>2709</v>
      </c>
      <c r="M960" s="106">
        <v>0.52</v>
      </c>
      <c r="N960" s="106">
        <v>0.24</v>
      </c>
      <c r="O960" s="106">
        <v>0.21</v>
      </c>
      <c r="P960" s="106">
        <v>2010</v>
      </c>
      <c r="Q960" s="107">
        <v>248.22526724975705</v>
      </c>
      <c r="R960" s="106">
        <v>5.0439957773406194E-2</v>
      </c>
      <c r="S960" s="106">
        <v>15329.467249757046</v>
      </c>
      <c r="T960" s="106">
        <v>15389.649368318756</v>
      </c>
      <c r="U960" s="106">
        <v>12143.644895406422</v>
      </c>
      <c r="V960" s="106">
        <v>0.38480848941570961</v>
      </c>
      <c r="W960" s="106">
        <v>81387.42566510172</v>
      </c>
      <c r="X960" s="110">
        <v>0.65681651719367729</v>
      </c>
      <c r="Y960" s="106">
        <v>569.59778597785976</v>
      </c>
      <c r="Z960" s="106">
        <v>18.985239852398525</v>
      </c>
      <c r="AA960" s="106">
        <v>54282.409197972236</v>
      </c>
      <c r="AB960" s="106">
        <v>404.75931735908711</v>
      </c>
      <c r="AC960" s="106">
        <v>1.8422174232409638</v>
      </c>
      <c r="AD960" s="106">
        <v>25.092653150207106</v>
      </c>
      <c r="AE960" s="106">
        <v>134.11033883579495</v>
      </c>
      <c r="AF960" s="106">
        <v>0.15496159180323965</v>
      </c>
      <c r="AG960" s="106">
        <v>3150</v>
      </c>
      <c r="AH960" s="106">
        <v>14105.188921282799</v>
      </c>
      <c r="AI960" s="106">
        <v>14107.683187560739</v>
      </c>
      <c r="AJ960" s="106">
        <v>15431.869387755101</v>
      </c>
      <c r="AK960" s="104">
        <v>14177.787366375122</v>
      </c>
      <c r="AL960" s="119">
        <v>41477721</v>
      </c>
      <c r="AM960" s="118">
        <v>8316</v>
      </c>
      <c r="AN960" s="118">
        <v>154361</v>
      </c>
      <c r="AO960" s="118">
        <v>910</v>
      </c>
      <c r="AP960" s="118">
        <f t="shared" si="14"/>
        <v>231</v>
      </c>
    </row>
    <row r="961" spans="1:42" ht="12.75">
      <c r="A961" s="106">
        <v>2018</v>
      </c>
      <c r="B961" s="106">
        <v>-146348</v>
      </c>
      <c r="C961" s="106">
        <v>0</v>
      </c>
      <c r="D961" s="106">
        <v>146348</v>
      </c>
      <c r="E961" s="106" t="s">
        <v>1651</v>
      </c>
      <c r="F961" s="106" t="s">
        <v>1652</v>
      </c>
      <c r="G961" s="106" t="s">
        <v>243</v>
      </c>
      <c r="H961" s="106">
        <v>4</v>
      </c>
      <c r="I961" s="106" t="s">
        <v>24</v>
      </c>
      <c r="J961" s="106">
        <v>4410</v>
      </c>
      <c r="K961" s="106">
        <v>6171</v>
      </c>
      <c r="L961" s="106">
        <v>5184</v>
      </c>
      <c r="M961" s="106">
        <v>0.45</v>
      </c>
      <c r="N961" s="106">
        <v>7.0000000000000007E-2</v>
      </c>
      <c r="O961" s="106">
        <v>0.16</v>
      </c>
      <c r="P961" s="106">
        <v>2132</v>
      </c>
      <c r="Q961" s="106">
        <v>750.95571955719561</v>
      </c>
      <c r="R961" s="106">
        <v>0.1526454444770188</v>
      </c>
      <c r="S961" s="106">
        <v>21993.549288350026</v>
      </c>
      <c r="T961" s="106">
        <v>22674.364786505008</v>
      </c>
      <c r="U961" s="106">
        <v>16837.678751781841</v>
      </c>
      <c r="V961" s="106">
        <v>0.24757878705780406</v>
      </c>
      <c r="W961" s="106">
        <v>85891.622682660847</v>
      </c>
      <c r="X961" s="110">
        <v>0.61037456580259997</v>
      </c>
      <c r="Y961" s="106">
        <v>453.95744680851061</v>
      </c>
      <c r="Z961" s="106">
        <v>15.135638297872338</v>
      </c>
      <c r="AA961" s="106">
        <v>40845.366486099934</v>
      </c>
      <c r="AB961" s="106">
        <v>561.39406271319865</v>
      </c>
      <c r="AC961" s="106">
        <v>2.4482581159855905</v>
      </c>
      <c r="AD961" s="106">
        <v>46.575342465753423</v>
      </c>
      <c r="AE961" s="106">
        <v>72.757033248081839</v>
      </c>
      <c r="AF961" s="106">
        <v>-2.2031596943416352E-2</v>
      </c>
      <c r="AG961" s="106">
        <v>4020</v>
      </c>
      <c r="AH961" s="106">
        <v>21186.641539272536</v>
      </c>
      <c r="AI961" s="106">
        <v>21186.641539272536</v>
      </c>
      <c r="AJ961" s="106">
        <v>22054.487084870849</v>
      </c>
      <c r="AK961" s="104">
        <v>21411.056404849762</v>
      </c>
      <c r="AL961" s="118">
        <v>16102256</v>
      </c>
      <c r="AM961" s="118">
        <v>3025</v>
      </c>
      <c r="AN961" s="118">
        <v>56896</v>
      </c>
      <c r="AO961" s="118">
        <v>389</v>
      </c>
      <c r="AP961" s="118">
        <f t="shared" si="14"/>
        <v>390</v>
      </c>
    </row>
    <row r="962" spans="1:42" ht="12.75">
      <c r="A962" s="106">
        <v>2018</v>
      </c>
      <c r="B962" s="106">
        <v>-155292</v>
      </c>
      <c r="C962" s="106">
        <v>0</v>
      </c>
      <c r="D962" s="106">
        <v>155292</v>
      </c>
      <c r="E962" s="106" t="s">
        <v>1653</v>
      </c>
      <c r="F962" s="106" t="s">
        <v>263</v>
      </c>
      <c r="G962" s="106" t="s">
        <v>129</v>
      </c>
      <c r="H962" s="106">
        <v>4</v>
      </c>
      <c r="I962" s="106" t="s">
        <v>24</v>
      </c>
      <c r="J962" s="106">
        <v>3248</v>
      </c>
      <c r="K962" s="106">
        <v>12490</v>
      </c>
      <c r="L962" s="106">
        <v>14396</v>
      </c>
      <c r="M962" s="106">
        <v>0.54</v>
      </c>
      <c r="N962" s="106">
        <v>0.22</v>
      </c>
      <c r="O962" s="106">
        <v>0.18</v>
      </c>
      <c r="P962" s="106">
        <v>3561</v>
      </c>
      <c r="Q962" s="106">
        <v>480.31333881128455</v>
      </c>
      <c r="R962" s="106">
        <v>8.9906069540490699E-2</v>
      </c>
      <c r="S962" s="106">
        <v>21116.147904683647</v>
      </c>
      <c r="T962" s="106">
        <v>20154.061626951519</v>
      </c>
      <c r="U962" s="106">
        <v>13903.778541760281</v>
      </c>
      <c r="V962" s="106">
        <v>0.34969466929505705</v>
      </c>
      <c r="W962" s="106">
        <v>70984.352590827883</v>
      </c>
      <c r="X962" s="110">
        <v>0.53990537611542011</v>
      </c>
      <c r="Y962" s="106">
        <v>474.15151515151513</v>
      </c>
      <c r="Z962" s="106">
        <v>15.805194805194805</v>
      </c>
      <c r="AA962" s="106">
        <v>40033.671495241942</v>
      </c>
      <c r="AB962" s="106">
        <v>463.46351610958544</v>
      </c>
      <c r="AC962" s="106">
        <v>2.4978973015723809</v>
      </c>
      <c r="AD962" s="106">
        <v>38.342908980949503</v>
      </c>
      <c r="AE962" s="106">
        <v>86.379337539432171</v>
      </c>
      <c r="AF962" s="106">
        <v>5.7269000925617611E-2</v>
      </c>
      <c r="AG962" s="106">
        <v>2580</v>
      </c>
      <c r="AH962" s="106">
        <v>21214.65297178855</v>
      </c>
      <c r="AI962" s="106">
        <v>21214.65297178855</v>
      </c>
      <c r="AJ962" s="106">
        <v>20849.458778416873</v>
      </c>
      <c r="AK962" s="104">
        <v>14257.981922760888</v>
      </c>
      <c r="AL962" s="119">
        <v>49984051</v>
      </c>
      <c r="AM962" s="118">
        <v>5825</v>
      </c>
      <c r="AN962" s="118">
        <v>109529</v>
      </c>
      <c r="AO962" s="118">
        <v>488</v>
      </c>
      <c r="AP962" s="118">
        <f t="shared" si="14"/>
        <v>668</v>
      </c>
    </row>
    <row r="963" spans="1:42" ht="12.75">
      <c r="A963" s="106">
        <v>2018</v>
      </c>
      <c r="B963" s="106">
        <v>-155399</v>
      </c>
      <c r="C963" s="106">
        <v>0</v>
      </c>
      <c r="D963" s="106">
        <v>155399</v>
      </c>
      <c r="E963" s="106" t="s">
        <v>1654</v>
      </c>
      <c r="F963" s="106" t="s">
        <v>1655</v>
      </c>
      <c r="G963" s="106" t="s">
        <v>129</v>
      </c>
      <c r="H963" s="106">
        <v>1</v>
      </c>
      <c r="I963" s="106" t="s">
        <v>23</v>
      </c>
      <c r="J963" s="106">
        <v>10135</v>
      </c>
      <c r="K963" s="106">
        <v>18002</v>
      </c>
      <c r="L963" s="106">
        <v>14281</v>
      </c>
      <c r="M963" s="106">
        <v>0.21</v>
      </c>
      <c r="N963" s="106">
        <v>0.48</v>
      </c>
      <c r="O963" s="106">
        <v>0.75</v>
      </c>
      <c r="P963" s="106">
        <v>5725</v>
      </c>
      <c r="Q963" s="106">
        <v>2766.5096288866598</v>
      </c>
      <c r="R963" s="106">
        <v>0.19008111290009741</v>
      </c>
      <c r="S963" s="106">
        <v>41893.54413239719</v>
      </c>
      <c r="T963" s="106">
        <v>42268.30511534604</v>
      </c>
      <c r="U963" s="106">
        <v>16530.697655505854</v>
      </c>
      <c r="V963" s="106">
        <v>0.71308871576630006</v>
      </c>
      <c r="W963" s="106">
        <v>104490.6028507546</v>
      </c>
      <c r="X963" s="110">
        <v>0.59144766279582994</v>
      </c>
      <c r="Y963" s="106">
        <v>378.33610237988324</v>
      </c>
      <c r="Z963" s="106">
        <v>13.430624158060169</v>
      </c>
      <c r="AA963" s="106">
        <v>57727.164842519567</v>
      </c>
      <c r="AB963" s="106">
        <v>586.82633215558178</v>
      </c>
      <c r="AC963" s="106">
        <v>1.7322867019851271</v>
      </c>
      <c r="AD963" s="106">
        <v>27.61923188546</v>
      </c>
      <c r="AE963" s="106">
        <v>98.37180385288967</v>
      </c>
      <c r="AF963" s="106">
        <v>2.8486381979477202E-2</v>
      </c>
      <c r="AG963" s="106">
        <v>9273</v>
      </c>
      <c r="AH963" s="106">
        <v>40740.947091273818</v>
      </c>
      <c r="AI963" s="106">
        <v>40740.947091273818</v>
      </c>
      <c r="AJ963" s="106">
        <v>42113.887111333999</v>
      </c>
      <c r="AK963" s="104">
        <v>35873.028084252757</v>
      </c>
      <c r="AL963" s="119">
        <v>163678139</v>
      </c>
      <c r="AM963" s="118">
        <v>18488</v>
      </c>
      <c r="AN963" s="118">
        <v>561703</v>
      </c>
      <c r="AO963" s="118">
        <v>3993</v>
      </c>
      <c r="AP963" s="118">
        <f t="shared" si="14"/>
        <v>862</v>
      </c>
    </row>
    <row r="964" spans="1:42" ht="12.75">
      <c r="A964" s="106">
        <v>2018</v>
      </c>
      <c r="B964" s="106">
        <v>-155414</v>
      </c>
      <c r="C964" s="106">
        <v>0</v>
      </c>
      <c r="D964" s="106">
        <v>155414</v>
      </c>
      <c r="E964" s="106" t="s">
        <v>1656</v>
      </c>
      <c r="F964" s="106" t="s">
        <v>1657</v>
      </c>
      <c r="G964" s="106" t="s">
        <v>129</v>
      </c>
      <c r="H964" s="106">
        <v>7</v>
      </c>
      <c r="I964" s="106" t="s">
        <v>3641</v>
      </c>
      <c r="J964" s="106">
        <v>28980</v>
      </c>
      <c r="K964" s="106">
        <v>25221</v>
      </c>
      <c r="L964" s="106">
        <v>23928</v>
      </c>
      <c r="M964" s="106">
        <v>0.46</v>
      </c>
      <c r="N964" s="106">
        <v>0.87</v>
      </c>
      <c r="O964" s="106">
        <v>0.97</v>
      </c>
      <c r="P964" s="106">
        <v>14850</v>
      </c>
      <c r="Q964" s="106">
        <v>13113.979811574698</v>
      </c>
      <c r="R964" s="106">
        <v>0.50858138607494507</v>
      </c>
      <c r="S964" s="106">
        <v>23509.053835800809</v>
      </c>
      <c r="T964" s="106">
        <v>23272.625841184388</v>
      </c>
      <c r="U964" s="106">
        <v>18657.36204576043</v>
      </c>
      <c r="V964" s="106">
        <v>0.67916518183693753</v>
      </c>
      <c r="W964" s="106">
        <v>57915.159292035401</v>
      </c>
      <c r="X964" s="110">
        <v>0.50463251987486846</v>
      </c>
      <c r="Y964" s="106">
        <v>389.41071428571428</v>
      </c>
      <c r="Z964" s="106">
        <v>13.267857142857142</v>
      </c>
      <c r="AA964" s="106">
        <v>77013.444444444438</v>
      </c>
      <c r="AB964" s="106">
        <v>635.68670610354468</v>
      </c>
      <c r="AC964" s="106">
        <v>1.298474580917329</v>
      </c>
      <c r="AD964" s="106">
        <v>25.97402597402597</v>
      </c>
      <c r="AE964" s="106">
        <v>121.15</v>
      </c>
      <c r="AF964" s="106">
        <v>9.4027265513883915E-4</v>
      </c>
      <c r="AG964" s="106">
        <v>28980</v>
      </c>
      <c r="AH964" s="106">
        <v>19479.415881561239</v>
      </c>
      <c r="AI964" s="106">
        <v>23509.053835800809</v>
      </c>
      <c r="AJ964" s="106">
        <v>23329.737550471062</v>
      </c>
      <c r="AK964" s="104">
        <v>18657.36204576043</v>
      </c>
      <c r="AM964" s="118">
        <v>693</v>
      </c>
      <c r="AN964" s="118">
        <v>21807</v>
      </c>
      <c r="AO964" s="118">
        <v>126</v>
      </c>
      <c r="AP964" s="118">
        <f t="shared" si="14"/>
        <v>0</v>
      </c>
    </row>
    <row r="965" spans="1:42" ht="12.75">
      <c r="A965" s="106">
        <v>2018</v>
      </c>
      <c r="B965" s="106">
        <v>-141796</v>
      </c>
      <c r="C965" s="106">
        <v>0</v>
      </c>
      <c r="D965" s="106">
        <v>141796</v>
      </c>
      <c r="E965" s="106" t="s">
        <v>1658</v>
      </c>
      <c r="F965" s="106" t="s">
        <v>703</v>
      </c>
      <c r="G965" s="106" t="s">
        <v>453</v>
      </c>
      <c r="H965" s="106">
        <v>4</v>
      </c>
      <c r="I965" s="106" t="s">
        <v>24</v>
      </c>
      <c r="J965" s="106">
        <v>3084</v>
      </c>
      <c r="K965" s="106">
        <v>6905</v>
      </c>
      <c r="L965" s="106">
        <v>5686</v>
      </c>
      <c r="M965" s="106">
        <v>0.38</v>
      </c>
      <c r="N965" s="106">
        <v>0.1</v>
      </c>
      <c r="O965" s="106">
        <v>0.28999999999999998</v>
      </c>
      <c r="P965" s="106">
        <v>2065</v>
      </c>
      <c r="Q965" s="106">
        <v>530.24994082840237</v>
      </c>
      <c r="R965" s="106">
        <v>9.567558857753633E-2</v>
      </c>
      <c r="S965" s="106">
        <v>18927.369230769229</v>
      </c>
      <c r="T965" s="106">
        <v>19319.644023668639</v>
      </c>
      <c r="U965" s="106">
        <v>15103.921596074839</v>
      </c>
      <c r="V965" s="106">
        <v>0.33182875527247579</v>
      </c>
      <c r="W965" s="106">
        <v>129011.75896700143</v>
      </c>
      <c r="X965" s="110">
        <v>0.73442082361128924</v>
      </c>
      <c r="Y965" s="106">
        <v>534.03370786516848</v>
      </c>
      <c r="Z965" s="106">
        <v>17.801966292134832</v>
      </c>
      <c r="AA965" s="106">
        <v>50011.02566098448</v>
      </c>
      <c r="AB965" s="106">
        <v>503.48788694862242</v>
      </c>
      <c r="AC965" s="106">
        <v>1.9995590707913402</v>
      </c>
      <c r="AD965" s="106">
        <v>31.023583758813515</v>
      </c>
      <c r="AE965" s="106">
        <v>99.329153605015676</v>
      </c>
      <c r="AF965" s="106">
        <v>-2.9618152130523184E-2</v>
      </c>
      <c r="AG965" s="106">
        <v>3024</v>
      </c>
      <c r="AH965" s="106">
        <v>18455.414437869822</v>
      </c>
      <c r="AI965" s="106">
        <v>18455.414437869822</v>
      </c>
      <c r="AJ965" s="106">
        <v>18951.951242603551</v>
      </c>
      <c r="AK965" s="104">
        <v>16626.470769230767</v>
      </c>
      <c r="AL965" s="119">
        <v>30265388</v>
      </c>
      <c r="AM965" s="118">
        <v>7095</v>
      </c>
      <c r="AN965" s="118">
        <v>126744</v>
      </c>
      <c r="AO965" s="118">
        <v>1082</v>
      </c>
      <c r="AP965" s="118">
        <f t="shared" si="14"/>
        <v>60</v>
      </c>
    </row>
    <row r="966" spans="1:42" ht="12.75">
      <c r="A966" s="106">
        <v>2018</v>
      </c>
      <c r="B966" s="106">
        <v>-146366</v>
      </c>
      <c r="C966" s="106">
        <v>0</v>
      </c>
      <c r="D966" s="106">
        <v>146366</v>
      </c>
      <c r="E966" s="106" t="s">
        <v>1659</v>
      </c>
      <c r="F966" s="106" t="s">
        <v>691</v>
      </c>
      <c r="G966" s="106" t="s">
        <v>243</v>
      </c>
      <c r="H966" s="106">
        <v>4</v>
      </c>
      <c r="I966" s="106" t="s">
        <v>24</v>
      </c>
      <c r="J966" s="106">
        <v>4470</v>
      </c>
      <c r="K966" s="106">
        <v>4923</v>
      </c>
      <c r="L966" s="106">
        <v>6176</v>
      </c>
      <c r="M966" s="106">
        <v>0.49</v>
      </c>
      <c r="N966" s="106">
        <v>0.1</v>
      </c>
      <c r="O966" s="106">
        <v>0.27</v>
      </c>
      <c r="P966" s="106">
        <v>4180</v>
      </c>
      <c r="Q966" s="106">
        <v>1853.2662852112676</v>
      </c>
      <c r="R966" s="106">
        <v>0.35214002233794017</v>
      </c>
      <c r="S966" s="106">
        <v>20299.871038732395</v>
      </c>
      <c r="T966" s="106">
        <v>16644.511443661973</v>
      </c>
      <c r="U966" s="106">
        <v>13324.560192926656</v>
      </c>
      <c r="V966" s="106">
        <v>0.25588846333587456</v>
      </c>
      <c r="W966" s="106">
        <v>126016.77272727272</v>
      </c>
      <c r="X966" s="110">
        <v>0.68423995665364667</v>
      </c>
      <c r="Y966" s="106">
        <v>743.55272727272722</v>
      </c>
      <c r="Z966" s="106">
        <v>24.785454545454545</v>
      </c>
      <c r="AA966" s="106">
        <v>31241.899647398721</v>
      </c>
      <c r="AB966" s="106">
        <v>444.15852284114146</v>
      </c>
      <c r="AC966" s="106">
        <v>3.200829691171684</v>
      </c>
      <c r="AD966" s="106">
        <v>52.435064935064936</v>
      </c>
      <c r="AE966" s="106">
        <v>70.339525283797727</v>
      </c>
      <c r="AF966" s="106">
        <v>0.20765543771139097</v>
      </c>
      <c r="AG966" s="106">
        <v>3990</v>
      </c>
      <c r="AH966" s="106">
        <v>19440.665492957745</v>
      </c>
      <c r="AI966" s="106">
        <v>19440.665492957745</v>
      </c>
      <c r="AJ966" s="106">
        <v>20389.866637323943</v>
      </c>
      <c r="AK966" s="104">
        <v>14373.18485915493</v>
      </c>
      <c r="AL966" s="119">
        <v>11899859</v>
      </c>
      <c r="AM966" s="118">
        <v>3107</v>
      </c>
      <c r="AN966" s="118">
        <v>68159</v>
      </c>
      <c r="AO966" s="118">
        <v>484</v>
      </c>
      <c r="AP966" s="118">
        <f t="shared" ref="AP966:AP1029" si="15">J966-AG966</f>
        <v>480</v>
      </c>
    </row>
    <row r="967" spans="1:42" ht="12.75">
      <c r="A967" s="106">
        <v>2018</v>
      </c>
      <c r="B967" s="106">
        <v>-141802</v>
      </c>
      <c r="C967" s="106">
        <v>0</v>
      </c>
      <c r="D967" s="106">
        <v>141802</v>
      </c>
      <c r="E967" s="106" t="s">
        <v>1660</v>
      </c>
      <c r="F967" s="106" t="s">
        <v>1661</v>
      </c>
      <c r="G967" s="106" t="s">
        <v>453</v>
      </c>
      <c r="H967" s="106">
        <v>4</v>
      </c>
      <c r="I967" s="106" t="s">
        <v>24</v>
      </c>
      <c r="J967" s="106">
        <v>3132</v>
      </c>
      <c r="K967" s="106">
        <v>11052</v>
      </c>
      <c r="L967" s="106">
        <v>7833</v>
      </c>
      <c r="M967" s="106">
        <v>0.51</v>
      </c>
      <c r="N967" s="106">
        <v>0.06</v>
      </c>
      <c r="O967" s="106">
        <v>0.53</v>
      </c>
      <c r="P967" s="106">
        <v>2662</v>
      </c>
      <c r="Q967" s="106">
        <v>676.73391812865498</v>
      </c>
      <c r="R967" s="106">
        <v>0.15310337254362372</v>
      </c>
      <c r="S967" s="106">
        <v>33487.033625730997</v>
      </c>
      <c r="T967" s="106">
        <v>33296.872807017542</v>
      </c>
      <c r="U967" s="106">
        <v>27805.823105555643</v>
      </c>
      <c r="V967" s="106">
        <v>0.13462565660336537</v>
      </c>
      <c r="W967" s="106">
        <v>109566.93824701195</v>
      </c>
      <c r="X967" s="110">
        <v>0.80501215781595492</v>
      </c>
      <c r="Y967" s="106">
        <v>291.62559241706163</v>
      </c>
      <c r="Z967" s="106">
        <v>9.7251184834123237</v>
      </c>
      <c r="AA967" s="106">
        <v>90138.308076777539</v>
      </c>
      <c r="AB967" s="106">
        <v>927.26746644239972</v>
      </c>
      <c r="AC967" s="106">
        <v>1.1094062239866154</v>
      </c>
      <c r="AD967" s="106">
        <v>30.491329479768787</v>
      </c>
      <c r="AE967" s="106">
        <v>97.208530805687204</v>
      </c>
      <c r="AF967" s="106">
        <v>2.4334113858015614E-2</v>
      </c>
      <c r="AG967" s="106">
        <v>3024</v>
      </c>
      <c r="AH967" s="106">
        <v>32706.247076023392</v>
      </c>
      <c r="AI967" s="106">
        <v>32706.247076023392</v>
      </c>
      <c r="AJ967" s="106">
        <v>33514.349415204677</v>
      </c>
      <c r="AK967" s="104">
        <v>30635.811403508771</v>
      </c>
      <c r="AL967" s="118">
        <v>11484996</v>
      </c>
      <c r="AM967" s="118">
        <v>1346</v>
      </c>
      <c r="AN967" s="118">
        <v>20511</v>
      </c>
      <c r="AO967" s="118">
        <v>135</v>
      </c>
      <c r="AP967" s="118">
        <f t="shared" si="15"/>
        <v>108</v>
      </c>
    </row>
    <row r="968" spans="1:42" ht="12.75">
      <c r="A968" s="106">
        <v>2018</v>
      </c>
      <c r="B968" s="106">
        <v>-185262</v>
      </c>
      <c r="C968" s="106">
        <v>0</v>
      </c>
      <c r="D968" s="106">
        <v>185262</v>
      </c>
      <c r="E968" s="106" t="s">
        <v>1662</v>
      </c>
      <c r="F968" s="106" t="s">
        <v>1084</v>
      </c>
      <c r="G968" s="106" t="s">
        <v>234</v>
      </c>
      <c r="H968" s="106">
        <v>2</v>
      </c>
      <c r="I968" s="106" t="s">
        <v>25</v>
      </c>
      <c r="J968" s="106">
        <v>12107</v>
      </c>
      <c r="K968" s="106">
        <v>17067</v>
      </c>
      <c r="L968" s="106">
        <v>14720</v>
      </c>
      <c r="M968" s="106">
        <v>0.55000000000000004</v>
      </c>
      <c r="N968" s="106">
        <v>0.67</v>
      </c>
      <c r="O968" s="106">
        <v>0.26</v>
      </c>
      <c r="P968" s="106">
        <v>2124</v>
      </c>
      <c r="Q968" s="106">
        <v>896.6629379832209</v>
      </c>
      <c r="R968" s="106">
        <v>6.6610177451241939E-2</v>
      </c>
      <c r="S968" s="106">
        <v>23038.331797993091</v>
      </c>
      <c r="T968" s="106">
        <v>20920.77882875473</v>
      </c>
      <c r="U968" s="106">
        <v>16747.422163106763</v>
      </c>
      <c r="V968" s="106">
        <v>0.75024605734681515</v>
      </c>
      <c r="W968" s="106">
        <v>118930.51586462189</v>
      </c>
      <c r="X968" s="110">
        <v>0.58945897583096407</v>
      </c>
      <c r="Y968" s="106">
        <v>504.29027645376556</v>
      </c>
      <c r="Z968" s="106">
        <v>17.385128693994282</v>
      </c>
      <c r="AA968" s="106">
        <v>63058.271495525551</v>
      </c>
      <c r="AB968" s="106">
        <v>577.35812723915762</v>
      </c>
      <c r="AC968" s="106">
        <v>1.5858347783461799</v>
      </c>
      <c r="AD968" s="106">
        <v>26.971266288005346</v>
      </c>
      <c r="AE968" s="106">
        <v>109.21864354289254</v>
      </c>
      <c r="AF968" s="106">
        <v>0.17612263008663584</v>
      </c>
      <c r="AG968" s="106">
        <v>7909</v>
      </c>
      <c r="AH968" s="106">
        <v>24063.174288534297</v>
      </c>
      <c r="AI968" s="106">
        <v>24190.107336733014</v>
      </c>
      <c r="AJ968" s="106">
        <v>23211.205625925315</v>
      </c>
      <c r="AK968" s="104">
        <v>17793.225119263036</v>
      </c>
      <c r="AL968" s="119">
        <v>85116004</v>
      </c>
      <c r="AM968" s="118">
        <v>11984</v>
      </c>
      <c r="AN968" s="118">
        <v>352667</v>
      </c>
      <c r="AO968" s="118">
        <v>2578</v>
      </c>
      <c r="AP968" s="118">
        <f t="shared" si="15"/>
        <v>4198</v>
      </c>
    </row>
    <row r="969" spans="1:42" ht="12.75">
      <c r="A969" s="106">
        <v>2018</v>
      </c>
      <c r="B969" s="106">
        <v>-440031</v>
      </c>
      <c r="C969" s="106">
        <v>0</v>
      </c>
      <c r="D969" s="106">
        <v>440031</v>
      </c>
      <c r="E969" s="106" t="s">
        <v>1663</v>
      </c>
      <c r="F969" s="106" t="s">
        <v>751</v>
      </c>
      <c r="G969" s="106" t="s">
        <v>121</v>
      </c>
      <c r="H969" s="106">
        <v>6</v>
      </c>
      <c r="I969" s="106" t="s">
        <v>3640</v>
      </c>
      <c r="J969" s="106"/>
      <c r="K969" s="106"/>
      <c r="L969" s="106"/>
      <c r="M969" s="106"/>
      <c r="N969" s="106"/>
      <c r="O969" s="106"/>
      <c r="P969" s="106"/>
      <c r="Q969" s="106">
        <v>3426.5777126099706</v>
      </c>
      <c r="R969" s="106">
        <v>9.0616164450319753E-2</v>
      </c>
      <c r="S969" s="106">
        <v>50578.994134897359</v>
      </c>
      <c r="T969" s="106">
        <v>49281.563049853372</v>
      </c>
      <c r="U969" s="106">
        <v>41003.495697196639</v>
      </c>
      <c r="V969" s="106">
        <v>0.83865097636616404</v>
      </c>
      <c r="W969" s="106">
        <v>136004.65714285715</v>
      </c>
      <c r="X969" s="110">
        <v>0.61372677902718675</v>
      </c>
      <c r="Y969" s="106">
        <v>115.5421686746988</v>
      </c>
      <c r="Z969" s="106">
        <v>8.2168674698795172</v>
      </c>
      <c r="AA969" s="106">
        <v>94794.52225589189</v>
      </c>
      <c r="AB969" s="106">
        <v>2915.9941674127326</v>
      </c>
      <c r="AC969" s="106">
        <v>1.0549132757909392</v>
      </c>
      <c r="AD969" s="106">
        <v>51.573426573426573</v>
      </c>
      <c r="AE969" s="106">
        <v>32.508474576271183</v>
      </c>
      <c r="AF969" s="106">
        <v>0.11025965659269264</v>
      </c>
      <c r="AG969" s="106"/>
      <c r="AH969" s="106">
        <v>37303.491202346042</v>
      </c>
      <c r="AI969" s="106">
        <v>50578.994134897359</v>
      </c>
      <c r="AJ969" s="106">
        <v>56024.851906158357</v>
      </c>
      <c r="AK969" s="104">
        <v>49281.563049853372</v>
      </c>
      <c r="AM969" s="118"/>
      <c r="AN969" s="118">
        <v>9590</v>
      </c>
      <c r="AO969" s="118"/>
      <c r="AP969" s="118">
        <f t="shared" si="15"/>
        <v>0</v>
      </c>
    </row>
    <row r="970" spans="1:42" ht="12.75">
      <c r="A970" s="106">
        <v>2018</v>
      </c>
      <c r="B970" s="106">
        <v>-183062</v>
      </c>
      <c r="C970" s="106">
        <v>0</v>
      </c>
      <c r="D970" s="106">
        <v>183062</v>
      </c>
      <c r="E970" s="106" t="s">
        <v>1664</v>
      </c>
      <c r="F970" s="106" t="s">
        <v>178</v>
      </c>
      <c r="G970" s="106" t="s">
        <v>179</v>
      </c>
      <c r="H970" s="106">
        <v>2</v>
      </c>
      <c r="I970" s="106" t="s">
        <v>25</v>
      </c>
      <c r="J970" s="106">
        <v>13868</v>
      </c>
      <c r="K970" s="106">
        <v>18606</v>
      </c>
      <c r="L970" s="106">
        <v>12580</v>
      </c>
      <c r="M970" s="106">
        <v>0.27</v>
      </c>
      <c r="N970" s="106">
        <v>0.75</v>
      </c>
      <c r="O970" s="106">
        <v>0.95</v>
      </c>
      <c r="P970" s="106">
        <v>7656</v>
      </c>
      <c r="Q970" s="106">
        <v>4776.819042743793</v>
      </c>
      <c r="R970" s="106">
        <v>0.28246672716264287</v>
      </c>
      <c r="S970" s="106">
        <v>25142.848477092397</v>
      </c>
      <c r="T970" s="106">
        <v>27295.833887893525</v>
      </c>
      <c r="U970" s="106">
        <v>18184.98340081994</v>
      </c>
      <c r="V970" s="106">
        <v>0.66726850574118912</v>
      </c>
      <c r="W970" s="106">
        <v>100934.50027578598</v>
      </c>
      <c r="X970" s="110">
        <v>0.57197415949576846</v>
      </c>
      <c r="Y970" s="106">
        <v>460.34428383705654</v>
      </c>
      <c r="Z970" s="106">
        <v>15.40210249671485</v>
      </c>
      <c r="AA970" s="106">
        <v>67859.341114616531</v>
      </c>
      <c r="AB970" s="106">
        <v>608.42936053405299</v>
      </c>
      <c r="AC970" s="106">
        <v>1.4736364715227179</v>
      </c>
      <c r="AD970" s="106">
        <v>27.987169206094624</v>
      </c>
      <c r="AE970" s="106">
        <v>111.53199617956065</v>
      </c>
      <c r="AF970" s="106">
        <v>-1.5915681194190331E-2</v>
      </c>
      <c r="AG970" s="106">
        <v>11188</v>
      </c>
      <c r="AH970" s="106">
        <v>25015.487330432556</v>
      </c>
      <c r="AI970" s="106">
        <v>25291.901202969031</v>
      </c>
      <c r="AJ970" s="106">
        <v>26314.906066035321</v>
      </c>
      <c r="AK970" s="104">
        <v>19561.876631686715</v>
      </c>
      <c r="AL970" s="118">
        <v>10991515</v>
      </c>
      <c r="AM970" s="118">
        <v>3780</v>
      </c>
      <c r="AN970" s="118">
        <v>116774</v>
      </c>
      <c r="AO970" s="118">
        <v>995</v>
      </c>
      <c r="AP970" s="118">
        <f t="shared" si="15"/>
        <v>2680</v>
      </c>
    </row>
    <row r="971" spans="1:42" ht="12.75">
      <c r="A971" s="106">
        <v>2018</v>
      </c>
      <c r="B971" s="106">
        <v>-135081</v>
      </c>
      <c r="C971" s="106">
        <v>0</v>
      </c>
      <c r="D971" s="106">
        <v>135081</v>
      </c>
      <c r="E971" s="106" t="s">
        <v>1665</v>
      </c>
      <c r="F971" s="106" t="s">
        <v>466</v>
      </c>
      <c r="G971" s="106" t="s">
        <v>258</v>
      </c>
      <c r="H971" s="106">
        <v>6</v>
      </c>
      <c r="I971" s="106" t="s">
        <v>3640</v>
      </c>
      <c r="J971" s="106">
        <v>19224</v>
      </c>
      <c r="K971" s="106">
        <v>27649</v>
      </c>
      <c r="L971" s="106">
        <v>30118</v>
      </c>
      <c r="M971" s="106">
        <v>0.66</v>
      </c>
      <c r="N971" s="106">
        <v>0.67</v>
      </c>
      <c r="O971" s="106">
        <v>0.63</v>
      </c>
      <c r="P971" s="106">
        <v>4201</v>
      </c>
      <c r="Q971" s="106">
        <v>4.0072859744990891E-2</v>
      </c>
      <c r="R971" s="106">
        <v>2.9513584362359332E-6</v>
      </c>
      <c r="S971" s="106">
        <v>13726.176903460839</v>
      </c>
      <c r="T971" s="106">
        <v>13594.402805100182</v>
      </c>
      <c r="U971" s="106">
        <v>13463.721632255545</v>
      </c>
      <c r="V971" s="106">
        <v>1.008467656035315</v>
      </c>
      <c r="W971" s="106">
        <v>62860.569257950527</v>
      </c>
      <c r="X971" s="110">
        <v>0.47671878148436625</v>
      </c>
      <c r="Y971" s="106">
        <v>619.73951490651848</v>
      </c>
      <c r="Z971" s="106">
        <v>20.805962607377463</v>
      </c>
      <c r="AA971" s="106">
        <v>68504.014607120436</v>
      </c>
      <c r="AB971" s="106">
        <v>452.00553151609535</v>
      </c>
      <c r="AC971" s="106">
        <v>1.4597684613597204</v>
      </c>
      <c r="AD971" s="106">
        <v>38.327649900539932</v>
      </c>
      <c r="AE971" s="106">
        <v>151.55569972196477</v>
      </c>
      <c r="AF971" s="106">
        <v>3.8338911666309899E-2</v>
      </c>
      <c r="AG971" s="106">
        <v>18224</v>
      </c>
      <c r="AH971" s="106">
        <v>13722.086375227687</v>
      </c>
      <c r="AI971" s="106">
        <v>13736.789653916212</v>
      </c>
      <c r="AJ971" s="106">
        <v>13810.756612021858</v>
      </c>
      <c r="AK971" s="104">
        <v>13594.402805100182</v>
      </c>
      <c r="AL971" s="118"/>
      <c r="AM971" s="118">
        <v>18630</v>
      </c>
      <c r="AN971" s="118">
        <v>817643</v>
      </c>
      <c r="AO971" s="118">
        <v>4934</v>
      </c>
      <c r="AP971" s="118">
        <f t="shared" si="15"/>
        <v>1000</v>
      </c>
    </row>
    <row r="972" spans="1:42" ht="12.75">
      <c r="A972" s="106">
        <v>2018</v>
      </c>
      <c r="B972" s="106">
        <v>-170550</v>
      </c>
      <c r="C972" s="106">
        <v>0</v>
      </c>
      <c r="D972" s="106">
        <v>170550</v>
      </c>
      <c r="E972" s="106" t="s">
        <v>1666</v>
      </c>
      <c r="F972" s="106" t="s">
        <v>1667</v>
      </c>
      <c r="G972" s="106" t="s">
        <v>74</v>
      </c>
      <c r="H972" s="106">
        <v>4</v>
      </c>
      <c r="I972" s="106" t="s">
        <v>24</v>
      </c>
      <c r="J972" s="106">
        <v>3928</v>
      </c>
      <c r="K972" s="106">
        <v>7096</v>
      </c>
      <c r="L972" s="106">
        <v>6083</v>
      </c>
      <c r="M972" s="106">
        <v>0.48</v>
      </c>
      <c r="N972" s="106">
        <v>0.13</v>
      </c>
      <c r="O972" s="106">
        <v>0.1</v>
      </c>
      <c r="P972" s="106">
        <v>2087</v>
      </c>
      <c r="Q972" s="106">
        <v>695.56979241231215</v>
      </c>
      <c r="R972" s="106">
        <v>0.11738703784888786</v>
      </c>
      <c r="S972" s="106">
        <v>19168.440944881891</v>
      </c>
      <c r="T972" s="106">
        <v>18298.56692913386</v>
      </c>
      <c r="U972" s="106">
        <v>14908.821528619168</v>
      </c>
      <c r="V972" s="106">
        <v>0.3507902828396614</v>
      </c>
      <c r="W972" s="106">
        <v>88055.071362372561</v>
      </c>
      <c r="X972" s="110">
        <v>0.61945688272994137</v>
      </c>
      <c r="Y972" s="106">
        <v>433.48965517241385</v>
      </c>
      <c r="Z972" s="106">
        <v>14.451724137931036</v>
      </c>
      <c r="AA972" s="106">
        <v>47228.171599730107</v>
      </c>
      <c r="AB972" s="106">
        <v>497.03187465351704</v>
      </c>
      <c r="AC972" s="106">
        <v>2.1173802968178315</v>
      </c>
      <c r="AD972" s="106">
        <v>36.950146627565985</v>
      </c>
      <c r="AE972" s="106">
        <v>95.020408163265301</v>
      </c>
      <c r="AF972" s="106">
        <v>9.2522995344758385E-2</v>
      </c>
      <c r="AG972" s="106">
        <v>3448</v>
      </c>
      <c r="AH972" s="106">
        <v>17740.961345740874</v>
      </c>
      <c r="AI972" s="106">
        <v>17740.961345740874</v>
      </c>
      <c r="AJ972" s="106">
        <v>19270.09520400859</v>
      </c>
      <c r="AK972" s="104">
        <v>17461.712956335003</v>
      </c>
      <c r="AL972" s="118">
        <v>27295569</v>
      </c>
      <c r="AM972" s="118">
        <v>4814</v>
      </c>
      <c r="AN972" s="118">
        <v>83808</v>
      </c>
      <c r="AO972" s="118">
        <v>655</v>
      </c>
      <c r="AP972" s="118">
        <f t="shared" si="15"/>
        <v>480</v>
      </c>
    </row>
    <row r="973" spans="1:42" ht="12.75">
      <c r="A973" s="106">
        <v>2018</v>
      </c>
      <c r="B973" s="106">
        <v>-161192</v>
      </c>
      <c r="C973" s="106">
        <v>0</v>
      </c>
      <c r="D973" s="106">
        <v>161192</v>
      </c>
      <c r="E973" s="106" t="s">
        <v>1668</v>
      </c>
      <c r="F973" s="106" t="s">
        <v>1206</v>
      </c>
      <c r="G973" s="106" t="s">
        <v>301</v>
      </c>
      <c r="H973" s="106">
        <v>4</v>
      </c>
      <c r="I973" s="106" t="s">
        <v>24</v>
      </c>
      <c r="J973" s="106">
        <v>3757</v>
      </c>
      <c r="K973" s="106">
        <v>9272</v>
      </c>
      <c r="L973" s="106">
        <v>7141</v>
      </c>
      <c r="M973" s="106">
        <v>0.5</v>
      </c>
      <c r="N973" s="106">
        <v>0.41</v>
      </c>
      <c r="O973" s="106">
        <v>0.45</v>
      </c>
      <c r="P973" s="106">
        <v>1142</v>
      </c>
      <c r="Q973" s="106">
        <v>570.60339506172841</v>
      </c>
      <c r="R973" s="106">
        <v>0.13943891215692841</v>
      </c>
      <c r="S973" s="106">
        <v>13210.943672839507</v>
      </c>
      <c r="T973" s="106">
        <v>14400.582561728395</v>
      </c>
      <c r="U973" s="106">
        <v>11725.547839506173</v>
      </c>
      <c r="V973" s="106">
        <v>0.30033014593674384</v>
      </c>
      <c r="W973" s="106">
        <v>81360.768194070071</v>
      </c>
      <c r="X973" s="110">
        <v>0.53911651057926702</v>
      </c>
      <c r="Y973" s="106">
        <v>627.01612903225805</v>
      </c>
      <c r="Z973" s="106">
        <v>20.903225806451612</v>
      </c>
      <c r="AA973" s="106">
        <v>38865.242966751917</v>
      </c>
      <c r="AB973" s="106">
        <v>390.90186495176852</v>
      </c>
      <c r="AC973" s="106">
        <v>2.5729930489704409</v>
      </c>
      <c r="AD973" s="106">
        <v>31.711273317112731</v>
      </c>
      <c r="AE973" s="106">
        <v>99.424552429667514</v>
      </c>
      <c r="AF973" s="106">
        <v>-4.2201456067568491E-2</v>
      </c>
      <c r="AG973" s="106">
        <v>2760</v>
      </c>
      <c r="AH973" s="106">
        <v>11314.225308641975</v>
      </c>
      <c r="AI973" s="106">
        <v>11325.278549382716</v>
      </c>
      <c r="AJ973" s="106">
        <v>13227.847993827161</v>
      </c>
      <c r="AK973" s="104">
        <v>14024.518518518518</v>
      </c>
      <c r="AL973" s="118">
        <v>6879179</v>
      </c>
      <c r="AM973" s="118">
        <v>2554</v>
      </c>
      <c r="AN973" s="118">
        <v>38875</v>
      </c>
      <c r="AO973" s="118">
        <v>297</v>
      </c>
      <c r="AP973" s="118">
        <f t="shared" si="15"/>
        <v>997</v>
      </c>
    </row>
    <row r="974" spans="1:42" ht="12.75">
      <c r="A974" s="106">
        <v>2018</v>
      </c>
      <c r="B974" s="106">
        <v>3045</v>
      </c>
      <c r="C974" s="106">
        <v>1</v>
      </c>
      <c r="D974" s="106">
        <v>486840</v>
      </c>
      <c r="E974" s="106" t="s">
        <v>3855</v>
      </c>
      <c r="F974" s="106" t="s">
        <v>1669</v>
      </c>
      <c r="G974" s="106" t="s">
        <v>63</v>
      </c>
      <c r="H974" s="106">
        <v>1</v>
      </c>
      <c r="I974" s="106" t="s">
        <v>23</v>
      </c>
      <c r="J974" s="106">
        <v>6347</v>
      </c>
      <c r="K974" s="106"/>
      <c r="L974" s="106"/>
      <c r="M974" s="106">
        <v>0.33</v>
      </c>
      <c r="N974" s="106">
        <v>0.48</v>
      </c>
      <c r="O974" s="106">
        <v>0.06</v>
      </c>
      <c r="P974" s="106">
        <v>6139</v>
      </c>
      <c r="Q974" s="106">
        <v>835.30130555019616</v>
      </c>
      <c r="R974" s="106">
        <v>0.10225955662839956</v>
      </c>
      <c r="S974" s="106">
        <v>16673.013216284005</v>
      </c>
      <c r="T974" s="106">
        <v>16723.577400475915</v>
      </c>
      <c r="U974" s="106">
        <v>10942.104965240838</v>
      </c>
      <c r="V974" s="106">
        <v>0.67017645964184058</v>
      </c>
      <c r="W974" s="106">
        <v>85767.055976353222</v>
      </c>
      <c r="X974" s="110">
        <v>0.59512148186413671</v>
      </c>
      <c r="Y974" s="106">
        <v>670.16852841185039</v>
      </c>
      <c r="Z974" s="106">
        <v>22.655172413793103</v>
      </c>
      <c r="AA974" s="106">
        <v>54707.006464479033</v>
      </c>
      <c r="AB974" s="106">
        <v>369.89990434914807</v>
      </c>
      <c r="AC974" s="106">
        <v>1.8279194286554403</v>
      </c>
      <c r="AD974" s="106">
        <v>20.906860273604249</v>
      </c>
      <c r="AE974" s="106">
        <v>147.89678456591639</v>
      </c>
      <c r="AF974" s="106"/>
      <c r="AG974" s="106">
        <v>4341</v>
      </c>
      <c r="AH974" s="106">
        <v>15586.031641906231</v>
      </c>
      <c r="AI974" s="106">
        <v>15729.324426008103</v>
      </c>
      <c r="AJ974" s="106">
        <v>16702.455945719983</v>
      </c>
      <c r="AK974" s="104">
        <v>12717.401601389156</v>
      </c>
      <c r="AL974" s="119">
        <v>138475446</v>
      </c>
      <c r="AM974" s="118">
        <v>32945</v>
      </c>
      <c r="AN974" s="118">
        <v>919918</v>
      </c>
      <c r="AO974" s="118">
        <v>5041</v>
      </c>
      <c r="AP974" s="118">
        <f t="shared" si="15"/>
        <v>2006</v>
      </c>
    </row>
    <row r="975" spans="1:42" ht="12.75">
      <c r="A975" s="106">
        <v>2018</v>
      </c>
      <c r="B975" s="106">
        <v>-203447</v>
      </c>
      <c r="C975" s="106">
        <v>0</v>
      </c>
      <c r="D975" s="106">
        <v>203447</v>
      </c>
      <c r="E975" s="106" t="s">
        <v>4118</v>
      </c>
      <c r="F975" s="106" t="s">
        <v>4119</v>
      </c>
      <c r="G975" s="106" t="s">
        <v>82</v>
      </c>
      <c r="H975" s="106">
        <v>4</v>
      </c>
      <c r="I975" s="106" t="s">
        <v>24</v>
      </c>
      <c r="J975" s="106">
        <v>5664</v>
      </c>
      <c r="K975" s="106">
        <v>7927</v>
      </c>
      <c r="L975" s="106">
        <v>7155</v>
      </c>
      <c r="M975" s="106">
        <v>0.55000000000000004</v>
      </c>
      <c r="N975" s="106">
        <v>0.48</v>
      </c>
      <c r="O975" s="106">
        <v>0.54</v>
      </c>
      <c r="P975" s="106">
        <v>1244</v>
      </c>
      <c r="Q975" s="106">
        <v>590.99286442405707</v>
      </c>
      <c r="R975" s="106">
        <v>6.8479869825834414E-2</v>
      </c>
      <c r="S975" s="106">
        <v>14010.065239551479</v>
      </c>
      <c r="T975" s="106">
        <v>15533.19266055046</v>
      </c>
      <c r="U975" s="106">
        <v>14467.027520113568</v>
      </c>
      <c r="V975" s="106">
        <v>0.55568957337543523</v>
      </c>
      <c r="W975" s="106">
        <v>77009.738028169013</v>
      </c>
      <c r="X975" s="110">
        <v>0.59803005132804943</v>
      </c>
      <c r="Y975" s="106">
        <v>443.48743718592971</v>
      </c>
      <c r="Z975" s="106">
        <v>14.788944723618091</v>
      </c>
      <c r="AA975" s="106">
        <v>53758.15908042201</v>
      </c>
      <c r="AB975" s="106">
        <v>482.43096054223304</v>
      </c>
      <c r="AC975" s="106">
        <v>1.8601827464069289</v>
      </c>
      <c r="AD975" s="106">
        <v>25.071225071225072</v>
      </c>
      <c r="AE975" s="106">
        <v>111.43181818181819</v>
      </c>
      <c r="AF975" s="106"/>
      <c r="AG975" s="106">
        <v>5664</v>
      </c>
      <c r="AH975" s="106">
        <v>13191.487257900102</v>
      </c>
      <c r="AI975" s="106">
        <v>13227.65239551478</v>
      </c>
      <c r="AJ975" s="106">
        <v>14010.065239551479</v>
      </c>
      <c r="AK975" s="104">
        <v>15529.356778797146</v>
      </c>
      <c r="AL975" s="118">
        <v>4912591</v>
      </c>
      <c r="AM975" s="118">
        <v>1971</v>
      </c>
      <c r="AN975" s="118">
        <v>29418</v>
      </c>
      <c r="AO975" s="118">
        <v>257</v>
      </c>
      <c r="AP975" s="118">
        <f t="shared" si="15"/>
        <v>0</v>
      </c>
    </row>
    <row r="976" spans="1:42" ht="12.75">
      <c r="A976" s="106">
        <v>2018</v>
      </c>
      <c r="B976" s="106">
        <v>-203526</v>
      </c>
      <c r="C976" s="106">
        <v>0</v>
      </c>
      <c r="D976" s="106">
        <v>203526</v>
      </c>
      <c r="E976" s="106" t="s">
        <v>4120</v>
      </c>
      <c r="F976" s="106" t="s">
        <v>4121</v>
      </c>
      <c r="G976" s="106" t="s">
        <v>82</v>
      </c>
      <c r="H976" s="106">
        <v>4</v>
      </c>
      <c r="I976" s="106" t="s">
        <v>24</v>
      </c>
      <c r="J976" s="106">
        <v>5664</v>
      </c>
      <c r="K976" s="106">
        <v>7030</v>
      </c>
      <c r="L976" s="106">
        <v>6449</v>
      </c>
      <c r="M976" s="106">
        <v>0.36</v>
      </c>
      <c r="N976" s="106">
        <v>0.53</v>
      </c>
      <c r="O976" s="106">
        <v>0.04</v>
      </c>
      <c r="P976" s="106">
        <v>2252</v>
      </c>
      <c r="Q976" s="106">
        <v>583.27507163323787</v>
      </c>
      <c r="R976" s="106">
        <v>7.0293769249265822E-2</v>
      </c>
      <c r="S976" s="106">
        <v>12013.079274116524</v>
      </c>
      <c r="T976" s="106">
        <v>13075.502387774593</v>
      </c>
      <c r="U976" s="106">
        <v>12758.246822638834</v>
      </c>
      <c r="V976" s="106">
        <v>0.60466012012423842</v>
      </c>
      <c r="W976" s="106">
        <v>77945.962616822435</v>
      </c>
      <c r="X976" s="110">
        <v>0.60921745287873652</v>
      </c>
      <c r="Y976" s="106">
        <v>450.88995215311002</v>
      </c>
      <c r="Z976" s="106">
        <v>15.028708133971291</v>
      </c>
      <c r="AA976" s="106">
        <v>62420.020669639525</v>
      </c>
      <c r="AB976" s="106">
        <v>425.2478168630733</v>
      </c>
      <c r="AC976" s="106">
        <v>1.6020500942999365</v>
      </c>
      <c r="AD976" s="106">
        <v>17.90794979079498</v>
      </c>
      <c r="AE976" s="106">
        <v>146.78504672897196</v>
      </c>
      <c r="AF976" s="106"/>
      <c r="AG976" s="106">
        <v>5664</v>
      </c>
      <c r="AH976" s="106">
        <v>11839.138490926456</v>
      </c>
      <c r="AI976" s="106">
        <v>11842.958930276982</v>
      </c>
      <c r="AJ976" s="106">
        <v>12013.079274116524</v>
      </c>
      <c r="AK976" s="104">
        <v>13075.502387774593</v>
      </c>
      <c r="AL976" s="119">
        <v>4279404</v>
      </c>
      <c r="AM976" s="118">
        <v>2247</v>
      </c>
      <c r="AN976" s="118">
        <v>31412</v>
      </c>
      <c r="AO976" s="118">
        <v>214</v>
      </c>
      <c r="AP976" s="118">
        <f t="shared" si="15"/>
        <v>0</v>
      </c>
    </row>
    <row r="977" spans="1:42" ht="12.75">
      <c r="A977" s="106">
        <v>2018</v>
      </c>
      <c r="B977" s="106">
        <v>-203517</v>
      </c>
      <c r="C977" s="106">
        <v>0</v>
      </c>
      <c r="D977" s="106">
        <v>203517</v>
      </c>
      <c r="E977" s="106" t="s">
        <v>4122</v>
      </c>
      <c r="F977" s="106" t="s">
        <v>1670</v>
      </c>
      <c r="G977" s="106" t="s">
        <v>82</v>
      </c>
      <c r="H977" s="106">
        <v>1</v>
      </c>
      <c r="I977" s="106" t="s">
        <v>23</v>
      </c>
      <c r="J977" s="106">
        <v>10012</v>
      </c>
      <c r="K977" s="106">
        <v>17552</v>
      </c>
      <c r="L977" s="106">
        <v>13088</v>
      </c>
      <c r="M977" s="106">
        <v>0.31</v>
      </c>
      <c r="N977" s="106">
        <v>0.66</v>
      </c>
      <c r="O977" s="106">
        <v>0.85</v>
      </c>
      <c r="P977" s="106">
        <v>5768</v>
      </c>
      <c r="Q977" s="106">
        <v>2606.1687616214208</v>
      </c>
      <c r="R977" s="106">
        <v>0.20821527885781882</v>
      </c>
      <c r="S977" s="106">
        <v>19924.494719226477</v>
      </c>
      <c r="T977" s="106">
        <v>17064.071141688361</v>
      </c>
      <c r="U977" s="106">
        <v>11261.415523993872</v>
      </c>
      <c r="V977" s="106">
        <v>0.88004336634270142</v>
      </c>
      <c r="W977" s="106">
        <v>67601.352588555863</v>
      </c>
      <c r="X977" s="110">
        <v>0.54068957306060061</v>
      </c>
      <c r="Y977" s="106">
        <v>566.81038894575227</v>
      </c>
      <c r="Z977" s="106">
        <v>20.642272262026612</v>
      </c>
      <c r="AA977" s="106">
        <v>39368.104971424233</v>
      </c>
      <c r="AB977" s="106">
        <v>410.12163826860052</v>
      </c>
      <c r="AC977" s="106">
        <v>2.5401273460479259</v>
      </c>
      <c r="AD977" s="106">
        <v>30.953722334004024</v>
      </c>
      <c r="AE977" s="106">
        <v>95.991289651586058</v>
      </c>
      <c r="AF977" s="106">
        <v>0.24337091801138794</v>
      </c>
      <c r="AG977" s="106">
        <v>10012</v>
      </c>
      <c r="AH977" s="106">
        <v>18740.668203793233</v>
      </c>
      <c r="AI977" s="106">
        <v>19045.191000371884</v>
      </c>
      <c r="AJ977" s="106">
        <v>20904.673224246933</v>
      </c>
      <c r="AK977" s="104">
        <v>13932.610524358497</v>
      </c>
      <c r="AL977" s="119">
        <v>118775663</v>
      </c>
      <c r="AM977" s="118">
        <v>23178</v>
      </c>
      <c r="AN977" s="118">
        <v>738365</v>
      </c>
      <c r="AO977" s="118">
        <v>5589</v>
      </c>
      <c r="AP977" s="118">
        <f t="shared" si="15"/>
        <v>0</v>
      </c>
    </row>
    <row r="978" spans="1:42" ht="12.75">
      <c r="A978" s="106">
        <v>2018</v>
      </c>
      <c r="B978" s="106">
        <v>-203492</v>
      </c>
      <c r="C978" s="106">
        <v>0</v>
      </c>
      <c r="D978" s="106">
        <v>203492</v>
      </c>
      <c r="E978" s="106" t="s">
        <v>4123</v>
      </c>
      <c r="F978" s="106" t="s">
        <v>717</v>
      </c>
      <c r="G978" s="106" t="s">
        <v>82</v>
      </c>
      <c r="H978" s="106">
        <v>3</v>
      </c>
      <c r="I978" s="104" t="s">
        <v>26</v>
      </c>
      <c r="J978" s="106">
        <v>5664</v>
      </c>
      <c r="K978" s="106">
        <v>8117</v>
      </c>
      <c r="L978" s="106">
        <v>6750</v>
      </c>
      <c r="M978" s="106">
        <v>0.49</v>
      </c>
      <c r="N978" s="106">
        <v>0.59</v>
      </c>
      <c r="O978" s="106">
        <v>0.25</v>
      </c>
      <c r="P978" s="106">
        <v>1095</v>
      </c>
      <c r="Q978" s="106">
        <v>693.27124563445864</v>
      </c>
      <c r="R978" s="106">
        <v>8.7839951690386595E-2</v>
      </c>
      <c r="S978" s="106">
        <v>13782.515715948777</v>
      </c>
      <c r="T978" s="106">
        <v>14462.552968568103</v>
      </c>
      <c r="U978" s="106">
        <v>13166.02782414873</v>
      </c>
      <c r="V978" s="106">
        <v>0.5467985792414749</v>
      </c>
      <c r="W978" s="106">
        <v>79633.359060402683</v>
      </c>
      <c r="X978" s="110">
        <v>0.63672502379192442</v>
      </c>
      <c r="Y978" s="106">
        <v>390.25757575757575</v>
      </c>
      <c r="Z978" s="106">
        <v>13.015151515151516</v>
      </c>
      <c r="AA978" s="106">
        <v>50715.775340554974</v>
      </c>
      <c r="AB978" s="106">
        <v>439.08909814589276</v>
      </c>
      <c r="AC978" s="106">
        <v>1.9717730691979538</v>
      </c>
      <c r="AD978" s="106">
        <v>22.685656154628688</v>
      </c>
      <c r="AE978" s="106">
        <v>115.50224215246637</v>
      </c>
      <c r="AF978" s="106"/>
      <c r="AG978" s="106">
        <v>5664</v>
      </c>
      <c r="AH978" s="106">
        <v>12840.352735739232</v>
      </c>
      <c r="AI978" s="106">
        <v>12866.651920838183</v>
      </c>
      <c r="AJ978" s="106">
        <v>13782.515715948777</v>
      </c>
      <c r="AK978" s="104">
        <v>14462.552968568103</v>
      </c>
      <c r="AL978" s="118">
        <v>4562404</v>
      </c>
      <c r="AM978" s="118">
        <v>1694</v>
      </c>
      <c r="AN978" s="118">
        <v>25757</v>
      </c>
      <c r="AO978" s="118">
        <v>215</v>
      </c>
      <c r="AP978" s="118">
        <f t="shared" si="15"/>
        <v>0</v>
      </c>
    </row>
    <row r="979" spans="1:42" ht="12.75">
      <c r="A979" s="106">
        <v>2018</v>
      </c>
      <c r="B979" s="106">
        <v>-203465</v>
      </c>
      <c r="C979" s="106">
        <v>0</v>
      </c>
      <c r="D979" s="106">
        <v>203465</v>
      </c>
      <c r="E979" s="106" t="s">
        <v>4124</v>
      </c>
      <c r="F979" s="106" t="s">
        <v>969</v>
      </c>
      <c r="G979" s="106" t="s">
        <v>82</v>
      </c>
      <c r="H979" s="106">
        <v>4</v>
      </c>
      <c r="I979" s="106" t="s">
        <v>24</v>
      </c>
      <c r="J979" s="106">
        <v>5664</v>
      </c>
      <c r="K979" s="106">
        <v>7498</v>
      </c>
      <c r="L979" s="106">
        <v>5783</v>
      </c>
      <c r="M979" s="106">
        <v>0.39</v>
      </c>
      <c r="N979" s="106">
        <v>0.54</v>
      </c>
      <c r="O979" s="106">
        <v>0.4</v>
      </c>
      <c r="P979" s="106">
        <v>2034</v>
      </c>
      <c r="Q979" s="106">
        <v>873.39406487232577</v>
      </c>
      <c r="R979" s="106">
        <v>0.10705302531540956</v>
      </c>
      <c r="S979" s="106">
        <v>12178.719461697723</v>
      </c>
      <c r="T979" s="106">
        <v>13484.404071773637</v>
      </c>
      <c r="U979" s="106">
        <v>11275.42388953097</v>
      </c>
      <c r="V979" s="106">
        <v>0.64610646082819045</v>
      </c>
      <c r="W979" s="106">
        <v>75822.917381974243</v>
      </c>
      <c r="X979" s="110">
        <v>0.60278857027863109</v>
      </c>
      <c r="Y979" s="106">
        <v>524.67404426559358</v>
      </c>
      <c r="Z979" s="106">
        <v>17.492957746478876</v>
      </c>
      <c r="AA979" s="106">
        <v>67792.901310914429</v>
      </c>
      <c r="AB979" s="106">
        <v>375.92961921584833</v>
      </c>
      <c r="AC979" s="106">
        <v>1.4750806952689064</v>
      </c>
      <c r="AD979" s="106">
        <v>15.123941010354566</v>
      </c>
      <c r="AE979" s="106">
        <v>180.33402489626556</v>
      </c>
      <c r="AF979" s="106"/>
      <c r="AG979" s="106">
        <v>5664</v>
      </c>
      <c r="AH979" s="106">
        <v>11301.10524499655</v>
      </c>
      <c r="AI979" s="106">
        <v>11345.172187715665</v>
      </c>
      <c r="AJ979" s="106">
        <v>12178.719461697723</v>
      </c>
      <c r="AK979" s="104">
        <v>12898.559696342305</v>
      </c>
      <c r="AL979" s="119">
        <v>10079712</v>
      </c>
      <c r="AM979" s="118">
        <v>4995</v>
      </c>
      <c r="AN979" s="118">
        <v>86921</v>
      </c>
      <c r="AO979" s="118">
        <v>482</v>
      </c>
      <c r="AP979" s="118">
        <f t="shared" si="15"/>
        <v>0</v>
      </c>
    </row>
    <row r="980" spans="1:42" ht="12.75">
      <c r="A980" s="106">
        <v>2018</v>
      </c>
      <c r="B980" s="106">
        <v>-203474</v>
      </c>
      <c r="C980" s="106">
        <v>0</v>
      </c>
      <c r="D980" s="106">
        <v>203474</v>
      </c>
      <c r="E980" s="106" t="s">
        <v>4125</v>
      </c>
      <c r="F980" s="106" t="s">
        <v>1671</v>
      </c>
      <c r="G980" s="106" t="s">
        <v>82</v>
      </c>
      <c r="H980" s="106">
        <v>4</v>
      </c>
      <c r="I980" s="106" t="s">
        <v>24</v>
      </c>
      <c r="J980" s="106">
        <v>5664</v>
      </c>
      <c r="K980" s="106">
        <v>7107</v>
      </c>
      <c r="L980" s="106">
        <v>5908</v>
      </c>
      <c r="M980" s="106">
        <v>0.57999999999999996</v>
      </c>
      <c r="N980" s="106">
        <v>0.57999999999999996</v>
      </c>
      <c r="O980" s="106">
        <v>0.36</v>
      </c>
      <c r="P980" s="106">
        <v>1917</v>
      </c>
      <c r="Q980" s="106">
        <v>578.82327952421406</v>
      </c>
      <c r="R980" s="106">
        <v>6.778779502280223E-2</v>
      </c>
      <c r="S980" s="106">
        <v>13745.008496176721</v>
      </c>
      <c r="T980" s="106">
        <v>15334.949022939678</v>
      </c>
      <c r="U980" s="106">
        <v>13336.276007024959</v>
      </c>
      <c r="V980" s="106">
        <v>0.59686304686240399</v>
      </c>
      <c r="W980" s="106">
        <v>89144.319327731093</v>
      </c>
      <c r="X980" s="110">
        <v>0.58773538047457408</v>
      </c>
      <c r="Y980" s="106">
        <v>506.71291866028707</v>
      </c>
      <c r="Z980" s="106">
        <v>16.894736842105264</v>
      </c>
      <c r="AA980" s="106">
        <v>64595.871852956283</v>
      </c>
      <c r="AB980" s="106">
        <v>444.65586981299049</v>
      </c>
      <c r="AC980" s="106">
        <v>1.548086543790854</v>
      </c>
      <c r="AD980" s="106">
        <v>18.706697459584294</v>
      </c>
      <c r="AE980" s="106">
        <v>145.27160493827159</v>
      </c>
      <c r="AF980" s="106"/>
      <c r="AG980" s="106">
        <v>5664</v>
      </c>
      <c r="AH980" s="106">
        <v>12781.118946474087</v>
      </c>
      <c r="AI980" s="106">
        <v>12821.951571792693</v>
      </c>
      <c r="AJ980" s="106">
        <v>13745.008496176721</v>
      </c>
      <c r="AK980" s="104">
        <v>15334.514018691589</v>
      </c>
      <c r="AL980" s="118">
        <v>5475030</v>
      </c>
      <c r="AM980" s="118">
        <v>2277</v>
      </c>
      <c r="AN980" s="118">
        <v>35301</v>
      </c>
      <c r="AO980" s="118">
        <v>243</v>
      </c>
      <c r="AP980" s="118">
        <f t="shared" si="15"/>
        <v>0</v>
      </c>
    </row>
    <row r="981" spans="1:42" ht="12.75">
      <c r="A981" s="106">
        <v>2018</v>
      </c>
      <c r="B981" s="106">
        <v>-203483</v>
      </c>
      <c r="C981" s="106">
        <v>0</v>
      </c>
      <c r="D981" s="106">
        <v>203483</v>
      </c>
      <c r="E981" s="106" t="s">
        <v>4126</v>
      </c>
      <c r="F981" s="106" t="s">
        <v>4127</v>
      </c>
      <c r="G981" s="106" t="s">
        <v>82</v>
      </c>
      <c r="H981" s="106">
        <v>4</v>
      </c>
      <c r="I981" s="106" t="s">
        <v>24</v>
      </c>
      <c r="J981" s="106">
        <v>5664</v>
      </c>
      <c r="K981" s="106">
        <v>7728</v>
      </c>
      <c r="L981" s="106">
        <v>5512</v>
      </c>
      <c r="M981" s="106">
        <v>0.44</v>
      </c>
      <c r="N981" s="106">
        <v>0.53</v>
      </c>
      <c r="O981" s="106">
        <v>0.62</v>
      </c>
      <c r="P981" s="106">
        <v>1286</v>
      </c>
      <c r="Q981" s="106">
        <v>967.30841924398624</v>
      </c>
      <c r="R981" s="106">
        <v>0.12523523030630576</v>
      </c>
      <c r="S981" s="106">
        <v>14077.286941580756</v>
      </c>
      <c r="T981" s="106">
        <v>15431.365120274913</v>
      </c>
      <c r="U981" s="106">
        <v>11704.276081275841</v>
      </c>
      <c r="V981" s="106">
        <v>0.57727822416537633</v>
      </c>
      <c r="W981" s="106">
        <v>65182.789473684214</v>
      </c>
      <c r="X981" s="110">
        <v>0.5515935795735345</v>
      </c>
      <c r="Y981" s="106">
        <v>484.84722222222223</v>
      </c>
      <c r="Z981" s="106">
        <v>16.166666666666668</v>
      </c>
      <c r="AA981" s="106">
        <v>34754.534078074175</v>
      </c>
      <c r="AB981" s="106">
        <v>390.26547190137438</v>
      </c>
      <c r="AC981" s="106">
        <v>2.8773224171371545</v>
      </c>
      <c r="AD981" s="106">
        <v>30.672926447574334</v>
      </c>
      <c r="AE981" s="106">
        <v>89.053571428571431</v>
      </c>
      <c r="AF981" s="106"/>
      <c r="AG981" s="106">
        <v>5664</v>
      </c>
      <c r="AH981" s="106">
        <v>12649.567869415807</v>
      </c>
      <c r="AI981" s="106">
        <v>13091.306701030928</v>
      </c>
      <c r="AJ981" s="106">
        <v>14077.286941580756</v>
      </c>
      <c r="AK981" s="104">
        <v>13859.491408934708</v>
      </c>
      <c r="AL981" s="119">
        <v>5721710</v>
      </c>
      <c r="AM981" s="118">
        <v>2131</v>
      </c>
      <c r="AN981" s="118">
        <v>34909</v>
      </c>
      <c r="AO981" s="118">
        <v>366</v>
      </c>
      <c r="AP981" s="118">
        <f t="shared" si="15"/>
        <v>0</v>
      </c>
    </row>
    <row r="982" spans="1:42" ht="12.75">
      <c r="A982" s="106">
        <v>2018</v>
      </c>
      <c r="B982" s="106">
        <v>-157100</v>
      </c>
      <c r="C982" s="106">
        <v>0</v>
      </c>
      <c r="D982" s="106">
        <v>157100</v>
      </c>
      <c r="E982" s="106" t="s">
        <v>1672</v>
      </c>
      <c r="F982" s="106" t="s">
        <v>1673</v>
      </c>
      <c r="G982" s="106" t="s">
        <v>118</v>
      </c>
      <c r="H982" s="106">
        <v>7</v>
      </c>
      <c r="I982" s="106" t="s">
        <v>3641</v>
      </c>
      <c r="J982" s="106">
        <v>19255</v>
      </c>
      <c r="K982" s="106">
        <v>18839</v>
      </c>
      <c r="L982" s="106">
        <v>16826</v>
      </c>
      <c r="M982" s="106">
        <v>0.51</v>
      </c>
      <c r="N982" s="106">
        <v>0.85</v>
      </c>
      <c r="O982" s="106">
        <v>1</v>
      </c>
      <c r="P982" s="106">
        <v>9635</v>
      </c>
      <c r="Q982" s="106">
        <v>8171.4209523809523</v>
      </c>
      <c r="R982" s="106">
        <v>0.47544859836181763</v>
      </c>
      <c r="S982" s="106">
        <v>22517.733333333334</v>
      </c>
      <c r="T982" s="106">
        <v>23882.340952380953</v>
      </c>
      <c r="U982" s="106">
        <v>14479.493333333334</v>
      </c>
      <c r="V982" s="106">
        <v>0.62262807406836385</v>
      </c>
      <c r="W982" s="106">
        <v>42327.982905982906</v>
      </c>
      <c r="X982" s="110">
        <v>0.39498193883681659</v>
      </c>
      <c r="Y982" s="106">
        <v>317.19310344827591</v>
      </c>
      <c r="Z982" s="106">
        <v>10.862068965517242</v>
      </c>
      <c r="AA982" s="106">
        <v>56729.358208955222</v>
      </c>
      <c r="AB982" s="106">
        <v>495.84071489139654</v>
      </c>
      <c r="AC982" s="106">
        <v>1.7627557081055456</v>
      </c>
      <c r="AD982" s="106">
        <v>24.907063197026023</v>
      </c>
      <c r="AE982" s="106">
        <v>114.41044776119404</v>
      </c>
      <c r="AF982" s="106">
        <v>1.3286904645291354E-2</v>
      </c>
      <c r="AG982" s="106">
        <v>18755</v>
      </c>
      <c r="AH982" s="106">
        <v>17980.215238095239</v>
      </c>
      <c r="AI982" s="106">
        <v>20383.645714285714</v>
      </c>
      <c r="AJ982" s="106">
        <v>24483.04380952381</v>
      </c>
      <c r="AK982" s="104">
        <v>14479.493333333334</v>
      </c>
      <c r="AM982" s="118">
        <v>592</v>
      </c>
      <c r="AN982" s="118">
        <v>15331</v>
      </c>
      <c r="AO982" s="118">
        <v>99</v>
      </c>
      <c r="AP982" s="118">
        <f t="shared" si="15"/>
        <v>500</v>
      </c>
    </row>
    <row r="983" spans="1:42" ht="12.75">
      <c r="A983" s="106">
        <v>2018</v>
      </c>
      <c r="B983" s="106">
        <v>-157058</v>
      </c>
      <c r="C983" s="106">
        <v>0</v>
      </c>
      <c r="D983" s="106">
        <v>157058</v>
      </c>
      <c r="E983" s="106" t="s">
        <v>1674</v>
      </c>
      <c r="F983" s="106" t="s">
        <v>1675</v>
      </c>
      <c r="G983" s="106" t="s">
        <v>118</v>
      </c>
      <c r="H983" s="106">
        <v>3</v>
      </c>
      <c r="I983" s="104" t="s">
        <v>26</v>
      </c>
      <c r="J983" s="106">
        <v>8184</v>
      </c>
      <c r="K983" s="106">
        <v>10298</v>
      </c>
      <c r="L983" s="106">
        <v>8924</v>
      </c>
      <c r="M983" s="106">
        <v>0.69</v>
      </c>
      <c r="N983" s="106">
        <v>0.67</v>
      </c>
      <c r="O983" s="106">
        <v>0.91</v>
      </c>
      <c r="P983" s="106">
        <v>4290</v>
      </c>
      <c r="Q983" s="106">
        <v>3393.1847389558234</v>
      </c>
      <c r="R983" s="106">
        <v>0.30547214030337289</v>
      </c>
      <c r="S983" s="106">
        <v>44194.341365461849</v>
      </c>
      <c r="T983" s="106">
        <v>45512.716867469877</v>
      </c>
      <c r="U983" s="106">
        <v>18351.03176932671</v>
      </c>
      <c r="V983" s="106">
        <v>0.42040229821210062</v>
      </c>
      <c r="W983" s="106">
        <v>68359.185286103544</v>
      </c>
      <c r="X983" s="110">
        <v>0.4919470041171099</v>
      </c>
      <c r="Y983" s="106">
        <v>322.76470588235293</v>
      </c>
      <c r="Z983" s="106">
        <v>10.985294117647058</v>
      </c>
      <c r="AA983" s="106">
        <v>79698.957742366576</v>
      </c>
      <c r="AB983" s="106">
        <v>624.57721576850065</v>
      </c>
      <c r="AC983" s="106">
        <v>1.2547215526112425</v>
      </c>
      <c r="AD983" s="106">
        <v>22.918054630246502</v>
      </c>
      <c r="AE983" s="106">
        <v>127.6046511627907</v>
      </c>
      <c r="AF983" s="106">
        <v>0.31644429540012348</v>
      </c>
      <c r="AG983" s="106">
        <v>7794</v>
      </c>
      <c r="AH983" s="106">
        <v>41254.690093708166</v>
      </c>
      <c r="AI983" s="106">
        <v>41254.690093708166</v>
      </c>
      <c r="AJ983" s="106">
        <v>44980.306559571618</v>
      </c>
      <c r="AK983" s="104">
        <v>41348.057563587681</v>
      </c>
      <c r="AL983" s="118">
        <v>26462300</v>
      </c>
      <c r="AM983" s="118">
        <v>1757</v>
      </c>
      <c r="AN983" s="118">
        <v>43896</v>
      </c>
      <c r="AO983" s="118">
        <v>274</v>
      </c>
      <c r="AP983" s="118">
        <f t="shared" si="15"/>
        <v>390</v>
      </c>
    </row>
    <row r="984" spans="1:42" ht="12.75">
      <c r="A984" s="106">
        <v>2018</v>
      </c>
      <c r="B984" s="106">
        <v>-157076</v>
      </c>
      <c r="C984" s="106">
        <v>0</v>
      </c>
      <c r="D984" s="106">
        <v>157076</v>
      </c>
      <c r="E984" s="106" t="s">
        <v>1676</v>
      </c>
      <c r="F984" s="106" t="s">
        <v>440</v>
      </c>
      <c r="G984" s="106" t="s">
        <v>118</v>
      </c>
      <c r="H984" s="106">
        <v>7</v>
      </c>
      <c r="I984" s="106" t="s">
        <v>3641</v>
      </c>
      <c r="J984" s="106">
        <v>25070</v>
      </c>
      <c r="K984" s="106">
        <v>26422</v>
      </c>
      <c r="L984" s="106">
        <v>24557</v>
      </c>
      <c r="M984" s="106">
        <v>0.51</v>
      </c>
      <c r="N984" s="106">
        <v>0.75</v>
      </c>
      <c r="O984" s="106">
        <v>0.99</v>
      </c>
      <c r="P984" s="106">
        <v>7764</v>
      </c>
      <c r="Q984" s="106">
        <v>13137.338391502277</v>
      </c>
      <c r="R984" s="106">
        <v>0.53969728722741406</v>
      </c>
      <c r="S984" s="106">
        <v>22316.147192716238</v>
      </c>
      <c r="T984" s="106">
        <v>26689.327769347496</v>
      </c>
      <c r="U984" s="106">
        <v>20815.373734300822</v>
      </c>
      <c r="V984" s="106">
        <v>0.53829019970496428</v>
      </c>
      <c r="W984" s="106">
        <v>53699.743055555555</v>
      </c>
      <c r="X984" s="110">
        <v>0.43965462885001688</v>
      </c>
      <c r="Y984" s="106">
        <v>375.45569620253167</v>
      </c>
      <c r="Z984" s="106">
        <v>12.512658227848101</v>
      </c>
      <c r="AA984" s="106">
        <v>107166.65071018939</v>
      </c>
      <c r="AB984" s="106">
        <v>693.70543597169228</v>
      </c>
      <c r="AC984" s="106">
        <v>0.93312611094313136</v>
      </c>
      <c r="AD984" s="106">
        <v>18.55072463768116</v>
      </c>
      <c r="AE984" s="106">
        <v>154.484375</v>
      </c>
      <c r="AF984" s="106">
        <v>-1.1955395092031152E-2</v>
      </c>
      <c r="AG984" s="106">
        <v>24290</v>
      </c>
      <c r="AH984" s="106">
        <v>18304.889226100153</v>
      </c>
      <c r="AI984" s="106">
        <v>22316.147192716238</v>
      </c>
      <c r="AJ984" s="106">
        <v>25118.599393019726</v>
      </c>
      <c r="AK984" s="104">
        <v>21243.755690440059</v>
      </c>
      <c r="AM984" s="118">
        <v>716</v>
      </c>
      <c r="AN984" s="118">
        <v>19774</v>
      </c>
      <c r="AO984" s="118">
        <v>128</v>
      </c>
      <c r="AP984" s="118">
        <f t="shared" si="15"/>
        <v>780</v>
      </c>
    </row>
    <row r="985" spans="1:42" ht="12.75">
      <c r="A985" s="106">
        <v>2018</v>
      </c>
      <c r="B985" s="106">
        <v>-203535</v>
      </c>
      <c r="C985" s="106">
        <v>0</v>
      </c>
      <c r="D985" s="106">
        <v>203535</v>
      </c>
      <c r="E985" s="106" t="s">
        <v>1677</v>
      </c>
      <c r="F985" s="106" t="s">
        <v>1678</v>
      </c>
      <c r="G985" s="106" t="s">
        <v>82</v>
      </c>
      <c r="H985" s="106">
        <v>7</v>
      </c>
      <c r="I985" s="106" t="s">
        <v>3641</v>
      </c>
      <c r="J985" s="106">
        <v>53560</v>
      </c>
      <c r="K985" s="106">
        <v>32271</v>
      </c>
      <c r="L985" s="106">
        <v>13807</v>
      </c>
      <c r="M985" s="106">
        <v>0.09</v>
      </c>
      <c r="N985" s="106">
        <v>0.27</v>
      </c>
      <c r="O985" s="106">
        <v>0.57999999999999996</v>
      </c>
      <c r="P985" s="106">
        <v>36166</v>
      </c>
      <c r="Q985" s="107">
        <v>18593.482629609833</v>
      </c>
      <c r="R985" s="106">
        <v>0.37653506900827305</v>
      </c>
      <c r="S985" s="106">
        <v>96264.061464457511</v>
      </c>
      <c r="T985" s="106">
        <v>63473.887226082312</v>
      </c>
      <c r="U985" s="106">
        <v>50670.060610273154</v>
      </c>
      <c r="V985" s="106">
        <v>0.6075974153436059</v>
      </c>
      <c r="W985" s="106">
        <v>86660.689230769232</v>
      </c>
      <c r="X985" s="110">
        <v>0.47431472996260188</v>
      </c>
      <c r="Y985" s="106">
        <v>265.55205047318611</v>
      </c>
      <c r="Z985" s="106">
        <v>8.8533123028391163</v>
      </c>
      <c r="AA985" s="106">
        <v>234083.16889338539</v>
      </c>
      <c r="AB985" s="106">
        <v>1689.3029829262487</v>
      </c>
      <c r="AC985" s="106">
        <v>0.4271985913072871</v>
      </c>
      <c r="AD985" s="106">
        <v>24.29514097180564</v>
      </c>
      <c r="AE985" s="106">
        <v>138.5679012345679</v>
      </c>
      <c r="AF985" s="106">
        <v>0.19090347698519483</v>
      </c>
      <c r="AG985" s="106">
        <v>51540</v>
      </c>
      <c r="AH985" s="106">
        <v>46914.311598075896</v>
      </c>
      <c r="AI985" s="106">
        <v>96327.947621592728</v>
      </c>
      <c r="AJ985" s="106">
        <v>116322.47033671834</v>
      </c>
      <c r="AK985" s="104">
        <v>51442.396579369321</v>
      </c>
      <c r="AM985" s="118">
        <v>1677</v>
      </c>
      <c r="AN985" s="118">
        <v>56120</v>
      </c>
      <c r="AO985" s="118">
        <v>405</v>
      </c>
      <c r="AP985" s="118">
        <f t="shared" si="15"/>
        <v>2020</v>
      </c>
    </row>
    <row r="986" spans="1:42" ht="12.75">
      <c r="A986" s="106">
        <v>2018</v>
      </c>
      <c r="B986" s="106">
        <v>-169983</v>
      </c>
      <c r="C986" s="106">
        <v>0</v>
      </c>
      <c r="D986" s="106">
        <v>169983</v>
      </c>
      <c r="E986" s="106" t="s">
        <v>1679</v>
      </c>
      <c r="F986" s="106" t="s">
        <v>272</v>
      </c>
      <c r="G986" s="106" t="s">
        <v>74</v>
      </c>
      <c r="H986" s="106">
        <v>6</v>
      </c>
      <c r="I986" s="106" t="s">
        <v>3640</v>
      </c>
      <c r="J986" s="106">
        <v>38658</v>
      </c>
      <c r="K986" s="106">
        <v>39036</v>
      </c>
      <c r="L986" s="106">
        <v>30195</v>
      </c>
      <c r="M986" s="106">
        <v>0.22</v>
      </c>
      <c r="N986" s="106">
        <v>0.65</v>
      </c>
      <c r="O986" s="106">
        <v>1</v>
      </c>
      <c r="P986" s="107">
        <v>18063</v>
      </c>
      <c r="Q986" s="106">
        <v>12572.953600000001</v>
      </c>
      <c r="R986" s="106">
        <v>0.39495795436695569</v>
      </c>
      <c r="S986" s="106">
        <v>26745.5016</v>
      </c>
      <c r="T986" s="106">
        <v>25529.6836</v>
      </c>
      <c r="U986" s="106">
        <v>20934.950508819897</v>
      </c>
      <c r="V986" s="106">
        <v>0.92002592467966271</v>
      </c>
      <c r="W986" s="106">
        <v>96441.91216216216</v>
      </c>
      <c r="X986" s="110">
        <v>0.59636317623615198</v>
      </c>
      <c r="Y986" s="106">
        <v>634.16326530612253</v>
      </c>
      <c r="Z986" s="106">
        <v>21.865889212827991</v>
      </c>
      <c r="AA986" s="106">
        <v>99500.715346102166</v>
      </c>
      <c r="AB986" s="106">
        <v>721.8351070538954</v>
      </c>
      <c r="AC986" s="106">
        <v>1.0050179001443469</v>
      </c>
      <c r="AD986" s="106">
        <v>25</v>
      </c>
      <c r="AE986" s="106">
        <v>137.84410646387832</v>
      </c>
      <c r="AF986" s="106">
        <v>5.2326531266879431E-2</v>
      </c>
      <c r="AG986" s="106">
        <v>38658</v>
      </c>
      <c r="AH986" s="106">
        <v>22391.304800000002</v>
      </c>
      <c r="AI986" s="106">
        <v>26180.2016</v>
      </c>
      <c r="AJ986" s="106">
        <v>29068.896000000001</v>
      </c>
      <c r="AK986" s="104">
        <v>23741.810799999999</v>
      </c>
      <c r="AL986" s="118"/>
      <c r="AM986" s="118">
        <v>1889</v>
      </c>
      <c r="AN986" s="118">
        <v>72506</v>
      </c>
      <c r="AO986" s="118">
        <v>368</v>
      </c>
      <c r="AP986" s="118">
        <f t="shared" si="15"/>
        <v>0</v>
      </c>
    </row>
    <row r="987" spans="1:42" ht="12.75">
      <c r="A987" s="106">
        <v>2018</v>
      </c>
      <c r="B987" s="106">
        <v>-192192</v>
      </c>
      <c r="C987" s="106">
        <v>0</v>
      </c>
      <c r="D987" s="106">
        <v>192192</v>
      </c>
      <c r="E987" s="106" t="s">
        <v>1680</v>
      </c>
      <c r="F987" s="106" t="s">
        <v>1681</v>
      </c>
      <c r="G987" s="106" t="s">
        <v>69</v>
      </c>
      <c r="H987" s="106">
        <v>6</v>
      </c>
      <c r="I987" s="106" t="s">
        <v>3640</v>
      </c>
      <c r="J987" s="106">
        <v>30946</v>
      </c>
      <c r="K987" s="106">
        <v>25730</v>
      </c>
      <c r="L987" s="106">
        <v>18538</v>
      </c>
      <c r="M987" s="106">
        <v>0.51</v>
      </c>
      <c r="N987" s="106">
        <v>0.89</v>
      </c>
      <c r="O987" s="106">
        <v>0.99</v>
      </c>
      <c r="P987" s="107">
        <v>17324</v>
      </c>
      <c r="Q987" s="106">
        <v>9209.125</v>
      </c>
      <c r="R987" s="106">
        <v>0.37979102151385857</v>
      </c>
      <c r="S987" s="106">
        <v>23476.467613636363</v>
      </c>
      <c r="T987" s="106">
        <v>23655.072159090909</v>
      </c>
      <c r="U987" s="106">
        <v>20479.999431818182</v>
      </c>
      <c r="V987" s="106">
        <v>0.73431395747275496</v>
      </c>
      <c r="W987" s="106">
        <v>64467.61141304348</v>
      </c>
      <c r="X987" s="110">
        <v>0.56983937257161865</v>
      </c>
      <c r="Y987" s="106">
        <v>261.35084745762708</v>
      </c>
      <c r="Z987" s="106">
        <v>8.9491525423728806</v>
      </c>
      <c r="AA987" s="106">
        <v>54779.329787234041</v>
      </c>
      <c r="AB987" s="106">
        <v>701.27432440319853</v>
      </c>
      <c r="AC987" s="106">
        <v>1.8255060875772953</v>
      </c>
      <c r="AD987" s="106">
        <v>39.307048984468338</v>
      </c>
      <c r="AE987" s="106">
        <v>78.11398176291793</v>
      </c>
      <c r="AF987" s="106">
        <v>3.0482956937422579E-2</v>
      </c>
      <c r="AG987" s="106">
        <v>29926</v>
      </c>
      <c r="AH987" s="106">
        <v>21534.656818181818</v>
      </c>
      <c r="AI987" s="106">
        <v>23476.467613636363</v>
      </c>
      <c r="AJ987" s="106">
        <v>24085.202840909093</v>
      </c>
      <c r="AK987" s="104">
        <v>20479.999431818182</v>
      </c>
      <c r="AL987" s="118"/>
      <c r="AM987" s="118">
        <v>1647</v>
      </c>
      <c r="AN987" s="118">
        <v>51399</v>
      </c>
      <c r="AO987" s="118">
        <v>486</v>
      </c>
      <c r="AP987" s="118">
        <f t="shared" si="15"/>
        <v>1020</v>
      </c>
    </row>
    <row r="988" spans="1:42" ht="12.75">
      <c r="A988" s="106">
        <v>2018</v>
      </c>
      <c r="B988" s="106">
        <v>-213303</v>
      </c>
      <c r="C988" s="106">
        <v>0</v>
      </c>
      <c r="D988" s="106">
        <v>213303</v>
      </c>
      <c r="E988" s="106" t="s">
        <v>1682</v>
      </c>
      <c r="F988" s="106" t="s">
        <v>1683</v>
      </c>
      <c r="G988" s="106" t="s">
        <v>104</v>
      </c>
      <c r="H988" s="106">
        <v>7</v>
      </c>
      <c r="I988" s="106" t="s">
        <v>3641</v>
      </c>
      <c r="J988" s="106">
        <v>25920</v>
      </c>
      <c r="K988" s="106">
        <v>22301</v>
      </c>
      <c r="L988" s="106">
        <v>22266</v>
      </c>
      <c r="M988" s="106">
        <v>0.61</v>
      </c>
      <c r="N988" s="106">
        <v>0.91</v>
      </c>
      <c r="O988" s="106">
        <v>0.91</v>
      </c>
      <c r="P988" s="107">
        <v>11397</v>
      </c>
      <c r="Q988" s="106">
        <v>10224.213141025641</v>
      </c>
      <c r="R988" s="106">
        <v>0.42792863054747715</v>
      </c>
      <c r="S988" s="106">
        <v>20492.592948717949</v>
      </c>
      <c r="T988" s="106">
        <v>22275.749198717949</v>
      </c>
      <c r="U988" s="106">
        <v>19924.76923076923</v>
      </c>
      <c r="V988" s="106">
        <v>0.68598633352894089</v>
      </c>
      <c r="W988" s="106">
        <v>48785.46</v>
      </c>
      <c r="X988" s="110">
        <v>0.43871603501206019</v>
      </c>
      <c r="Y988" s="106">
        <v>341.37614678899081</v>
      </c>
      <c r="Z988" s="106">
        <v>11.44954128440367</v>
      </c>
      <c r="AA988" s="106">
        <v>87556.73239436619</v>
      </c>
      <c r="AB988" s="106">
        <v>668.26423004568665</v>
      </c>
      <c r="AC988" s="106">
        <v>1.1421166284459749</v>
      </c>
      <c r="AD988" s="106">
        <v>22.738190552441953</v>
      </c>
      <c r="AE988" s="106">
        <v>131.02112676056339</v>
      </c>
      <c r="AF988" s="106">
        <v>-8.0136950235460122E-2</v>
      </c>
      <c r="AG988" s="106">
        <v>24870</v>
      </c>
      <c r="AH988" s="106">
        <v>19031.18108974359</v>
      </c>
      <c r="AI988" s="106">
        <v>20492.738782051281</v>
      </c>
      <c r="AJ988" s="106">
        <v>21284.326121794871</v>
      </c>
      <c r="AK988" s="104">
        <v>20132.380608974359</v>
      </c>
      <c r="AL988" s="118"/>
      <c r="AM988" s="118">
        <v>1456</v>
      </c>
      <c r="AN988" s="118">
        <v>37210</v>
      </c>
      <c r="AO988" s="118">
        <v>251</v>
      </c>
      <c r="AP988" s="118">
        <f t="shared" si="15"/>
        <v>1050</v>
      </c>
    </row>
    <row r="989" spans="1:42" ht="12.75">
      <c r="A989" s="106">
        <v>2018</v>
      </c>
      <c r="B989" s="106">
        <v>-226019</v>
      </c>
      <c r="C989" s="106">
        <v>0</v>
      </c>
      <c r="D989" s="106">
        <v>226019</v>
      </c>
      <c r="E989" s="106" t="s">
        <v>1684</v>
      </c>
      <c r="F989" s="106" t="s">
        <v>1685</v>
      </c>
      <c r="G989" s="106" t="s">
        <v>60</v>
      </c>
      <c r="H989" s="106">
        <v>4</v>
      </c>
      <c r="I989" s="106" t="s">
        <v>24</v>
      </c>
      <c r="J989" s="106">
        <v>1752</v>
      </c>
      <c r="K989" s="106">
        <v>6516</v>
      </c>
      <c r="L989" s="106">
        <v>5246</v>
      </c>
      <c r="M989" s="106">
        <v>0.6</v>
      </c>
      <c r="N989" s="106">
        <v>0.27</v>
      </c>
      <c r="O989" s="106">
        <v>0.32</v>
      </c>
      <c r="P989" s="108">
        <v>2444</v>
      </c>
      <c r="Q989" s="107">
        <v>580.28796370429677</v>
      </c>
      <c r="R989" s="106">
        <v>0.13437991176559294</v>
      </c>
      <c r="S989" s="106">
        <v>12882.125967440619</v>
      </c>
      <c r="T989" s="106">
        <v>13178.305310915399</v>
      </c>
      <c r="U989" s="106">
        <v>8763.3794345333336</v>
      </c>
      <c r="V989" s="106">
        <v>0.42654506467388315</v>
      </c>
      <c r="W989" s="106">
        <v>70787.1308411215</v>
      </c>
      <c r="X989" s="110">
        <v>0.56242712758492408</v>
      </c>
      <c r="Y989" s="106">
        <v>514.10670731707307</v>
      </c>
      <c r="Z989" s="106">
        <v>17.135670731707314</v>
      </c>
      <c r="AA989" s="106">
        <v>37229.458890245354</v>
      </c>
      <c r="AB989" s="106">
        <v>292.09186021096622</v>
      </c>
      <c r="AC989" s="106">
        <v>2.6860449488348972</v>
      </c>
      <c r="AD989" s="106">
        <v>24.831081081081081</v>
      </c>
      <c r="AE989" s="106">
        <v>127.45804988662131</v>
      </c>
      <c r="AF989" s="106">
        <v>-5.8452978922664059E-3</v>
      </c>
      <c r="AG989" s="106">
        <v>1008</v>
      </c>
      <c r="AH989" s="106">
        <v>11682.714705097411</v>
      </c>
      <c r="AI989" s="106">
        <v>12043.740325593808</v>
      </c>
      <c r="AJ989" s="106">
        <v>13069.326394448892</v>
      </c>
      <c r="AK989" s="104">
        <v>10252.209234053909</v>
      </c>
      <c r="AL989" s="118">
        <v>20056512</v>
      </c>
      <c r="AM989" s="118">
        <v>5684</v>
      </c>
      <c r="AN989" s="118">
        <v>112418</v>
      </c>
      <c r="AO989" s="118">
        <v>661</v>
      </c>
      <c r="AP989" s="118">
        <f t="shared" si="15"/>
        <v>744</v>
      </c>
    </row>
    <row r="990" spans="1:42" ht="12.75">
      <c r="A990" s="106">
        <v>2018</v>
      </c>
      <c r="B990" s="106">
        <v>-220516</v>
      </c>
      <c r="C990" s="106">
        <v>0</v>
      </c>
      <c r="D990" s="106">
        <v>220516</v>
      </c>
      <c r="E990" s="106" t="s">
        <v>1686</v>
      </c>
      <c r="F990" s="106" t="s">
        <v>1687</v>
      </c>
      <c r="G990" s="106" t="s">
        <v>255</v>
      </c>
      <c r="H990" s="106">
        <v>6</v>
      </c>
      <c r="I990" s="106" t="s">
        <v>3640</v>
      </c>
      <c r="J990" s="106">
        <v>28572</v>
      </c>
      <c r="K990" s="106">
        <v>21034</v>
      </c>
      <c r="L990" s="106">
        <v>20030</v>
      </c>
      <c r="M990" s="106">
        <v>0.43</v>
      </c>
      <c r="N990" s="106">
        <v>0.67</v>
      </c>
      <c r="O990" s="106">
        <v>0.8</v>
      </c>
      <c r="P990" s="106">
        <v>16887</v>
      </c>
      <c r="Q990" s="107">
        <v>4922.2058562555458</v>
      </c>
      <c r="R990" s="106">
        <v>0.32095444054179501</v>
      </c>
      <c r="S990" s="106">
        <v>12582.058118899733</v>
      </c>
      <c r="T990" s="106">
        <v>14752.248447204969</v>
      </c>
      <c r="U990" s="106">
        <v>13770.734693877552</v>
      </c>
      <c r="V990" s="106">
        <v>0.75623746022614735</v>
      </c>
      <c r="W990" s="106">
        <v>57027.799392097266</v>
      </c>
      <c r="X990" s="110">
        <v>0.56424845889974273</v>
      </c>
      <c r="Y990" s="106">
        <v>461.69575471698113</v>
      </c>
      <c r="Z990" s="106">
        <v>15.948113207547168</v>
      </c>
      <c r="AA990" s="106">
        <v>31479.95537525355</v>
      </c>
      <c r="AB990" s="106">
        <v>475.67523332260583</v>
      </c>
      <c r="AC990" s="106">
        <v>3.1766245792905474</v>
      </c>
      <c r="AD990" s="106">
        <v>48.933002481389579</v>
      </c>
      <c r="AE990" s="106">
        <v>66.179513184584181</v>
      </c>
      <c r="AF990" s="106">
        <v>-2.8363498871173971E-2</v>
      </c>
      <c r="AG990" s="106">
        <v>27024</v>
      </c>
      <c r="AH990" s="106">
        <v>11966.875776397515</v>
      </c>
      <c r="AI990" s="106">
        <v>12582.058118899733</v>
      </c>
      <c r="AJ990" s="106">
        <v>14063.06876663709</v>
      </c>
      <c r="AK990" s="104">
        <v>13770.734693877552</v>
      </c>
      <c r="AL990" s="118"/>
      <c r="AM990" s="118">
        <v>1799</v>
      </c>
      <c r="AN990" s="118">
        <v>65253</v>
      </c>
      <c r="AO990" s="118">
        <v>758</v>
      </c>
      <c r="AP990" s="118">
        <f t="shared" si="15"/>
        <v>1548</v>
      </c>
    </row>
    <row r="991" spans="1:42" ht="12.75">
      <c r="A991" s="106">
        <v>2018</v>
      </c>
      <c r="B991" s="106">
        <v>-213321</v>
      </c>
      <c r="C991" s="106">
        <v>0</v>
      </c>
      <c r="D991" s="106">
        <v>213321</v>
      </c>
      <c r="E991" s="106" t="s">
        <v>1688</v>
      </c>
      <c r="F991" s="106" t="s">
        <v>1689</v>
      </c>
      <c r="G991" s="106" t="s">
        <v>104</v>
      </c>
      <c r="H991" s="106">
        <v>6</v>
      </c>
      <c r="I991" s="106" t="s">
        <v>3640</v>
      </c>
      <c r="J991" s="106">
        <v>35830</v>
      </c>
      <c r="K991" s="106">
        <v>26912</v>
      </c>
      <c r="L991" s="106">
        <v>21786</v>
      </c>
      <c r="M991" s="106">
        <v>0.26</v>
      </c>
      <c r="N991" s="106">
        <v>0.91</v>
      </c>
      <c r="O991" s="106">
        <v>0.93</v>
      </c>
      <c r="P991" s="106">
        <v>20104</v>
      </c>
      <c r="Q991" s="107">
        <v>12474.79791499599</v>
      </c>
      <c r="R991" s="106">
        <v>0.404038737304874</v>
      </c>
      <c r="S991" s="106">
        <v>27130.961507618285</v>
      </c>
      <c r="T991" s="106">
        <v>24964.801122694465</v>
      </c>
      <c r="U991" s="106">
        <v>21122.485035581543</v>
      </c>
      <c r="V991" s="106">
        <v>0.87113113155485833</v>
      </c>
      <c r="W991" s="106">
        <v>78122.75306859205</v>
      </c>
      <c r="X991" s="110">
        <v>0.57927061507963717</v>
      </c>
      <c r="Y991" s="106">
        <v>442.0445344129555</v>
      </c>
      <c r="Z991" s="106">
        <v>15.145748987854251</v>
      </c>
      <c r="AA991" s="106">
        <v>105782.08369224974</v>
      </c>
      <c r="AB991" s="106">
        <v>723.71861078088159</v>
      </c>
      <c r="AC991" s="106">
        <v>0.94533966915350753</v>
      </c>
      <c r="AD991" s="106">
        <v>22.212310437109721</v>
      </c>
      <c r="AE991" s="106">
        <v>146.16465863453814</v>
      </c>
      <c r="AF991" s="106">
        <v>0.12271405604865056</v>
      </c>
      <c r="AG991" s="106">
        <v>34630</v>
      </c>
      <c r="AH991" s="106">
        <v>24438.212109061747</v>
      </c>
      <c r="AI991" s="106">
        <v>27130.961507618285</v>
      </c>
      <c r="AJ991" s="106">
        <v>31253.89615076183</v>
      </c>
      <c r="AK991" s="104">
        <v>21674.31635926223</v>
      </c>
      <c r="AL991" s="118"/>
      <c r="AM991" s="118">
        <v>2198</v>
      </c>
      <c r="AN991" s="118">
        <v>72790</v>
      </c>
      <c r="AO991" s="118">
        <v>385</v>
      </c>
      <c r="AP991" s="118">
        <f t="shared" si="15"/>
        <v>1200</v>
      </c>
    </row>
    <row r="992" spans="1:42" ht="12.75">
      <c r="A992" s="106">
        <v>2018</v>
      </c>
      <c r="B992" s="106">
        <v>-153737</v>
      </c>
      <c r="C992" s="106">
        <v>0</v>
      </c>
      <c r="D992" s="106">
        <v>153737</v>
      </c>
      <c r="E992" s="106" t="s">
        <v>1690</v>
      </c>
      <c r="F992" s="106" t="s">
        <v>803</v>
      </c>
      <c r="G992" s="106" t="s">
        <v>447</v>
      </c>
      <c r="H992" s="106">
        <v>4</v>
      </c>
      <c r="I992" s="106" t="s">
        <v>24</v>
      </c>
      <c r="J992" s="106">
        <v>4910</v>
      </c>
      <c r="K992" s="106">
        <v>9226</v>
      </c>
      <c r="L992" s="106">
        <v>7549</v>
      </c>
      <c r="M992" s="106">
        <v>0.44</v>
      </c>
      <c r="N992" s="106">
        <v>0.51</v>
      </c>
      <c r="O992" s="106">
        <v>0.25</v>
      </c>
      <c r="P992" s="106">
        <v>2468</v>
      </c>
      <c r="Q992" s="106">
        <v>435.97355716480138</v>
      </c>
      <c r="R992" s="106">
        <v>7.8792781423378325E-2</v>
      </c>
      <c r="S992" s="106">
        <v>16263.990015360983</v>
      </c>
      <c r="T992" s="106">
        <v>17007.900702216371</v>
      </c>
      <c r="U992" s="106">
        <v>14096.846609611586</v>
      </c>
      <c r="V992" s="106">
        <v>0.36158389260909168</v>
      </c>
      <c r="W992" s="106">
        <v>73968.465050732804</v>
      </c>
      <c r="X992" s="110">
        <v>0.56435090671275179</v>
      </c>
      <c r="Y992" s="106">
        <v>576.83122362869199</v>
      </c>
      <c r="Z992" s="106">
        <v>19.227848101265824</v>
      </c>
      <c r="AA992" s="106">
        <v>52100.02433090024</v>
      </c>
      <c r="AB992" s="106">
        <v>469.89832417763279</v>
      </c>
      <c r="AC992" s="106">
        <v>1.9193849001849801</v>
      </c>
      <c r="AD992" s="106">
        <v>29.437746209860332</v>
      </c>
      <c r="AE992" s="106">
        <v>110.87510137875101</v>
      </c>
      <c r="AF992" s="106">
        <v>-5.9510390159500277E-3</v>
      </c>
      <c r="AG992" s="106">
        <v>4860</v>
      </c>
      <c r="AH992" s="106">
        <v>16057.542132982226</v>
      </c>
      <c r="AI992" s="106">
        <v>16453.390168970815</v>
      </c>
      <c r="AJ992" s="106">
        <v>16354.3495720869</v>
      </c>
      <c r="AK992" s="104">
        <v>14096.846609611586</v>
      </c>
      <c r="AL992" s="118">
        <v>67460446</v>
      </c>
      <c r="AM992" s="118">
        <v>14049</v>
      </c>
      <c r="AN992" s="118">
        <v>273418</v>
      </c>
      <c r="AO992" s="118">
        <v>1698</v>
      </c>
      <c r="AP992" s="118">
        <f t="shared" si="15"/>
        <v>50</v>
      </c>
    </row>
    <row r="993" spans="1:42" ht="12.75">
      <c r="A993" s="106">
        <v>2018</v>
      </c>
      <c r="B993" s="106">
        <v>-170587</v>
      </c>
      <c r="C993" s="106">
        <v>0</v>
      </c>
      <c r="D993" s="106">
        <v>170587</v>
      </c>
      <c r="E993" s="106" t="s">
        <v>1691</v>
      </c>
      <c r="F993" s="106" t="s">
        <v>1692</v>
      </c>
      <c r="G993" s="106" t="s">
        <v>74</v>
      </c>
      <c r="H993" s="106">
        <v>4</v>
      </c>
      <c r="I993" s="106" t="s">
        <v>24</v>
      </c>
      <c r="J993" s="106">
        <v>4020</v>
      </c>
      <c r="K993" s="106">
        <v>5891</v>
      </c>
      <c r="L993" s="106">
        <v>5355</v>
      </c>
      <c r="M993" s="106">
        <v>0.71</v>
      </c>
      <c r="N993" s="106">
        <v>0.27</v>
      </c>
      <c r="O993" s="106">
        <v>0.26</v>
      </c>
      <c r="P993" s="107">
        <v>1250</v>
      </c>
      <c r="Q993" s="107">
        <v>1547.8856502242152</v>
      </c>
      <c r="R993" s="106">
        <v>0.24361287982192287</v>
      </c>
      <c r="S993" s="106">
        <v>22939.096412556053</v>
      </c>
      <c r="T993" s="106">
        <v>19648.337443946188</v>
      </c>
      <c r="U993" s="106">
        <v>14628.963104707824</v>
      </c>
      <c r="V993" s="106">
        <v>0.32852559370329038</v>
      </c>
      <c r="W993" s="106">
        <v>104911.25742574257</v>
      </c>
      <c r="X993" s="110">
        <v>0.60457864593000343</v>
      </c>
      <c r="Y993" s="106">
        <v>845.11578947368423</v>
      </c>
      <c r="Z993" s="106">
        <v>28.168421052631579</v>
      </c>
      <c r="AA993" s="106">
        <v>41690.207953352648</v>
      </c>
      <c r="AB993" s="106">
        <v>487.5956613631036</v>
      </c>
      <c r="AC993" s="106">
        <v>2.3986447875695518</v>
      </c>
      <c r="AD993" s="106">
        <v>37.085308056872037</v>
      </c>
      <c r="AE993" s="106">
        <v>85.501597444089455</v>
      </c>
      <c r="AF993" s="106">
        <v>0.4770083318605699</v>
      </c>
      <c r="AG993" s="106">
        <v>3390</v>
      </c>
      <c r="AH993" s="106">
        <v>21441.17600896861</v>
      </c>
      <c r="AI993" s="106">
        <v>21538.654708520178</v>
      </c>
      <c r="AJ993" s="106">
        <v>23007.026905829596</v>
      </c>
      <c r="AK993" s="104">
        <v>16142.641255605382</v>
      </c>
      <c r="AL993" s="119">
        <v>11488307</v>
      </c>
      <c r="AM993" s="118">
        <v>1528</v>
      </c>
      <c r="AN993" s="118">
        <v>26762</v>
      </c>
      <c r="AO993" s="118">
        <v>209</v>
      </c>
      <c r="AP993" s="118">
        <f t="shared" si="15"/>
        <v>630</v>
      </c>
    </row>
    <row r="994" spans="1:42" ht="12.75">
      <c r="A994" s="106">
        <v>2018</v>
      </c>
      <c r="B994" s="106">
        <v>-146418</v>
      </c>
      <c r="C994" s="106">
        <v>0</v>
      </c>
      <c r="D994" s="106">
        <v>146418</v>
      </c>
      <c r="E994" s="106" t="s">
        <v>1693</v>
      </c>
      <c r="F994" s="106" t="s">
        <v>1694</v>
      </c>
      <c r="G994" s="106" t="s">
        <v>243</v>
      </c>
      <c r="H994" s="106">
        <v>4</v>
      </c>
      <c r="I994" s="106" t="s">
        <v>24</v>
      </c>
      <c r="J994" s="106">
        <v>4710</v>
      </c>
      <c r="K994" s="106">
        <v>6807</v>
      </c>
      <c r="L994" s="106">
        <v>5282</v>
      </c>
      <c r="M994" s="106">
        <v>0.42</v>
      </c>
      <c r="N994" s="106">
        <v>0.16</v>
      </c>
      <c r="O994" s="106">
        <v>0.12</v>
      </c>
      <c r="P994" s="106">
        <v>1492</v>
      </c>
      <c r="Q994" s="106">
        <v>342.73503127792674</v>
      </c>
      <c r="R994" s="106">
        <v>5.1672266329550659E-2</v>
      </c>
      <c r="S994" s="106">
        <v>20784.773905272566</v>
      </c>
      <c r="T994" s="106">
        <v>20967.4472743521</v>
      </c>
      <c r="U994" s="106">
        <v>17477.529932944537</v>
      </c>
      <c r="V994" s="106">
        <v>0.35989795869196783</v>
      </c>
      <c r="W994" s="106">
        <v>98857.782663316597</v>
      </c>
      <c r="X994" s="110">
        <v>0.55898098731582024</v>
      </c>
      <c r="Y994" s="106">
        <v>621.62037037037032</v>
      </c>
      <c r="Z994" s="106">
        <v>20.722222222222221</v>
      </c>
      <c r="AA994" s="106">
        <v>48710.724769526612</v>
      </c>
      <c r="AB994" s="106">
        <v>582.62772011513914</v>
      </c>
      <c r="AC994" s="106">
        <v>2.0529359904445501</v>
      </c>
      <c r="AD994" s="106">
        <v>38.219895287958117</v>
      </c>
      <c r="AE994" s="106">
        <v>83.605230386052298</v>
      </c>
      <c r="AF994" s="106">
        <v>-7.5204457735679794E-3</v>
      </c>
      <c r="AG994" s="106">
        <v>4170</v>
      </c>
      <c r="AH994" s="106">
        <v>21259.523681858802</v>
      </c>
      <c r="AI994" s="106">
        <v>21259.523681858802</v>
      </c>
      <c r="AJ994" s="106">
        <v>20852.226988382485</v>
      </c>
      <c r="AK994" s="104">
        <v>19889.729669347631</v>
      </c>
      <c r="AL994" s="118">
        <v>28757855</v>
      </c>
      <c r="AM994" s="118">
        <v>3417</v>
      </c>
      <c r="AN994" s="118">
        <v>67135</v>
      </c>
      <c r="AO994" s="118">
        <v>480</v>
      </c>
      <c r="AP994" s="118">
        <f t="shared" si="15"/>
        <v>540</v>
      </c>
    </row>
    <row r="995" spans="1:42" ht="12.75">
      <c r="A995" s="106">
        <v>2018</v>
      </c>
      <c r="B995" s="106">
        <v>-428392</v>
      </c>
      <c r="C995" s="106">
        <v>0</v>
      </c>
      <c r="D995" s="106">
        <v>428392</v>
      </c>
      <c r="E995" s="106" t="s">
        <v>1695</v>
      </c>
      <c r="F995" s="106" t="s">
        <v>1696</v>
      </c>
      <c r="G995" s="106" t="s">
        <v>405</v>
      </c>
      <c r="H995" s="106">
        <v>4</v>
      </c>
      <c r="I995" s="106" t="s">
        <v>24</v>
      </c>
      <c r="J995" s="106">
        <v>4170</v>
      </c>
      <c r="K995" s="106">
        <v>8831</v>
      </c>
      <c r="L995" s="106">
        <v>8159</v>
      </c>
      <c r="M995" s="106">
        <v>0.74</v>
      </c>
      <c r="N995" s="106">
        <v>0.4</v>
      </c>
      <c r="O995" s="106">
        <v>0.01</v>
      </c>
      <c r="P995" s="106">
        <v>533</v>
      </c>
      <c r="Q995" s="106">
        <v>575.77849860982394</v>
      </c>
      <c r="R995" s="106">
        <v>0.10505512195823093</v>
      </c>
      <c r="S995" s="106">
        <v>21971.029657089897</v>
      </c>
      <c r="T995" s="106">
        <v>21123.590361445782</v>
      </c>
      <c r="U995" s="106">
        <v>16664.44763670065</v>
      </c>
      <c r="V995" s="106">
        <v>0.29433613005416459</v>
      </c>
      <c r="W995" s="106">
        <v>76057.781632653059</v>
      </c>
      <c r="X995" s="110">
        <v>0.54504115722316349</v>
      </c>
      <c r="Y995" s="106">
        <v>791.36413043478262</v>
      </c>
      <c r="Z995" s="106">
        <v>17.592391304347828</v>
      </c>
      <c r="AA995" s="106">
        <v>37227.616977225676</v>
      </c>
      <c r="AB995" s="106">
        <v>370.45839256649566</v>
      </c>
      <c r="AC995" s="106">
        <v>2.6861778464406112</v>
      </c>
      <c r="AD995" s="106">
        <v>50.949367088607602</v>
      </c>
      <c r="AE995" s="106">
        <v>100.49068322981367</v>
      </c>
      <c r="AF995" s="106">
        <v>0.54902653738435792</v>
      </c>
      <c r="AG995" s="106">
        <v>3474</v>
      </c>
      <c r="AH995" s="106">
        <v>18972.943466172383</v>
      </c>
      <c r="AI995" s="106">
        <v>18972.943466172383</v>
      </c>
      <c r="AJ995" s="106">
        <v>22094.774791473588</v>
      </c>
      <c r="AK995" s="104">
        <v>20499.478220574605</v>
      </c>
      <c r="AL995" s="118">
        <v>11429964</v>
      </c>
      <c r="AM995" s="118">
        <v>1683</v>
      </c>
      <c r="AN995" s="118">
        <v>48537</v>
      </c>
      <c r="AO995" s="118">
        <v>254</v>
      </c>
      <c r="AP995" s="118">
        <f t="shared" si="15"/>
        <v>696</v>
      </c>
    </row>
    <row r="996" spans="1:42" ht="12.75">
      <c r="A996" s="106">
        <v>2018</v>
      </c>
      <c r="B996" s="106">
        <v>-146427</v>
      </c>
      <c r="C996" s="106">
        <v>0</v>
      </c>
      <c r="D996" s="106">
        <v>146427</v>
      </c>
      <c r="E996" s="106" t="s">
        <v>1697</v>
      </c>
      <c r="F996" s="106" t="s">
        <v>598</v>
      </c>
      <c r="G996" s="106" t="s">
        <v>243</v>
      </c>
      <c r="H996" s="106">
        <v>7</v>
      </c>
      <c r="I996" s="106" t="s">
        <v>3641</v>
      </c>
      <c r="J996" s="106">
        <v>44958</v>
      </c>
      <c r="K996" s="106">
        <v>24668</v>
      </c>
      <c r="L996" s="106">
        <v>14622</v>
      </c>
      <c r="M996" s="106">
        <v>0.32</v>
      </c>
      <c r="N996" s="106">
        <v>0.65</v>
      </c>
      <c r="O996" s="106">
        <v>0.99</v>
      </c>
      <c r="P996" s="106">
        <v>29103</v>
      </c>
      <c r="Q996" s="108">
        <v>27721.480179506358</v>
      </c>
      <c r="R996" s="106">
        <v>0.62826643550889094</v>
      </c>
      <c r="S996" s="106">
        <v>37046.313388182498</v>
      </c>
      <c r="T996" s="106">
        <v>38174.543006731488</v>
      </c>
      <c r="U996" s="106">
        <v>31427.902767389678</v>
      </c>
      <c r="V996" s="106">
        <v>0.52190196526313526</v>
      </c>
      <c r="W996" s="106">
        <v>80976.113857016768</v>
      </c>
      <c r="X996" s="110">
        <v>0.59918417086858689</v>
      </c>
      <c r="Y996" s="106">
        <v>306.20610687022901</v>
      </c>
      <c r="Z996" s="106">
        <v>10.206106870229007</v>
      </c>
      <c r="AA996" s="106">
        <v>147435.45964912281</v>
      </c>
      <c r="AB996" s="106">
        <v>1047.5184104903647</v>
      </c>
      <c r="AC996" s="106">
        <v>0.67826288355587583</v>
      </c>
      <c r="AD996" s="106">
        <v>21.221146686522712</v>
      </c>
      <c r="AE996" s="106">
        <v>140.74736842105264</v>
      </c>
      <c r="AF996" s="106">
        <v>0.11964187501022371</v>
      </c>
      <c r="AG996" s="106">
        <v>44191</v>
      </c>
      <c r="AH996" s="106">
        <v>26709.495138369482</v>
      </c>
      <c r="AI996" s="106">
        <v>37046.313388182498</v>
      </c>
      <c r="AJ996" s="106">
        <v>49443.879581151836</v>
      </c>
      <c r="AK996" s="104">
        <v>31427.902767389678</v>
      </c>
      <c r="AL996" s="118"/>
      <c r="AM996" s="118">
        <v>1356</v>
      </c>
      <c r="AN996" s="118">
        <v>40113</v>
      </c>
      <c r="AO996" s="118">
        <v>285</v>
      </c>
      <c r="AP996" s="118">
        <f t="shared" si="15"/>
        <v>767</v>
      </c>
    </row>
    <row r="997" spans="1:42" ht="12.75">
      <c r="A997" s="106">
        <v>2018</v>
      </c>
      <c r="B997" s="106">
        <v>-213349</v>
      </c>
      <c r="C997" s="106">
        <v>0</v>
      </c>
      <c r="D997" s="106">
        <v>213349</v>
      </c>
      <c r="E997" s="106" t="s">
        <v>1698</v>
      </c>
      <c r="F997" s="106" t="s">
        <v>1699</v>
      </c>
      <c r="G997" s="106" t="s">
        <v>104</v>
      </c>
      <c r="H997" s="106">
        <v>2</v>
      </c>
      <c r="I997" s="106" t="s">
        <v>25</v>
      </c>
      <c r="J997" s="106">
        <v>9987</v>
      </c>
      <c r="K997" s="106">
        <v>22084</v>
      </c>
      <c r="L997" s="106">
        <v>17820</v>
      </c>
      <c r="M997" s="106">
        <v>0.36</v>
      </c>
      <c r="N997" s="106">
        <v>0.79</v>
      </c>
      <c r="O997" s="106">
        <v>0.63</v>
      </c>
      <c r="P997" s="106">
        <v>1540</v>
      </c>
      <c r="Q997" s="106">
        <v>576.0373471557682</v>
      </c>
      <c r="R997" s="106">
        <v>5.2785936218595807E-2</v>
      </c>
      <c r="S997" s="106">
        <v>22284.917729930887</v>
      </c>
      <c r="T997" s="106">
        <v>25365.891281233387</v>
      </c>
      <c r="U997" s="106">
        <v>16501.777181853289</v>
      </c>
      <c r="V997" s="106">
        <v>0.62639723486206744</v>
      </c>
      <c r="W997" s="106">
        <v>119344.18552678254</v>
      </c>
      <c r="X997" s="110">
        <v>0.58759240346309316</v>
      </c>
      <c r="Y997" s="106">
        <v>545.83823529411768</v>
      </c>
      <c r="Z997" s="106">
        <v>18.441176470588236</v>
      </c>
      <c r="AA997" s="106">
        <v>68786.355410672651</v>
      </c>
      <c r="AB997" s="106">
        <v>557.51350017630796</v>
      </c>
      <c r="AC997" s="106">
        <v>1.4537766887484249</v>
      </c>
      <c r="AD997" s="106">
        <v>23.380829015544041</v>
      </c>
      <c r="AE997" s="106">
        <v>123.38060941828255</v>
      </c>
      <c r="AF997" s="106">
        <v>-0.71583936929562997</v>
      </c>
      <c r="AG997" s="106">
        <v>7492</v>
      </c>
      <c r="AH997" s="106">
        <v>22554.919191919191</v>
      </c>
      <c r="AI997" s="106">
        <v>22554.932482721957</v>
      </c>
      <c r="AJ997" s="106">
        <v>22537.755582137161</v>
      </c>
      <c r="AK997" s="104">
        <v>18134.321238702818</v>
      </c>
      <c r="AL997" s="118">
        <v>35559018</v>
      </c>
      <c r="AM997" s="118">
        <v>7489</v>
      </c>
      <c r="AN997" s="118">
        <v>222702</v>
      </c>
      <c r="AO997" s="118">
        <v>1524</v>
      </c>
      <c r="AP997" s="118">
        <f t="shared" si="15"/>
        <v>2495</v>
      </c>
    </row>
    <row r="998" spans="1:42" ht="12.75">
      <c r="A998" s="106">
        <v>2018</v>
      </c>
      <c r="B998" s="106">
        <v>-171881</v>
      </c>
      <c r="C998" s="106">
        <v>0</v>
      </c>
      <c r="D998" s="106">
        <v>171881</v>
      </c>
      <c r="E998" s="106" t="s">
        <v>1700</v>
      </c>
      <c r="F998" s="106" t="s">
        <v>186</v>
      </c>
      <c r="G998" s="106" t="s">
        <v>74</v>
      </c>
      <c r="H998" s="106">
        <v>7</v>
      </c>
      <c r="I998" s="106" t="s">
        <v>3641</v>
      </c>
      <c r="J998" s="106">
        <v>21090</v>
      </c>
      <c r="K998" s="106">
        <v>18754</v>
      </c>
      <c r="L998" s="106">
        <v>16958</v>
      </c>
      <c r="M998" s="106">
        <v>0.46</v>
      </c>
      <c r="N998" s="106">
        <v>0.79</v>
      </c>
      <c r="O998" s="106">
        <v>0.96</v>
      </c>
      <c r="P998" s="106">
        <v>7754</v>
      </c>
      <c r="Q998" s="106">
        <v>6213.8312500000002</v>
      </c>
      <c r="R998" s="106">
        <v>0.28897122126093511</v>
      </c>
      <c r="S998" s="106">
        <v>36383.793749999997</v>
      </c>
      <c r="T998" s="106">
        <v>31755.081249999999</v>
      </c>
      <c r="U998" s="106">
        <v>26135.58936547679</v>
      </c>
      <c r="V998" s="106">
        <v>0.58500522166132052</v>
      </c>
      <c r="W998" s="106">
        <v>69755.218487394959</v>
      </c>
      <c r="X998" s="110">
        <v>0.54458941905557245</v>
      </c>
      <c r="Y998" s="106">
        <v>312.32608695652175</v>
      </c>
      <c r="Z998" s="106">
        <v>10.434782608695652</v>
      </c>
      <c r="AA998" s="106">
        <v>83633.885969525727</v>
      </c>
      <c r="AB998" s="106">
        <v>873.18736656426938</v>
      </c>
      <c r="AC998" s="106">
        <v>1.195687595294062</v>
      </c>
      <c r="AD998" s="106">
        <v>31.05590062111801</v>
      </c>
      <c r="AE998" s="106">
        <v>95.78</v>
      </c>
      <c r="AF998" s="106">
        <v>0.11742163738876274</v>
      </c>
      <c r="AG998" s="106">
        <v>20506</v>
      </c>
      <c r="AH998" s="106">
        <v>19741.96875</v>
      </c>
      <c r="AI998" s="106">
        <v>37808.662499999999</v>
      </c>
      <c r="AJ998" s="106">
        <v>37696.768750000003</v>
      </c>
      <c r="AK998" s="104">
        <v>28537.362499999999</v>
      </c>
      <c r="AL998" s="118"/>
      <c r="AM998" s="118">
        <v>184</v>
      </c>
      <c r="AN998" s="118">
        <v>4789</v>
      </c>
      <c r="AO998" s="118">
        <v>45</v>
      </c>
      <c r="AP998" s="118">
        <f t="shared" si="15"/>
        <v>584</v>
      </c>
    </row>
    <row r="999" spans="1:42" ht="12.75">
      <c r="A999" s="106">
        <v>2018</v>
      </c>
      <c r="B999" s="106">
        <v>-213358</v>
      </c>
      <c r="C999" s="106">
        <v>0</v>
      </c>
      <c r="D999" s="106">
        <v>213358</v>
      </c>
      <c r="E999" s="106" t="s">
        <v>1702</v>
      </c>
      <c r="F999" s="106" t="s">
        <v>602</v>
      </c>
      <c r="G999" s="106" t="s">
        <v>104</v>
      </c>
      <c r="H999" s="106">
        <v>7</v>
      </c>
      <c r="I999" s="106" t="s">
        <v>3641</v>
      </c>
      <c r="J999" s="106">
        <v>27720</v>
      </c>
      <c r="K999" s="106">
        <v>21720</v>
      </c>
      <c r="L999" s="106">
        <v>16422</v>
      </c>
      <c r="M999" s="106">
        <v>0.38</v>
      </c>
      <c r="N999" s="106">
        <v>0.6</v>
      </c>
      <c r="O999" s="106">
        <v>0.75</v>
      </c>
      <c r="P999" s="106">
        <v>15126</v>
      </c>
      <c r="Q999" s="106">
        <v>9972.6863863150393</v>
      </c>
      <c r="R999" s="106">
        <v>0.39458045746945786</v>
      </c>
      <c r="S999" s="106">
        <v>21176.106913756237</v>
      </c>
      <c r="T999" s="106">
        <v>21766.130434782608</v>
      </c>
      <c r="U999" s="106">
        <v>18200.859787918092</v>
      </c>
      <c r="V999" s="106">
        <v>0.8407001432633463</v>
      </c>
      <c r="W999" s="106">
        <v>57112.404101326902</v>
      </c>
      <c r="X999" s="110">
        <v>0.51680275393043806</v>
      </c>
      <c r="Y999" s="106">
        <v>376.34954407294833</v>
      </c>
      <c r="Z999" s="106">
        <v>12.793313069908816</v>
      </c>
      <c r="AA999" s="106">
        <v>65983.99556188393</v>
      </c>
      <c r="AB999" s="106">
        <v>618.70487443241541</v>
      </c>
      <c r="AC999" s="106">
        <v>1.5155190156105918</v>
      </c>
      <c r="AD999" s="106">
        <v>28.539823008849556</v>
      </c>
      <c r="AE999" s="106">
        <v>106.6485788113695</v>
      </c>
      <c r="AF999" s="106">
        <v>-3.0126794006052362E-2</v>
      </c>
      <c r="AG999" s="106">
        <v>26920</v>
      </c>
      <c r="AH999" s="106">
        <v>20306.556664290805</v>
      </c>
      <c r="AI999" s="106">
        <v>21176.106913756237</v>
      </c>
      <c r="AJ999" s="106">
        <v>21448.523164647184</v>
      </c>
      <c r="AK999" s="104">
        <v>18332.570919458303</v>
      </c>
      <c r="AL999" s="118"/>
      <c r="AM999" s="118">
        <v>1378</v>
      </c>
      <c r="AN999" s="118">
        <v>41273</v>
      </c>
      <c r="AO999" s="118">
        <v>317</v>
      </c>
      <c r="AP999" s="118">
        <f t="shared" si="15"/>
        <v>800</v>
      </c>
    </row>
    <row r="1000" spans="1:42" ht="12.75">
      <c r="A1000" s="106">
        <v>2018</v>
      </c>
      <c r="B1000" s="106">
        <v>-213367</v>
      </c>
      <c r="C1000" s="106">
        <v>0</v>
      </c>
      <c r="D1000" s="106">
        <v>213367</v>
      </c>
      <c r="E1000" s="106" t="s">
        <v>1703</v>
      </c>
      <c r="F1000" s="106" t="s">
        <v>721</v>
      </c>
      <c r="G1000" s="106" t="s">
        <v>104</v>
      </c>
      <c r="H1000" s="106">
        <v>6</v>
      </c>
      <c r="I1000" s="106" t="s">
        <v>3640</v>
      </c>
      <c r="J1000" s="106">
        <v>29500</v>
      </c>
      <c r="K1000" s="106">
        <v>24473</v>
      </c>
      <c r="L1000" s="106">
        <v>23966</v>
      </c>
      <c r="M1000" s="106">
        <v>0.45</v>
      </c>
      <c r="N1000" s="106">
        <v>0.81</v>
      </c>
      <c r="O1000" s="106">
        <v>0.87</v>
      </c>
      <c r="P1000" s="106">
        <v>15432</v>
      </c>
      <c r="Q1000" s="107">
        <v>8590.0772956218516</v>
      </c>
      <c r="R1000" s="106">
        <v>0.37604295531672682</v>
      </c>
      <c r="S1000" s="106">
        <v>21784.658659434328</v>
      </c>
      <c r="T1000" s="106">
        <v>22276.598992638512</v>
      </c>
      <c r="U1000" s="106">
        <v>19620.675968501339</v>
      </c>
      <c r="V1000" s="106">
        <v>0.7264409897463413</v>
      </c>
      <c r="W1000" s="106">
        <v>84664.018450184507</v>
      </c>
      <c r="X1000" s="110">
        <v>0.59858046056917236</v>
      </c>
      <c r="Y1000" s="106">
        <v>460.71797631862216</v>
      </c>
      <c r="Z1000" s="106">
        <v>16.669537136706136</v>
      </c>
      <c r="AA1000" s="106">
        <v>66283.985176311471</v>
      </c>
      <c r="AB1000" s="106">
        <v>709.90845488090554</v>
      </c>
      <c r="AC1000" s="106">
        <v>1.5086600441118008</v>
      </c>
      <c r="AD1000" s="106">
        <v>36.285917834243648</v>
      </c>
      <c r="AE1000" s="106">
        <v>93.369764397905755</v>
      </c>
      <c r="AF1000" s="106">
        <v>1.8138757388688108E-2</v>
      </c>
      <c r="AG1000" s="106">
        <v>28800</v>
      </c>
      <c r="AH1000" s="106">
        <v>19783.049980627664</v>
      </c>
      <c r="AI1000" s="106">
        <v>21784.658659434328</v>
      </c>
      <c r="AJ1000" s="106">
        <v>22834.138705927933</v>
      </c>
      <c r="AK1000" s="104">
        <v>20592.902169701665</v>
      </c>
      <c r="AL1000" s="118">
        <v>783644</v>
      </c>
      <c r="AM1000" s="118">
        <v>3821</v>
      </c>
      <c r="AN1000" s="118">
        <v>142669</v>
      </c>
      <c r="AO1000" s="118">
        <v>880</v>
      </c>
      <c r="AP1000" s="118">
        <f t="shared" si="15"/>
        <v>700</v>
      </c>
    </row>
    <row r="1001" spans="1:42" ht="12.75">
      <c r="A1001" s="106">
        <v>2018</v>
      </c>
      <c r="B1001" s="106">
        <v>-117627</v>
      </c>
      <c r="C1001" s="106">
        <v>0</v>
      </c>
      <c r="D1001" s="106">
        <v>117627</v>
      </c>
      <c r="E1001" s="106" t="s">
        <v>1704</v>
      </c>
      <c r="F1001" s="106" t="s">
        <v>529</v>
      </c>
      <c r="G1001" s="106" t="s">
        <v>121</v>
      </c>
      <c r="H1001" s="106">
        <v>6</v>
      </c>
      <c r="I1001" s="106" t="s">
        <v>3640</v>
      </c>
      <c r="J1001" s="106">
        <v>32130</v>
      </c>
      <c r="K1001" s="106">
        <v>21451</v>
      </c>
      <c r="L1001" s="106">
        <v>18814</v>
      </c>
      <c r="M1001" s="106">
        <v>0.49</v>
      </c>
      <c r="N1001" s="106">
        <v>0.63</v>
      </c>
      <c r="O1001" s="106">
        <v>0.87</v>
      </c>
      <c r="P1001" s="107">
        <v>14800</v>
      </c>
      <c r="Q1001" s="107">
        <v>7624.6569854782174</v>
      </c>
      <c r="R1001" s="106">
        <v>0.24718203416136869</v>
      </c>
      <c r="S1001" s="106">
        <v>40388.708062093137</v>
      </c>
      <c r="T1001" s="106">
        <v>40528.736604907361</v>
      </c>
      <c r="U1001" s="106">
        <v>27688.518396816824</v>
      </c>
      <c r="V1001" s="106">
        <v>0.83867493980534813</v>
      </c>
      <c r="W1001" s="106">
        <v>104115.50781968722</v>
      </c>
      <c r="X1001" s="110">
        <v>0.46610373220472645</v>
      </c>
      <c r="Y1001" s="106">
        <v>502.97884615384623</v>
      </c>
      <c r="Z1001" s="106">
        <v>11.521153846153847</v>
      </c>
      <c r="AA1001" s="106">
        <v>91850.450562198006</v>
      </c>
      <c r="AB1001" s="106">
        <v>634.2288202796783</v>
      </c>
      <c r="AC1001" s="106">
        <v>1.0887262870015362</v>
      </c>
      <c r="AD1001" s="106">
        <v>27.363636363636363</v>
      </c>
      <c r="AE1001" s="106">
        <v>144.82225913621264</v>
      </c>
      <c r="AF1001" s="106">
        <v>4.0363032015710003E-2</v>
      </c>
      <c r="AG1001" s="106">
        <v>31140</v>
      </c>
      <c r="AH1001" s="106">
        <v>30386.57336004006</v>
      </c>
      <c r="AI1001" s="106">
        <v>33937.188282423638</v>
      </c>
      <c r="AJ1001" s="106">
        <v>43569.28592889334</v>
      </c>
      <c r="AK1001" s="104">
        <v>35634.387581372059</v>
      </c>
      <c r="AL1001" s="118"/>
      <c r="AM1001" s="118">
        <v>2029</v>
      </c>
      <c r="AN1001" s="118">
        <v>87183</v>
      </c>
      <c r="AO1001" s="118">
        <v>357</v>
      </c>
      <c r="AP1001" s="118">
        <f t="shared" si="15"/>
        <v>990</v>
      </c>
    </row>
    <row r="1002" spans="1:42" ht="12.75">
      <c r="A1002" s="106">
        <v>2018</v>
      </c>
      <c r="B1002" s="106">
        <v>-155450</v>
      </c>
      <c r="C1002" s="106">
        <v>0</v>
      </c>
      <c r="D1002" s="106">
        <v>155450</v>
      </c>
      <c r="E1002" s="106" t="s">
        <v>1707</v>
      </c>
      <c r="F1002" s="106" t="s">
        <v>1708</v>
      </c>
      <c r="G1002" s="106" t="s">
        <v>129</v>
      </c>
      <c r="H1002" s="106">
        <v>4</v>
      </c>
      <c r="I1002" s="106" t="s">
        <v>24</v>
      </c>
      <c r="J1002" s="106">
        <v>2940</v>
      </c>
      <c r="K1002" s="106">
        <v>6595</v>
      </c>
      <c r="L1002" s="106">
        <v>5636</v>
      </c>
      <c r="M1002" s="106">
        <v>0.61</v>
      </c>
      <c r="N1002" s="106">
        <v>0.16</v>
      </c>
      <c r="O1002" s="106">
        <v>0.73</v>
      </c>
      <c r="P1002" s="106">
        <v>1699</v>
      </c>
      <c r="Q1002" s="106"/>
      <c r="R1002" s="106"/>
      <c r="S1002" s="106">
        <v>11610.779717373234</v>
      </c>
      <c r="T1002" s="106">
        <v>11531.009975062345</v>
      </c>
      <c r="U1002" s="106">
        <v>8119.4854530340817</v>
      </c>
      <c r="V1002" s="106">
        <v>0.24182940559132352</v>
      </c>
      <c r="W1002" s="106">
        <v>49975.141304347824</v>
      </c>
      <c r="X1002" s="110">
        <v>0.55240504029576543</v>
      </c>
      <c r="Y1002" s="106">
        <v>563.84375</v>
      </c>
      <c r="Z1002" s="106">
        <v>18.796875</v>
      </c>
      <c r="AA1002" s="106">
        <v>47416.218446601939</v>
      </c>
      <c r="AB1002" s="106">
        <v>270.67951560161833</v>
      </c>
      <c r="AC1002" s="106">
        <v>2.108983028931664</v>
      </c>
      <c r="AD1002" s="106">
        <v>18.592057761732853</v>
      </c>
      <c r="AE1002" s="106">
        <v>175.17475728155341</v>
      </c>
      <c r="AF1002" s="106">
        <v>7.2674742167505094E-3</v>
      </c>
      <c r="AG1002" s="106">
        <v>1560</v>
      </c>
      <c r="AH1002" s="106">
        <v>10443.458852867831</v>
      </c>
      <c r="AI1002" s="106">
        <v>10480.657522859517</v>
      </c>
      <c r="AJ1002" s="106">
        <v>11619.748960931005</v>
      </c>
      <c r="AK1002" s="104">
        <v>9288.0631753948455</v>
      </c>
      <c r="AL1002" s="118">
        <v>8134168</v>
      </c>
      <c r="AM1002" s="118">
        <v>2005</v>
      </c>
      <c r="AN1002" s="118">
        <v>36086</v>
      </c>
      <c r="AO1002" s="118">
        <v>174</v>
      </c>
      <c r="AP1002" s="118">
        <f t="shared" si="15"/>
        <v>1380</v>
      </c>
    </row>
    <row r="1003" spans="1:42" ht="12.75">
      <c r="A1003" s="106">
        <v>2018</v>
      </c>
      <c r="B1003" s="106">
        <v>-213385</v>
      </c>
      <c r="C1003" s="106">
        <v>0</v>
      </c>
      <c r="D1003" s="106">
        <v>213385</v>
      </c>
      <c r="E1003" s="106" t="s">
        <v>1709</v>
      </c>
      <c r="F1003" s="106" t="s">
        <v>1710</v>
      </c>
      <c r="G1003" s="106" t="s">
        <v>104</v>
      </c>
      <c r="H1003" s="106">
        <v>7</v>
      </c>
      <c r="I1003" s="106" t="s">
        <v>3641</v>
      </c>
      <c r="J1003" s="106">
        <v>50850</v>
      </c>
      <c r="K1003" s="106">
        <v>26855</v>
      </c>
      <c r="L1003" s="106">
        <v>10471</v>
      </c>
      <c r="M1003" s="106">
        <v>0.12</v>
      </c>
      <c r="N1003" s="106">
        <v>0.31</v>
      </c>
      <c r="O1003" s="106">
        <v>0.5</v>
      </c>
      <c r="P1003" s="106">
        <v>40310</v>
      </c>
      <c r="Q1003" s="106">
        <v>17725.512528473802</v>
      </c>
      <c r="R1003" s="106">
        <v>0.35702323874194214</v>
      </c>
      <c r="S1003" s="106">
        <v>60139.711465451786</v>
      </c>
      <c r="T1003" s="106">
        <v>64621.488230827636</v>
      </c>
      <c r="U1003" s="106">
        <v>51954.76871986944</v>
      </c>
      <c r="V1003" s="106">
        <v>0.6144296671777697</v>
      </c>
      <c r="W1003" s="106">
        <v>98630.697312037402</v>
      </c>
      <c r="X1003" s="110">
        <v>0.49581994324757805</v>
      </c>
      <c r="Y1003" s="106">
        <v>296.28375</v>
      </c>
      <c r="Z1003" s="106">
        <v>9.8774999999999995</v>
      </c>
      <c r="AA1003" s="106">
        <v>215849.93818317997</v>
      </c>
      <c r="AB1003" s="106">
        <v>1732.0667368038592</v>
      </c>
      <c r="AC1003" s="106">
        <v>0.46328482112019642</v>
      </c>
      <c r="AD1003" s="106">
        <v>24.688473520249222</v>
      </c>
      <c r="AE1003" s="106">
        <v>124.6198738170347</v>
      </c>
      <c r="AF1003" s="106">
        <v>5.6771679461451063E-2</v>
      </c>
      <c r="AG1003" s="106">
        <v>50400</v>
      </c>
      <c r="AH1003" s="106">
        <v>48336.750189825361</v>
      </c>
      <c r="AI1003" s="106">
        <v>60139.711465451786</v>
      </c>
      <c r="AJ1003" s="106">
        <v>82610.478359908884</v>
      </c>
      <c r="AK1003" s="104">
        <v>53237.281700835229</v>
      </c>
      <c r="AL1003" s="118"/>
      <c r="AM1003" s="118">
        <v>2594</v>
      </c>
      <c r="AN1003" s="118">
        <v>79009</v>
      </c>
      <c r="AO1003" s="118">
        <v>634</v>
      </c>
      <c r="AP1003" s="118">
        <f t="shared" si="15"/>
        <v>450</v>
      </c>
    </row>
    <row r="1004" spans="1:42" ht="12.75">
      <c r="A1004" s="106">
        <v>2018</v>
      </c>
      <c r="B1004" s="106">
        <v>-140234</v>
      </c>
      <c r="C1004" s="106">
        <v>0</v>
      </c>
      <c r="D1004" s="106">
        <v>140234</v>
      </c>
      <c r="E1004" s="106" t="s">
        <v>1705</v>
      </c>
      <c r="F1004" s="106" t="s">
        <v>1706</v>
      </c>
      <c r="G1004" s="106" t="s">
        <v>63</v>
      </c>
      <c r="H1004" s="106">
        <v>7</v>
      </c>
      <c r="I1004" s="106" t="s">
        <v>3641</v>
      </c>
      <c r="J1004" s="106">
        <v>29480</v>
      </c>
      <c r="K1004" s="106">
        <v>19918</v>
      </c>
      <c r="L1004" s="106">
        <v>19666</v>
      </c>
      <c r="M1004" s="106">
        <v>0.46</v>
      </c>
      <c r="N1004" s="106">
        <v>0.8</v>
      </c>
      <c r="O1004" s="106">
        <v>1</v>
      </c>
      <c r="P1004" s="106">
        <v>17652</v>
      </c>
      <c r="Q1004" s="106">
        <v>12933.611632270169</v>
      </c>
      <c r="R1004" s="106">
        <v>0.47587298300112174</v>
      </c>
      <c r="S1004" s="106">
        <v>25630.787992495309</v>
      </c>
      <c r="T1004" s="106">
        <v>31186.548780487807</v>
      </c>
      <c r="U1004" s="106">
        <v>26698.567542213885</v>
      </c>
      <c r="V1004" s="106">
        <v>0.53355273784284718</v>
      </c>
      <c r="W1004" s="106">
        <v>80869.684800000003</v>
      </c>
      <c r="X1004" s="110">
        <v>0.50678061189667778</v>
      </c>
      <c r="Y1004" s="106">
        <v>359.58461538461535</v>
      </c>
      <c r="Z1004" s="106">
        <v>12.299999999999999</v>
      </c>
      <c r="AA1004" s="106">
        <v>106995.0112781955</v>
      </c>
      <c r="AB1004" s="106">
        <v>913.25481324605312</v>
      </c>
      <c r="AC1004" s="106">
        <v>0.93462301471226628</v>
      </c>
      <c r="AD1004" s="106">
        <v>26.520438683948157</v>
      </c>
      <c r="AE1004" s="106">
        <v>117.15789473684211</v>
      </c>
      <c r="AF1004" s="106">
        <v>-1.2905387878820531E-2</v>
      </c>
      <c r="AG1004" s="106">
        <v>29150</v>
      </c>
      <c r="AH1004" s="106">
        <v>20656.969981238275</v>
      </c>
      <c r="AI1004" s="106">
        <v>25630.787992495309</v>
      </c>
      <c r="AJ1004" s="106">
        <v>29934.950281425892</v>
      </c>
      <c r="AK1004" s="104">
        <v>26698.567542213885</v>
      </c>
      <c r="AL1004" s="118"/>
      <c r="AM1004" s="118">
        <v>937</v>
      </c>
      <c r="AN1004" s="118">
        <v>31164</v>
      </c>
      <c r="AO1004" s="118">
        <v>197</v>
      </c>
      <c r="AP1004" s="118">
        <f t="shared" si="15"/>
        <v>330</v>
      </c>
    </row>
    <row r="1005" spans="1:42" ht="12.75">
      <c r="A1005" s="106">
        <v>2018</v>
      </c>
      <c r="B1005" s="106">
        <v>-219143</v>
      </c>
      <c r="C1005" s="106">
        <v>0</v>
      </c>
      <c r="D1005" s="106">
        <v>219143</v>
      </c>
      <c r="E1005" s="106" t="s">
        <v>1711</v>
      </c>
      <c r="F1005" s="106" t="s">
        <v>1620</v>
      </c>
      <c r="G1005" s="106" t="s">
        <v>246</v>
      </c>
      <c r="H1005" s="106">
        <v>4</v>
      </c>
      <c r="I1005" s="106" t="s">
        <v>24</v>
      </c>
      <c r="J1005" s="106">
        <v>5264</v>
      </c>
      <c r="K1005" s="106">
        <v>11689</v>
      </c>
      <c r="L1005" s="106">
        <v>9361</v>
      </c>
      <c r="M1005" s="106">
        <v>0.43</v>
      </c>
      <c r="N1005" s="106">
        <v>0.86</v>
      </c>
      <c r="O1005" s="106">
        <v>0.25</v>
      </c>
      <c r="P1005" s="106">
        <v>883</v>
      </c>
      <c r="Q1005" s="106">
        <v>163.75674300254454</v>
      </c>
      <c r="R1005" s="106">
        <v>2.4062202103294687E-2</v>
      </c>
      <c r="S1005" s="106">
        <v>12952.791348600509</v>
      </c>
      <c r="T1005" s="106">
        <v>10864.740966921119</v>
      </c>
      <c r="U1005" s="106">
        <v>9668.1379134860053</v>
      </c>
      <c r="V1005" s="106">
        <v>0.68697846513594585</v>
      </c>
      <c r="W1005" s="106">
        <v>63080.846399999995</v>
      </c>
      <c r="X1005" s="110">
        <v>0.61556560203428545</v>
      </c>
      <c r="Y1005" s="106">
        <v>484.61917808219175</v>
      </c>
      <c r="Z1005" s="106">
        <v>16.150684931506849</v>
      </c>
      <c r="AA1005" s="106">
        <v>23512.241336633662</v>
      </c>
      <c r="AB1005" s="106">
        <v>322.20567484142327</v>
      </c>
      <c r="AC1005" s="106">
        <v>4.2531036734551222</v>
      </c>
      <c r="AD1005" s="106">
        <v>47.58539458186101</v>
      </c>
      <c r="AE1005" s="106">
        <v>72.972772277227719</v>
      </c>
      <c r="AF1005" s="106">
        <v>0.22196806884462833</v>
      </c>
      <c r="AG1005" s="106">
        <v>2736</v>
      </c>
      <c r="AH1005" s="106">
        <v>13022.111450381679</v>
      </c>
      <c r="AI1005" s="106">
        <v>13022.111450381679</v>
      </c>
      <c r="AJ1005" s="106">
        <v>12980.071246819338</v>
      </c>
      <c r="AK1005" s="104">
        <v>9668.1379134860053</v>
      </c>
      <c r="AL1005" s="119">
        <v>9214870</v>
      </c>
      <c r="AM1005" s="118">
        <v>2055</v>
      </c>
      <c r="AN1005" s="118">
        <v>58962</v>
      </c>
      <c r="AO1005" s="118">
        <v>569</v>
      </c>
      <c r="AP1005" s="118">
        <f t="shared" si="15"/>
        <v>2528</v>
      </c>
    </row>
    <row r="1006" spans="1:42" ht="12.75">
      <c r="A1006" s="106">
        <v>2018</v>
      </c>
      <c r="B1006" s="106">
        <v>-203580</v>
      </c>
      <c r="C1006" s="106">
        <v>0</v>
      </c>
      <c r="D1006" s="106">
        <v>203580</v>
      </c>
      <c r="E1006" s="106" t="s">
        <v>1712</v>
      </c>
      <c r="F1006" s="106" t="s">
        <v>1713</v>
      </c>
      <c r="G1006" s="106" t="s">
        <v>82</v>
      </c>
      <c r="H1006" s="106">
        <v>6</v>
      </c>
      <c r="I1006" s="106" t="s">
        <v>3640</v>
      </c>
      <c r="J1006" s="106">
        <v>30862</v>
      </c>
      <c r="K1006" s="106">
        <v>20460</v>
      </c>
      <c r="L1006" s="106">
        <v>17567</v>
      </c>
      <c r="M1006" s="106">
        <v>0.48</v>
      </c>
      <c r="N1006" s="106">
        <v>0.81</v>
      </c>
      <c r="O1006" s="106">
        <v>1</v>
      </c>
      <c r="P1006" s="106">
        <v>19863</v>
      </c>
      <c r="Q1006" s="107">
        <v>13374.12984496124</v>
      </c>
      <c r="R1006" s="106">
        <v>0.53596485134152738</v>
      </c>
      <c r="S1006" s="106">
        <v>20778.822674418603</v>
      </c>
      <c r="T1006" s="106">
        <v>20377.694767441859</v>
      </c>
      <c r="U1006" s="106">
        <v>16786.802512681257</v>
      </c>
      <c r="V1006" s="106">
        <v>0.68978242106097687</v>
      </c>
      <c r="W1006" s="106">
        <v>64398.151260504208</v>
      </c>
      <c r="X1006" s="110">
        <v>0.48587476968970811</v>
      </c>
      <c r="Y1006" s="106">
        <v>449.20812182741116</v>
      </c>
      <c r="Z1006" s="106">
        <v>15.715736040609135</v>
      </c>
      <c r="AA1006" s="106">
        <v>66122.061805675781</v>
      </c>
      <c r="AB1006" s="106">
        <v>587.29338236785736</v>
      </c>
      <c r="AC1006" s="106">
        <v>1.5123545344651699</v>
      </c>
      <c r="AD1006" s="106">
        <v>27.637130801687764</v>
      </c>
      <c r="AE1006" s="106">
        <v>112.58778625954199</v>
      </c>
      <c r="AF1006" s="106">
        <v>5.2719499132735034E-2</v>
      </c>
      <c r="AG1006" s="106">
        <v>29426</v>
      </c>
      <c r="AH1006" s="106">
        <v>16762.304263565893</v>
      </c>
      <c r="AI1006" s="106">
        <v>20778.822674418603</v>
      </c>
      <c r="AJ1006" s="106">
        <v>22442.815891472866</v>
      </c>
      <c r="AK1006" s="104">
        <v>17009.160852713179</v>
      </c>
      <c r="AL1006" s="118"/>
      <c r="AM1006" s="118">
        <v>955</v>
      </c>
      <c r="AN1006" s="118">
        <v>29498</v>
      </c>
      <c r="AO1006" s="118">
        <v>156</v>
      </c>
      <c r="AP1006" s="118">
        <f t="shared" si="15"/>
        <v>1436</v>
      </c>
    </row>
    <row r="1007" spans="1:42" ht="12.75">
      <c r="A1007" s="106">
        <v>2018</v>
      </c>
      <c r="B1007" s="106">
        <v>-146481</v>
      </c>
      <c r="C1007" s="106">
        <v>0</v>
      </c>
      <c r="D1007" s="106">
        <v>146481</v>
      </c>
      <c r="E1007" s="106" t="s">
        <v>1714</v>
      </c>
      <c r="F1007" s="106" t="s">
        <v>1715</v>
      </c>
      <c r="G1007" s="106" t="s">
        <v>243</v>
      </c>
      <c r="H1007" s="106">
        <v>7</v>
      </c>
      <c r="I1007" s="106" t="s">
        <v>3641</v>
      </c>
      <c r="J1007" s="106">
        <v>45548</v>
      </c>
      <c r="K1007" s="106">
        <v>27131</v>
      </c>
      <c r="L1007" s="106">
        <v>17805</v>
      </c>
      <c r="M1007" s="106">
        <v>0.33</v>
      </c>
      <c r="N1007" s="106">
        <v>0.83</v>
      </c>
      <c r="O1007" s="106">
        <v>0.99</v>
      </c>
      <c r="P1007" s="106">
        <v>28025</v>
      </c>
      <c r="Q1007" s="107">
        <v>25428.57457520453</v>
      </c>
      <c r="R1007" s="106">
        <v>0.60014993795089677</v>
      </c>
      <c r="S1007" s="106">
        <v>35159.796727501576</v>
      </c>
      <c r="T1007" s="106">
        <v>36483.059156702329</v>
      </c>
      <c r="U1007" s="106">
        <v>29324.826252831128</v>
      </c>
      <c r="V1007" s="106">
        <v>0.57772873719536832</v>
      </c>
      <c r="W1007" s="106">
        <v>92865.571709233802</v>
      </c>
      <c r="X1007" s="110">
        <v>0.5435833119679796</v>
      </c>
      <c r="Y1007" s="106">
        <v>374.55118110236219</v>
      </c>
      <c r="Z1007" s="106">
        <v>12.511811023622048</v>
      </c>
      <c r="AA1007" s="106">
        <v>117078.26360740871</v>
      </c>
      <c r="AB1007" s="106">
        <v>979.59024797655275</v>
      </c>
      <c r="AC1007" s="106">
        <v>0.8541295106265312</v>
      </c>
      <c r="AD1007" s="106">
        <v>26.305353602115005</v>
      </c>
      <c r="AE1007" s="106">
        <v>119.51758793969849</v>
      </c>
      <c r="AF1007" s="106">
        <v>3.4315890285038508E-2</v>
      </c>
      <c r="AG1007" s="106">
        <v>44824</v>
      </c>
      <c r="AH1007" s="106">
        <v>27711.173064820643</v>
      </c>
      <c r="AI1007" s="106">
        <v>35159.796727501576</v>
      </c>
      <c r="AJ1007" s="106">
        <v>39742.910006293263</v>
      </c>
      <c r="AK1007" s="104">
        <v>29901.50031466331</v>
      </c>
      <c r="AL1007" s="118"/>
      <c r="AM1007" s="118">
        <v>1508</v>
      </c>
      <c r="AN1007" s="118">
        <v>47568</v>
      </c>
      <c r="AO1007" s="118">
        <v>382</v>
      </c>
      <c r="AP1007" s="118">
        <f t="shared" si="15"/>
        <v>724</v>
      </c>
    </row>
    <row r="1008" spans="1:42" ht="12.75">
      <c r="A1008" s="106">
        <v>2018</v>
      </c>
      <c r="B1008" s="106">
        <v>-146506</v>
      </c>
      <c r="C1008" s="106">
        <v>0</v>
      </c>
      <c r="D1008" s="106">
        <v>146506</v>
      </c>
      <c r="E1008" s="106" t="s">
        <v>1716</v>
      </c>
      <c r="F1008" s="106" t="s">
        <v>1717</v>
      </c>
      <c r="G1008" s="106" t="s">
        <v>243</v>
      </c>
      <c r="H1008" s="106">
        <v>4</v>
      </c>
      <c r="I1008" s="106" t="s">
        <v>24</v>
      </c>
      <c r="J1008" s="106">
        <v>3990</v>
      </c>
      <c r="K1008" s="106">
        <v>5096</v>
      </c>
      <c r="L1008" s="106">
        <v>3698</v>
      </c>
      <c r="M1008" s="106">
        <v>0.41</v>
      </c>
      <c r="N1008" s="106">
        <v>0.11</v>
      </c>
      <c r="O1008" s="106">
        <v>0.36</v>
      </c>
      <c r="P1008" s="106">
        <v>2816</v>
      </c>
      <c r="Q1008" s="106">
        <v>698.95676724898533</v>
      </c>
      <c r="R1008" s="106">
        <v>0.21887371257965144</v>
      </c>
      <c r="S1008" s="106">
        <v>14590.05064407976</v>
      </c>
      <c r="T1008" s="106">
        <v>13586.451561672842</v>
      </c>
      <c r="U1008" s="106">
        <v>8568.1740432161787</v>
      </c>
      <c r="V1008" s="106">
        <v>0.29113182532833842</v>
      </c>
      <c r="W1008" s="106">
        <v>77191.168115942026</v>
      </c>
      <c r="X1008" s="110">
        <v>0.34588159316114603</v>
      </c>
      <c r="Y1008" s="106">
        <v>1200.1058823529413</v>
      </c>
      <c r="Z1008" s="106">
        <v>40.002352941176476</v>
      </c>
      <c r="AA1008" s="106">
        <v>14472.680269122528</v>
      </c>
      <c r="AB1008" s="106">
        <v>285.59740201103477</v>
      </c>
      <c r="AC1008" s="106">
        <v>6.9095701791567974</v>
      </c>
      <c r="AD1008" s="106">
        <v>104.77826358525921</v>
      </c>
      <c r="AE1008" s="106">
        <v>50.67511177347243</v>
      </c>
      <c r="AF1008" s="106">
        <v>9.8152729284279455E-2</v>
      </c>
      <c r="AG1008" s="106">
        <v>3075</v>
      </c>
      <c r="AH1008" s="106">
        <v>13646.24227986589</v>
      </c>
      <c r="AI1008" s="106">
        <v>13646.24227986589</v>
      </c>
      <c r="AJ1008" s="106">
        <v>14644.313922710429</v>
      </c>
      <c r="AK1008" s="104">
        <v>10760.081877536615</v>
      </c>
      <c r="AL1008" s="118">
        <v>34543308</v>
      </c>
      <c r="AM1008" s="118">
        <v>4965</v>
      </c>
      <c r="AN1008" s="118">
        <v>170015</v>
      </c>
      <c r="AO1008" s="118">
        <v>898</v>
      </c>
      <c r="AP1008" s="118">
        <f t="shared" si="15"/>
        <v>915</v>
      </c>
    </row>
    <row r="1009" spans="1:42" ht="12.75">
      <c r="A1009" s="106">
        <v>2018</v>
      </c>
      <c r="B1009" s="106">
        <v>-170620</v>
      </c>
      <c r="C1009" s="106">
        <v>0</v>
      </c>
      <c r="D1009" s="106">
        <v>170620</v>
      </c>
      <c r="E1009" s="106" t="s">
        <v>1718</v>
      </c>
      <c r="F1009" s="106" t="s">
        <v>1719</v>
      </c>
      <c r="G1009" s="106" t="s">
        <v>74</v>
      </c>
      <c r="H1009" s="106">
        <v>4</v>
      </c>
      <c r="I1009" s="106" t="s">
        <v>24</v>
      </c>
      <c r="J1009" s="106">
        <v>4440</v>
      </c>
      <c r="K1009" s="106">
        <v>7438</v>
      </c>
      <c r="L1009" s="106">
        <v>6009</v>
      </c>
      <c r="M1009" s="106">
        <v>0.56000000000000005</v>
      </c>
      <c r="N1009" s="106">
        <v>0.18</v>
      </c>
      <c r="O1009" s="106">
        <v>0.44</v>
      </c>
      <c r="P1009" s="106">
        <v>2058</v>
      </c>
      <c r="Q1009" s="106"/>
      <c r="R1009" s="106"/>
      <c r="S1009" s="106">
        <v>36010.944400317712</v>
      </c>
      <c r="T1009" s="106">
        <v>31154.278792692614</v>
      </c>
      <c r="U1009" s="106">
        <v>23911.028151535236</v>
      </c>
      <c r="V1009" s="106">
        <v>0.37629872622113314</v>
      </c>
      <c r="W1009" s="106">
        <v>77289.70347394541</v>
      </c>
      <c r="X1009" s="110">
        <v>0.52940982407953729</v>
      </c>
      <c r="Y1009" s="106">
        <v>322.76923076923077</v>
      </c>
      <c r="Z1009" s="106">
        <v>10.760683760683762</v>
      </c>
      <c r="AA1009" s="106">
        <v>65301.484691502956</v>
      </c>
      <c r="AB1009" s="106">
        <v>797.16090569809512</v>
      </c>
      <c r="AC1009" s="106">
        <v>1.5313587504544444</v>
      </c>
      <c r="AD1009" s="106">
        <v>23.282828282828284</v>
      </c>
      <c r="AE1009" s="106">
        <v>81.917570498915396</v>
      </c>
      <c r="AF1009" s="106">
        <v>0.14612503561453441</v>
      </c>
      <c r="AG1009" s="106">
        <v>3060</v>
      </c>
      <c r="AH1009" s="106">
        <v>34789.274027005558</v>
      </c>
      <c r="AI1009" s="106">
        <v>35350.87370929309</v>
      </c>
      <c r="AJ1009" s="106">
        <v>36842.652899126289</v>
      </c>
      <c r="AK1009" s="104">
        <v>24574.104845115169</v>
      </c>
      <c r="AL1009" s="118">
        <v>27127747</v>
      </c>
      <c r="AM1009" s="118">
        <v>3477</v>
      </c>
      <c r="AN1009" s="118">
        <v>37764</v>
      </c>
      <c r="AO1009" s="118">
        <v>436</v>
      </c>
      <c r="AP1009" s="118">
        <f t="shared" si="15"/>
        <v>1380</v>
      </c>
    </row>
    <row r="1010" spans="1:42" ht="12.75">
      <c r="A1010" s="106">
        <v>2018</v>
      </c>
      <c r="B1010" s="106">
        <v>-200192</v>
      </c>
      <c r="C1010" s="106">
        <v>0</v>
      </c>
      <c r="D1010" s="106">
        <v>200192</v>
      </c>
      <c r="E1010" s="106" t="s">
        <v>1720</v>
      </c>
      <c r="F1010" s="106" t="s">
        <v>1721</v>
      </c>
      <c r="G1010" s="106" t="s">
        <v>382</v>
      </c>
      <c r="H1010" s="106">
        <v>4</v>
      </c>
      <c r="I1010" s="106" t="s">
        <v>24</v>
      </c>
      <c r="J1010" s="106">
        <v>4336</v>
      </c>
      <c r="K1010" s="106">
        <v>9410</v>
      </c>
      <c r="L1010" s="106">
        <v>6699</v>
      </c>
      <c r="M1010" s="106">
        <v>0.39</v>
      </c>
      <c r="N1010" s="106">
        <v>0.52</v>
      </c>
      <c r="O1010" s="106">
        <v>0.68</v>
      </c>
      <c r="P1010" s="106">
        <v>1644</v>
      </c>
      <c r="Q1010" s="106">
        <v>282.08388312912348</v>
      </c>
      <c r="R1010" s="106">
        <v>5.3890602568352458E-2</v>
      </c>
      <c r="S1010" s="106">
        <v>15521.114985862394</v>
      </c>
      <c r="T1010" s="106">
        <v>15696.243166823751</v>
      </c>
      <c r="U1010" s="106">
        <v>11021.805843543827</v>
      </c>
      <c r="V1010" s="106">
        <v>0.44931801716689457</v>
      </c>
      <c r="W1010" s="106">
        <v>91535.655882352949</v>
      </c>
      <c r="X1010" s="110">
        <v>0.62292657361595138</v>
      </c>
      <c r="Y1010" s="106">
        <v>809.41525423728808</v>
      </c>
      <c r="Z1010" s="106">
        <v>26.974576271186439</v>
      </c>
      <c r="AA1010" s="106">
        <v>34193.380116959066</v>
      </c>
      <c r="AB1010" s="106">
        <v>367.31274931683259</v>
      </c>
      <c r="AC1010" s="106">
        <v>2.9245426938766577</v>
      </c>
      <c r="AD1010" s="106">
        <v>33.794466403162055</v>
      </c>
      <c r="AE1010" s="106">
        <v>93.090643274853804</v>
      </c>
      <c r="AF1010" s="106">
        <v>4.7981075214431727E-2</v>
      </c>
      <c r="AG1010" s="106">
        <v>3459</v>
      </c>
      <c r="AH1010" s="106">
        <v>14424.761545711593</v>
      </c>
      <c r="AI1010" s="106">
        <v>15285.114043355325</v>
      </c>
      <c r="AJ1010" s="106">
        <v>15525.843543826579</v>
      </c>
      <c r="AK1010" s="104">
        <v>11647.756833176249</v>
      </c>
      <c r="AL1010" s="118">
        <v>6137144</v>
      </c>
      <c r="AM1010" s="118">
        <v>1972</v>
      </c>
      <c r="AN1010" s="118">
        <v>31837</v>
      </c>
      <c r="AO1010" s="118">
        <v>215</v>
      </c>
      <c r="AP1010" s="118">
        <f t="shared" si="15"/>
        <v>877</v>
      </c>
    </row>
    <row r="1011" spans="1:42" ht="12.75">
      <c r="A1011" s="106">
        <v>2018</v>
      </c>
      <c r="B1011" s="106">
        <v>-173461</v>
      </c>
      <c r="C1011" s="106">
        <v>0</v>
      </c>
      <c r="D1011" s="106">
        <v>173461</v>
      </c>
      <c r="E1011" s="106" t="s">
        <v>1722</v>
      </c>
      <c r="F1011" s="106" t="s">
        <v>1723</v>
      </c>
      <c r="G1011" s="106" t="s">
        <v>113</v>
      </c>
      <c r="H1011" s="106">
        <v>4</v>
      </c>
      <c r="I1011" s="106" t="s">
        <v>24</v>
      </c>
      <c r="J1011" s="106">
        <v>5153</v>
      </c>
      <c r="K1011" s="106">
        <v>12339</v>
      </c>
      <c r="L1011" s="106">
        <v>11318</v>
      </c>
      <c r="M1011" s="106">
        <v>0.4</v>
      </c>
      <c r="N1011" s="106">
        <v>0.45</v>
      </c>
      <c r="O1011" s="106">
        <v>0</v>
      </c>
      <c r="P1011" s="106">
        <v>1242</v>
      </c>
      <c r="Q1011" s="106">
        <v>4.4500953591862684</v>
      </c>
      <c r="R1011" s="106">
        <v>7.1337579617834388E-4</v>
      </c>
      <c r="S1011" s="106">
        <v>13752.066115702479</v>
      </c>
      <c r="T1011" s="106">
        <v>15343.293070565798</v>
      </c>
      <c r="U1011" s="106">
        <v>12816.660984100778</v>
      </c>
      <c r="V1011" s="106">
        <v>0.4863692668543057</v>
      </c>
      <c r="W1011" s="106">
        <v>119183.24607329843</v>
      </c>
      <c r="X1011" s="110">
        <v>0.62879635384296662</v>
      </c>
      <c r="Y1011" s="106">
        <v>763.29380053908358</v>
      </c>
      <c r="Z1011" s="106">
        <v>25.439353099730461</v>
      </c>
      <c r="AA1011" s="106">
        <v>34345.157969319458</v>
      </c>
      <c r="AB1011" s="106">
        <v>427.15866957625531</v>
      </c>
      <c r="AC1011" s="106">
        <v>2.9116185777724484</v>
      </c>
      <c r="AD1011" s="106">
        <v>40.524680704176738</v>
      </c>
      <c r="AE1011" s="106">
        <v>80.403747870528107</v>
      </c>
      <c r="AF1011" s="106">
        <v>-0.12967929696416344</v>
      </c>
      <c r="AG1011" s="106">
        <v>4417</v>
      </c>
      <c r="AH1011" s="106">
        <v>13922.759059122696</v>
      </c>
      <c r="AI1011" s="106">
        <v>13971.392244119517</v>
      </c>
      <c r="AJ1011" s="106">
        <v>13833.439287984742</v>
      </c>
      <c r="AK1011" s="104">
        <v>13049.268912905276</v>
      </c>
      <c r="AL1011" s="118">
        <v>17293000</v>
      </c>
      <c r="AM1011" s="118">
        <v>5059</v>
      </c>
      <c r="AN1011" s="118">
        <v>94394</v>
      </c>
      <c r="AO1011" s="118">
        <v>628</v>
      </c>
      <c r="AP1011" s="118">
        <f t="shared" si="15"/>
        <v>736</v>
      </c>
    </row>
    <row r="1012" spans="1:42" ht="12.75">
      <c r="A1012" s="106">
        <v>2018</v>
      </c>
      <c r="B1012" s="106">
        <v>-170639</v>
      </c>
      <c r="C1012" s="106">
        <v>0</v>
      </c>
      <c r="D1012" s="106">
        <v>170639</v>
      </c>
      <c r="E1012" s="106" t="s">
        <v>1724</v>
      </c>
      <c r="F1012" s="106" t="s">
        <v>1725</v>
      </c>
      <c r="G1012" s="106" t="s">
        <v>74</v>
      </c>
      <c r="H1012" s="106">
        <v>3</v>
      </c>
      <c r="I1012" s="104" t="s">
        <v>26</v>
      </c>
      <c r="J1012" s="106">
        <v>11427</v>
      </c>
      <c r="K1012" s="106">
        <v>11272</v>
      </c>
      <c r="L1012" s="106">
        <v>5119</v>
      </c>
      <c r="M1012" s="106">
        <v>0.39</v>
      </c>
      <c r="N1012" s="106">
        <v>0.56999999999999995</v>
      </c>
      <c r="O1012" s="106">
        <v>0.87</v>
      </c>
      <c r="P1012" s="106">
        <v>6301</v>
      </c>
      <c r="Q1012" s="106">
        <v>4153.8856985091106</v>
      </c>
      <c r="R1012" s="106">
        <v>0.34393490613633659</v>
      </c>
      <c r="S1012" s="106">
        <v>25873.476532302597</v>
      </c>
      <c r="T1012" s="106">
        <v>26918.504141358364</v>
      </c>
      <c r="U1012" s="106">
        <v>16685.883181241177</v>
      </c>
      <c r="V1012" s="106">
        <v>0.47487140637054387</v>
      </c>
      <c r="W1012" s="106">
        <v>74842.385277246649</v>
      </c>
      <c r="X1012" s="110">
        <v>0.53528944175346038</v>
      </c>
      <c r="Y1012" s="106">
        <v>472.44347826086954</v>
      </c>
      <c r="Z1012" s="106">
        <v>15.747826086956522</v>
      </c>
      <c r="AA1012" s="106">
        <v>50279.757805703448</v>
      </c>
      <c r="AB1012" s="106">
        <v>556.18586886359117</v>
      </c>
      <c r="AC1012" s="106">
        <v>1.9888719509435779</v>
      </c>
      <c r="AD1012" s="106">
        <v>33.204419889502759</v>
      </c>
      <c r="AE1012" s="106">
        <v>90.400998336106483</v>
      </c>
      <c r="AF1012" s="106">
        <v>9.2052758376340183E-3</v>
      </c>
      <c r="AG1012" s="106">
        <v>11232</v>
      </c>
      <c r="AH1012" s="106">
        <v>24449.183876311432</v>
      </c>
      <c r="AI1012" s="106">
        <v>24965.919381557153</v>
      </c>
      <c r="AJ1012" s="106">
        <v>26501.101049144119</v>
      </c>
      <c r="AK1012" s="104">
        <v>19836.986747653231</v>
      </c>
      <c r="AL1012" s="118">
        <v>13755539</v>
      </c>
      <c r="AM1012" s="118">
        <v>1963</v>
      </c>
      <c r="AN1012" s="118">
        <v>54331</v>
      </c>
      <c r="AO1012" s="118">
        <v>590</v>
      </c>
      <c r="AP1012" s="118">
        <f t="shared" si="15"/>
        <v>195</v>
      </c>
    </row>
    <row r="1013" spans="1:42" ht="12.75">
      <c r="A1013" s="106">
        <v>2018</v>
      </c>
      <c r="B1013" s="106">
        <v>-117195</v>
      </c>
      <c r="C1013" s="106">
        <v>0</v>
      </c>
      <c r="D1013" s="106">
        <v>117195</v>
      </c>
      <c r="E1013" s="106" t="s">
        <v>1726</v>
      </c>
      <c r="F1013" s="106" t="s">
        <v>1727</v>
      </c>
      <c r="G1013" s="106" t="s">
        <v>121</v>
      </c>
      <c r="H1013" s="106">
        <v>4</v>
      </c>
      <c r="I1013" s="106" t="s">
        <v>24</v>
      </c>
      <c r="J1013" s="106">
        <v>1224</v>
      </c>
      <c r="K1013" s="106">
        <v>10076</v>
      </c>
      <c r="L1013" s="106">
        <v>6554</v>
      </c>
      <c r="M1013" s="106">
        <v>0.36</v>
      </c>
      <c r="N1013" s="106">
        <v>0</v>
      </c>
      <c r="O1013" s="106">
        <v>0.03</v>
      </c>
      <c r="P1013" s="106">
        <v>767</v>
      </c>
      <c r="Q1013" s="107">
        <v>62.156711173576952</v>
      </c>
      <c r="R1013" s="106">
        <v>1.9930803613679198E-2</v>
      </c>
      <c r="S1013" s="106">
        <v>21980.863668306396</v>
      </c>
      <c r="T1013" s="106">
        <v>16618.067463106116</v>
      </c>
      <c r="U1013" s="106">
        <v>10719.562357635297</v>
      </c>
      <c r="V1013" s="106">
        <v>0.28512999188463145</v>
      </c>
      <c r="W1013" s="106">
        <v>89091.072727272724</v>
      </c>
      <c r="X1013" s="110">
        <v>0.62163107236237558</v>
      </c>
      <c r="Y1013" s="106">
        <v>809.87914529914531</v>
      </c>
      <c r="Z1013" s="106">
        <v>18.243589743589745</v>
      </c>
      <c r="AA1013" s="106">
        <v>81571.856871203359</v>
      </c>
      <c r="AB1013" s="106">
        <v>241.47219868378107</v>
      </c>
      <c r="AC1013" s="106">
        <v>1.2259130027883693</v>
      </c>
      <c r="AD1013" s="106">
        <v>16.907775768535263</v>
      </c>
      <c r="AE1013" s="106">
        <v>337.81055258467023</v>
      </c>
      <c r="AF1013" s="106">
        <v>0.47487960859736772</v>
      </c>
      <c r="AG1013" s="106">
        <v>1209</v>
      </c>
      <c r="AH1013" s="106">
        <v>21568.63176387913</v>
      </c>
      <c r="AI1013" s="106">
        <v>21568.63176387913</v>
      </c>
      <c r="AJ1013" s="106">
        <v>22407.11876317639</v>
      </c>
      <c r="AK1013" s="104">
        <v>12683.495432185524</v>
      </c>
      <c r="AL1013" s="119">
        <v>15186673</v>
      </c>
      <c r="AM1013" s="118">
        <v>2108</v>
      </c>
      <c r="AN1013" s="118">
        <v>63170.573333333334</v>
      </c>
      <c r="AO1013" s="118">
        <v>162</v>
      </c>
      <c r="AP1013" s="118">
        <f t="shared" si="15"/>
        <v>15</v>
      </c>
    </row>
    <row r="1014" spans="1:42" ht="12.75">
      <c r="A1014" s="106">
        <v>2018</v>
      </c>
      <c r="B1014" s="106">
        <v>-235699</v>
      </c>
      <c r="C1014" s="106">
        <v>0</v>
      </c>
      <c r="D1014" s="106">
        <v>235699</v>
      </c>
      <c r="E1014" s="106" t="s">
        <v>1728</v>
      </c>
      <c r="F1014" s="106" t="s">
        <v>1729</v>
      </c>
      <c r="G1014" s="106" t="s">
        <v>182</v>
      </c>
      <c r="H1014" s="106">
        <v>4</v>
      </c>
      <c r="I1014" s="106" t="s">
        <v>24</v>
      </c>
      <c r="J1014" s="106">
        <v>4137</v>
      </c>
      <c r="K1014" s="106">
        <v>8137</v>
      </c>
      <c r="L1014" s="106">
        <v>6769</v>
      </c>
      <c r="M1014" s="106">
        <v>0.18</v>
      </c>
      <c r="N1014" s="106">
        <v>0.12</v>
      </c>
      <c r="O1014" s="106">
        <v>0.05</v>
      </c>
      <c r="P1014" s="106">
        <v>1475</v>
      </c>
      <c r="Q1014" s="106">
        <v>134.67454068241469</v>
      </c>
      <c r="R1014" s="106">
        <v>3.9833434124733433E-2</v>
      </c>
      <c r="S1014" s="106">
        <v>14025.127109111361</v>
      </c>
      <c r="T1014" s="106">
        <v>14855.059992500937</v>
      </c>
      <c r="U1014" s="106">
        <v>12621.261717285339</v>
      </c>
      <c r="V1014" s="106">
        <v>0.25720627535118262</v>
      </c>
      <c r="W1014" s="106">
        <v>90191.54799107142</v>
      </c>
      <c r="X1014" s="110">
        <v>0.6799158573740085</v>
      </c>
      <c r="Y1014" s="106">
        <v>886.72167487684726</v>
      </c>
      <c r="Z1014" s="106">
        <v>19.706896551724135</v>
      </c>
      <c r="AA1014" s="106">
        <v>25385.297888386125</v>
      </c>
      <c r="AB1014" s="106">
        <v>280.50052915343781</v>
      </c>
      <c r="AC1014" s="106">
        <v>3.9392880256784544</v>
      </c>
      <c r="AD1014" s="106">
        <v>53.424657534246577</v>
      </c>
      <c r="AE1014" s="106">
        <v>90.5</v>
      </c>
      <c r="AF1014" s="106">
        <v>-3.7044474646130761E-2</v>
      </c>
      <c r="AG1014" s="106">
        <v>2748</v>
      </c>
      <c r="AH1014" s="106">
        <v>13945.948631421072</v>
      </c>
      <c r="AI1014" s="106">
        <v>13952.322834645669</v>
      </c>
      <c r="AJ1014" s="106">
        <v>14030.896887889014</v>
      </c>
      <c r="AK1014" s="104">
        <v>13415.116235470567</v>
      </c>
      <c r="AL1014" s="118">
        <v>16534663</v>
      </c>
      <c r="AM1014" s="118">
        <v>3697</v>
      </c>
      <c r="AN1014" s="118">
        <v>120003</v>
      </c>
      <c r="AO1014" s="118">
        <v>553</v>
      </c>
      <c r="AP1014" s="118">
        <f t="shared" si="15"/>
        <v>1389</v>
      </c>
    </row>
    <row r="1015" spans="1:42" ht="12.75">
      <c r="A1015" s="106">
        <v>2018</v>
      </c>
      <c r="B1015" s="106">
        <v>-203599</v>
      </c>
      <c r="C1015" s="106">
        <v>0</v>
      </c>
      <c r="D1015" s="106">
        <v>203599</v>
      </c>
      <c r="E1015" s="106" t="s">
        <v>1732</v>
      </c>
      <c r="F1015" s="106" t="s">
        <v>1733</v>
      </c>
      <c r="G1015" s="106" t="s">
        <v>82</v>
      </c>
      <c r="H1015" s="106">
        <v>4</v>
      </c>
      <c r="I1015" s="106" t="s">
        <v>24</v>
      </c>
      <c r="J1015" s="106">
        <v>3316</v>
      </c>
      <c r="K1015" s="106">
        <v>7767</v>
      </c>
      <c r="L1015" s="106">
        <v>7250</v>
      </c>
      <c r="M1015" s="106">
        <v>0.52</v>
      </c>
      <c r="N1015" s="106">
        <v>0.28000000000000003</v>
      </c>
      <c r="O1015" s="106">
        <v>0.11</v>
      </c>
      <c r="P1015" s="106">
        <v>1979</v>
      </c>
      <c r="Q1015" s="106">
        <v>139.52372621911218</v>
      </c>
      <c r="R1015" s="106">
        <v>3.820516295016177E-2</v>
      </c>
      <c r="S1015" s="106">
        <v>14603.52700634157</v>
      </c>
      <c r="T1015" s="106">
        <v>9674.7574896129463</v>
      </c>
      <c r="U1015" s="106">
        <v>7893.3334674471071</v>
      </c>
      <c r="V1015" s="106">
        <v>0.44498769382701725</v>
      </c>
      <c r="W1015" s="106">
        <v>36190.671726755216</v>
      </c>
      <c r="X1015" s="110">
        <v>0.43108803615044355</v>
      </c>
      <c r="Y1015" s="106">
        <v>542.96437994722953</v>
      </c>
      <c r="Z1015" s="106">
        <v>18.098944591029024</v>
      </c>
      <c r="AA1015" s="106">
        <v>24080.196095153849</v>
      </c>
      <c r="AB1015" s="106">
        <v>263.11303345483691</v>
      </c>
      <c r="AC1015" s="106">
        <v>4.1527901020758318</v>
      </c>
      <c r="AD1015" s="106">
        <v>37.42821473158552</v>
      </c>
      <c r="AE1015" s="106">
        <v>91.520346897931958</v>
      </c>
      <c r="AF1015" s="106">
        <v>-0.74149908877701698</v>
      </c>
      <c r="AG1015" s="106">
        <v>3287</v>
      </c>
      <c r="AH1015" s="106">
        <v>14328.513885851738</v>
      </c>
      <c r="AI1015" s="106">
        <v>14468.037612070852</v>
      </c>
      <c r="AJ1015" s="106">
        <v>14669.447408703258</v>
      </c>
      <c r="AK1015" s="104">
        <v>8787.9306800787235</v>
      </c>
      <c r="AL1015" s="119">
        <v>41216642</v>
      </c>
      <c r="AM1015" s="118">
        <v>7581</v>
      </c>
      <c r="AN1015" s="118">
        <v>137189</v>
      </c>
      <c r="AO1015" s="118">
        <v>966</v>
      </c>
      <c r="AP1015" s="118">
        <f t="shared" si="15"/>
        <v>29</v>
      </c>
    </row>
    <row r="1016" spans="1:42" ht="12.75">
      <c r="A1016" s="106">
        <v>2018</v>
      </c>
      <c r="B1016" s="106">
        <v>-238980</v>
      </c>
      <c r="C1016" s="106">
        <v>0</v>
      </c>
      <c r="D1016" s="106">
        <v>238980</v>
      </c>
      <c r="E1016" s="106" t="s">
        <v>4128</v>
      </c>
      <c r="F1016" s="106" t="s">
        <v>1731</v>
      </c>
      <c r="G1016" s="106" t="s">
        <v>139</v>
      </c>
      <c r="H1016" s="106">
        <v>6</v>
      </c>
      <c r="I1016" s="106" t="s">
        <v>3640</v>
      </c>
      <c r="J1016" s="106">
        <v>27760</v>
      </c>
      <c r="K1016" s="106">
        <v>20668</v>
      </c>
      <c r="L1016" s="106">
        <v>16447</v>
      </c>
      <c r="M1016" s="106">
        <v>0.47</v>
      </c>
      <c r="N1016" s="106">
        <v>0.99</v>
      </c>
      <c r="O1016" s="106">
        <v>1</v>
      </c>
      <c r="P1016" s="106">
        <v>15944</v>
      </c>
      <c r="Q1016" s="106">
        <v>4814.2347964040191</v>
      </c>
      <c r="R1016" s="106">
        <v>0.29293365442482044</v>
      </c>
      <c r="S1016" s="106">
        <v>17899.795346377578</v>
      </c>
      <c r="T1016" s="106">
        <v>16983.915917503968</v>
      </c>
      <c r="U1016" s="106">
        <v>14325.624008461131</v>
      </c>
      <c r="V1016" s="106">
        <v>0.81115643164731466</v>
      </c>
      <c r="W1016" s="106">
        <v>59548.966357308585</v>
      </c>
      <c r="X1016" s="110">
        <v>0.53275910250109093</v>
      </c>
      <c r="Y1016" s="106">
        <v>509.75548589341696</v>
      </c>
      <c r="Z1016" s="106">
        <v>17.78369905956113</v>
      </c>
      <c r="AA1016" s="106">
        <v>40432.470149253728</v>
      </c>
      <c r="AB1016" s="106">
        <v>499.77409416279244</v>
      </c>
      <c r="AC1016" s="106">
        <v>2.4732597249402954</v>
      </c>
      <c r="AD1016" s="106">
        <v>42.729591836734691</v>
      </c>
      <c r="AE1016" s="106">
        <v>80.90149253731343</v>
      </c>
      <c r="AF1016" s="106">
        <v>8.0225223925015604E-2</v>
      </c>
      <c r="AG1016" s="106">
        <v>26550</v>
      </c>
      <c r="AH1016" s="106">
        <v>14486.246959280803</v>
      </c>
      <c r="AI1016" s="106">
        <v>16513.077207826547</v>
      </c>
      <c r="AJ1016" s="106">
        <v>18901.982020095187</v>
      </c>
      <c r="AK1016" s="104">
        <v>14325.624008461131</v>
      </c>
      <c r="AM1016" s="118">
        <v>1998</v>
      </c>
      <c r="AN1016" s="118">
        <v>54204</v>
      </c>
      <c r="AO1016" s="118">
        <v>452</v>
      </c>
      <c r="AP1016" s="118">
        <f t="shared" si="15"/>
        <v>1210</v>
      </c>
    </row>
    <row r="1017" spans="1:42" ht="12.75">
      <c r="A1017" s="106">
        <v>2018</v>
      </c>
      <c r="B1017" s="106">
        <v>-183123</v>
      </c>
      <c r="C1017" s="106">
        <v>0</v>
      </c>
      <c r="D1017" s="106">
        <v>183123</v>
      </c>
      <c r="E1017" s="106" t="s">
        <v>1734</v>
      </c>
      <c r="F1017" s="106" t="s">
        <v>1735</v>
      </c>
      <c r="G1017" s="106" t="s">
        <v>179</v>
      </c>
      <c r="H1017" s="106">
        <v>4</v>
      </c>
      <c r="I1017" s="106" t="s">
        <v>24</v>
      </c>
      <c r="J1017" s="106">
        <v>6972</v>
      </c>
      <c r="K1017" s="106">
        <v>16292</v>
      </c>
      <c r="L1017" s="106">
        <v>16397</v>
      </c>
      <c r="M1017" s="106">
        <v>0.53</v>
      </c>
      <c r="N1017" s="106">
        <v>0.74</v>
      </c>
      <c r="O1017" s="106">
        <v>0.02</v>
      </c>
      <c r="P1017" s="106">
        <v>1053</v>
      </c>
      <c r="Q1017" s="106">
        <v>292.86535764375878</v>
      </c>
      <c r="R1017" s="106">
        <v>4.1001424946439331E-2</v>
      </c>
      <c r="S1017" s="106">
        <v>18691.58765778401</v>
      </c>
      <c r="T1017" s="106">
        <v>18711.417952314165</v>
      </c>
      <c r="U1017" s="106">
        <v>13317.808616114842</v>
      </c>
      <c r="V1017" s="106">
        <v>0.51434467159481845</v>
      </c>
      <c r="W1017" s="106">
        <v>84928.737931034484</v>
      </c>
      <c r="X1017" s="110">
        <v>0.6153683903918683</v>
      </c>
      <c r="Y1017" s="106">
        <v>348.92934782608694</v>
      </c>
      <c r="Z1017" s="106">
        <v>11.625</v>
      </c>
      <c r="AA1017" s="106">
        <v>41647.357646008262</v>
      </c>
      <c r="AB1017" s="106">
        <v>443.69877778093934</v>
      </c>
      <c r="AC1017" s="106">
        <v>2.4011127152405218</v>
      </c>
      <c r="AD1017" s="106">
        <v>42.616822429906541</v>
      </c>
      <c r="AE1017" s="106">
        <v>93.864035087719301</v>
      </c>
      <c r="AF1017" s="106">
        <v>2.4930662058125604E-2</v>
      </c>
      <c r="AG1017" s="106">
        <v>6720</v>
      </c>
      <c r="AH1017" s="106">
        <v>16700.474053295933</v>
      </c>
      <c r="AI1017" s="106">
        <v>16700.474053295933</v>
      </c>
      <c r="AJ1017" s="106">
        <v>18851.531556802245</v>
      </c>
      <c r="AK1017" s="104">
        <v>15578.977559607292</v>
      </c>
      <c r="AL1017" s="118">
        <v>5546469</v>
      </c>
      <c r="AM1017" s="118">
        <v>827</v>
      </c>
      <c r="AN1017" s="118">
        <v>21401</v>
      </c>
      <c r="AO1017" s="118">
        <v>192</v>
      </c>
      <c r="AP1017" s="118">
        <f t="shared" si="15"/>
        <v>252</v>
      </c>
    </row>
    <row r="1018" spans="1:42" ht="12.75">
      <c r="A1018" s="106">
        <v>2018</v>
      </c>
      <c r="B1018" s="106">
        <v>-239008</v>
      </c>
      <c r="C1018" s="106">
        <v>0</v>
      </c>
      <c r="D1018" s="106">
        <v>239008</v>
      </c>
      <c r="E1018" s="106" t="s">
        <v>1736</v>
      </c>
      <c r="F1018" s="106" t="s">
        <v>624</v>
      </c>
      <c r="G1018" s="106" t="s">
        <v>139</v>
      </c>
      <c r="H1018" s="106">
        <v>4</v>
      </c>
      <c r="I1018" s="106" t="s">
        <v>24</v>
      </c>
      <c r="J1018" s="106">
        <v>4184</v>
      </c>
      <c r="K1018" s="106">
        <v>9337</v>
      </c>
      <c r="L1018" s="106">
        <v>9853</v>
      </c>
      <c r="M1018" s="106">
        <v>0.5</v>
      </c>
      <c r="N1018" s="106">
        <v>0.45</v>
      </c>
      <c r="O1018" s="106">
        <v>0.11</v>
      </c>
      <c r="P1018" s="106">
        <v>1800</v>
      </c>
      <c r="Q1018" s="106"/>
      <c r="R1018" s="106"/>
      <c r="S1018" s="106">
        <v>27862.463910761155</v>
      </c>
      <c r="T1018" s="106">
        <v>28018.715223097111</v>
      </c>
      <c r="U1018" s="106">
        <v>25711.526246719161</v>
      </c>
      <c r="V1018" s="106">
        <v>0.18108224591409747</v>
      </c>
      <c r="W1018" s="106">
        <v>82675.224137931029</v>
      </c>
      <c r="X1018" s="110">
        <v>0.56148763239943533</v>
      </c>
      <c r="Y1018" s="106">
        <v>375.78082191780823</v>
      </c>
      <c r="Z1018" s="106">
        <v>12.526027397260274</v>
      </c>
      <c r="AA1018" s="106">
        <v>35396.897922312557</v>
      </c>
      <c r="AB1018" s="106">
        <v>857.05087489063862</v>
      </c>
      <c r="AC1018" s="106">
        <v>2.8251063191886274</v>
      </c>
      <c r="AD1018" s="106">
        <v>80.392156862745097</v>
      </c>
      <c r="AE1018" s="106">
        <v>41.300813008130085</v>
      </c>
      <c r="AF1018" s="106">
        <v>7.7215388224542852E-3</v>
      </c>
      <c r="AG1018" s="106">
        <v>3966</v>
      </c>
      <c r="AH1018" s="106">
        <v>26748.113517060367</v>
      </c>
      <c r="AI1018" s="106">
        <v>26748.113517060367</v>
      </c>
      <c r="AJ1018" s="106">
        <v>27959.259186351705</v>
      </c>
      <c r="AK1018" s="104">
        <v>26959.641732283464</v>
      </c>
      <c r="AL1018" s="118">
        <v>26736222</v>
      </c>
      <c r="AM1018" s="118">
        <v>2734</v>
      </c>
      <c r="AN1018" s="118">
        <v>45720</v>
      </c>
      <c r="AO1018" s="118">
        <v>339</v>
      </c>
      <c r="AP1018" s="118">
        <f t="shared" si="15"/>
        <v>218</v>
      </c>
    </row>
    <row r="1019" spans="1:42" ht="12.75">
      <c r="A1019" s="106">
        <v>2018</v>
      </c>
      <c r="B1019" s="106">
        <v>-135188</v>
      </c>
      <c r="C1019" s="106">
        <v>0</v>
      </c>
      <c r="D1019" s="106">
        <v>135188</v>
      </c>
      <c r="E1019" s="106" t="s">
        <v>1730</v>
      </c>
      <c r="F1019" s="106" t="s">
        <v>314</v>
      </c>
      <c r="G1019" s="106" t="s">
        <v>258</v>
      </c>
      <c r="H1019" s="106">
        <v>4</v>
      </c>
      <c r="I1019" s="106" t="s">
        <v>24</v>
      </c>
      <c r="J1019" s="106">
        <v>3172</v>
      </c>
      <c r="K1019" s="106">
        <v>4324</v>
      </c>
      <c r="L1019" s="106">
        <v>2691</v>
      </c>
      <c r="M1019" s="106">
        <v>0.48</v>
      </c>
      <c r="N1019" s="106">
        <v>0.14000000000000001</v>
      </c>
      <c r="O1019" s="106">
        <v>0.26</v>
      </c>
      <c r="P1019" s="106">
        <v>1524</v>
      </c>
      <c r="Q1019" s="106">
        <v>132.40677966101694</v>
      </c>
      <c r="R1019" s="106">
        <v>4.7501713182747637E-2</v>
      </c>
      <c r="S1019" s="106">
        <v>9854.0591621362328</v>
      </c>
      <c r="T1019" s="106">
        <v>11212.695874640231</v>
      </c>
      <c r="U1019" s="106">
        <v>9446.3773055427264</v>
      </c>
      <c r="V1019" s="106">
        <v>0.28106053269607711</v>
      </c>
      <c r="W1019" s="106">
        <v>55091.3395399781</v>
      </c>
      <c r="X1019" s="110">
        <v>0.4781838794595874</v>
      </c>
      <c r="Y1019" s="106">
        <v>820.4344023323614</v>
      </c>
      <c r="Z1019" s="106">
        <v>27.349854227405245</v>
      </c>
      <c r="AA1019" s="106">
        <v>34188.451197259375</v>
      </c>
      <c r="AB1019" s="106">
        <v>314.90274121757409</v>
      </c>
      <c r="AC1019" s="106">
        <v>2.924964322689652</v>
      </c>
      <c r="AD1019" s="106">
        <v>29.948006932409012</v>
      </c>
      <c r="AE1019" s="106">
        <v>108.56828703703704</v>
      </c>
      <c r="AF1019" s="106">
        <v>-2.6059458910310477E-2</v>
      </c>
      <c r="AG1019" s="106">
        <v>3172</v>
      </c>
      <c r="AH1019" s="106">
        <v>8378.5535657179407</v>
      </c>
      <c r="AI1019" s="106">
        <v>8493.0882635113521</v>
      </c>
      <c r="AJ1019" s="106">
        <v>9863.9782539174921</v>
      </c>
      <c r="AK1019" s="104">
        <v>11173.729453149985</v>
      </c>
      <c r="AL1019" s="119">
        <v>14354002</v>
      </c>
      <c r="AM1019" s="118">
        <v>4881</v>
      </c>
      <c r="AN1019" s="118">
        <v>93803</v>
      </c>
      <c r="AO1019" s="118">
        <v>790</v>
      </c>
      <c r="AP1019" s="118">
        <f t="shared" si="15"/>
        <v>0</v>
      </c>
    </row>
    <row r="1020" spans="1:42" ht="12.75">
      <c r="A1020" s="106">
        <v>2018</v>
      </c>
      <c r="B1020" s="106">
        <v>-127389</v>
      </c>
      <c r="C1020" s="106">
        <v>0</v>
      </c>
      <c r="D1020" s="106">
        <v>127389</v>
      </c>
      <c r="E1020" s="106" t="s">
        <v>1737</v>
      </c>
      <c r="F1020" s="106" t="s">
        <v>1738</v>
      </c>
      <c r="G1020" s="106" t="s">
        <v>66</v>
      </c>
      <c r="H1020" s="106">
        <v>4</v>
      </c>
      <c r="I1020" s="106" t="s">
        <v>24</v>
      </c>
      <c r="J1020" s="106">
        <v>3908</v>
      </c>
      <c r="K1020" s="106">
        <v>10125</v>
      </c>
      <c r="L1020" s="106">
        <v>8062</v>
      </c>
      <c r="M1020" s="106">
        <v>0.59</v>
      </c>
      <c r="N1020" s="106">
        <v>0.33</v>
      </c>
      <c r="O1020" s="106">
        <v>0.56999999999999995</v>
      </c>
      <c r="P1020" s="106">
        <v>3759</v>
      </c>
      <c r="Q1020" s="106">
        <v>1200.1068580542264</v>
      </c>
      <c r="R1020" s="106">
        <v>0.1627041513109016</v>
      </c>
      <c r="S1020" s="106">
        <v>14297.773524720893</v>
      </c>
      <c r="T1020" s="106">
        <v>15262.06379585327</v>
      </c>
      <c r="U1020" s="106">
        <v>12475.6331738437</v>
      </c>
      <c r="V1020" s="106">
        <v>0.49503696008627729</v>
      </c>
      <c r="W1020" s="106">
        <v>56268.9</v>
      </c>
      <c r="X1020" s="110">
        <v>0.4900116142076642</v>
      </c>
      <c r="Y1020" s="106">
        <v>636.56470588235288</v>
      </c>
      <c r="Z1020" s="106">
        <v>22.129411764705882</v>
      </c>
      <c r="AA1020" s="106">
        <v>27350.426573426572</v>
      </c>
      <c r="AB1020" s="106">
        <v>433.70048791306277</v>
      </c>
      <c r="AC1020" s="106">
        <v>3.6562501038707418</v>
      </c>
      <c r="AD1020" s="106">
        <v>51.071428571428569</v>
      </c>
      <c r="AE1020" s="106">
        <v>63.06293706293706</v>
      </c>
      <c r="AF1020" s="106">
        <v>2.6154048329892356E-2</v>
      </c>
      <c r="AG1020" s="106">
        <v>3470</v>
      </c>
      <c r="AH1020" s="106">
        <v>14686.357256778309</v>
      </c>
      <c r="AI1020" s="106">
        <v>15181.129186602871</v>
      </c>
      <c r="AJ1020" s="106">
        <v>14425.095693779904</v>
      </c>
      <c r="AK1020" s="104">
        <v>12633.070175438597</v>
      </c>
      <c r="AL1020" s="119">
        <v>1396799</v>
      </c>
      <c r="AM1020" s="118">
        <v>811</v>
      </c>
      <c r="AN1020" s="118">
        <v>18036</v>
      </c>
      <c r="AO1020" s="118">
        <v>132</v>
      </c>
      <c r="AP1020" s="118">
        <f t="shared" si="15"/>
        <v>438</v>
      </c>
    </row>
    <row r="1021" spans="1:42" ht="12.75">
      <c r="A1021" s="106">
        <v>2018</v>
      </c>
      <c r="B1021" s="106">
        <v>-441760</v>
      </c>
      <c r="C1021" s="106">
        <v>0</v>
      </c>
      <c r="D1021" s="106">
        <v>441760</v>
      </c>
      <c r="E1021" s="106" t="s">
        <v>1739</v>
      </c>
      <c r="F1021" s="106" t="s">
        <v>1740</v>
      </c>
      <c r="G1021" s="106" t="s">
        <v>60</v>
      </c>
      <c r="H1021" s="106">
        <v>4</v>
      </c>
      <c r="I1021" s="106" t="s">
        <v>24</v>
      </c>
      <c r="J1021" s="106">
        <v>4689</v>
      </c>
      <c r="K1021" s="106">
        <v>7034</v>
      </c>
      <c r="L1021" s="106">
        <v>6033</v>
      </c>
      <c r="M1021" s="106">
        <v>0.53</v>
      </c>
      <c r="N1021" s="106">
        <v>0.18</v>
      </c>
      <c r="O1021" s="106">
        <v>0.15</v>
      </c>
      <c r="P1021" s="106">
        <v>2034</v>
      </c>
      <c r="Q1021" s="107">
        <v>473.55376072690558</v>
      </c>
      <c r="R1021" s="106">
        <v>7.9995634012576949E-2</v>
      </c>
      <c r="S1021" s="106">
        <v>13435.221100454317</v>
      </c>
      <c r="T1021" s="106">
        <v>14288.655224634023</v>
      </c>
      <c r="U1021" s="106">
        <v>8445.6508187922991</v>
      </c>
      <c r="V1021" s="106">
        <v>0.6448515850783415</v>
      </c>
      <c r="W1021" s="106">
        <v>73966.28571428571</v>
      </c>
      <c r="X1021" s="110">
        <v>0.53655894019838879</v>
      </c>
      <c r="Y1021" s="106">
        <v>522.11787610619467</v>
      </c>
      <c r="Z1021" s="106">
        <v>17.530973451327434</v>
      </c>
      <c r="AA1021" s="106">
        <v>25273.163552911697</v>
      </c>
      <c r="AB1021" s="106">
        <v>283.57673057973454</v>
      </c>
      <c r="AC1021" s="106">
        <v>3.9567662271737682</v>
      </c>
      <c r="AD1021" s="106">
        <v>35.325506937033083</v>
      </c>
      <c r="AE1021" s="106">
        <v>89.122839879154071</v>
      </c>
      <c r="AF1021" s="106">
        <v>2.549358452362176E-2</v>
      </c>
      <c r="AG1021" s="106">
        <v>3299</v>
      </c>
      <c r="AH1021" s="106">
        <v>12427.202423018678</v>
      </c>
      <c r="AI1021" s="106">
        <v>12912.424028268551</v>
      </c>
      <c r="AJ1021" s="106">
        <v>13485.321554770318</v>
      </c>
      <c r="AK1021" s="104">
        <v>10545.794043412418</v>
      </c>
      <c r="AL1021" s="118">
        <v>12355064</v>
      </c>
      <c r="AM1021" s="118">
        <v>2983</v>
      </c>
      <c r="AN1021" s="118">
        <v>58999.32</v>
      </c>
      <c r="AO1021" s="118">
        <v>433</v>
      </c>
      <c r="AP1021" s="118">
        <f t="shared" si="15"/>
        <v>1390</v>
      </c>
    </row>
    <row r="1022" spans="1:42" ht="12.75">
      <c r="A1022" s="106">
        <v>2018</v>
      </c>
      <c r="B1022" s="106">
        <v>-226107</v>
      </c>
      <c r="C1022" s="106">
        <v>0</v>
      </c>
      <c r="D1022" s="106">
        <v>226107</v>
      </c>
      <c r="E1022" s="106" t="s">
        <v>1741</v>
      </c>
      <c r="F1022" s="106" t="s">
        <v>707</v>
      </c>
      <c r="G1022" s="106" t="s">
        <v>60</v>
      </c>
      <c r="H1022" s="106">
        <v>4</v>
      </c>
      <c r="I1022" s="106" t="s">
        <v>24</v>
      </c>
      <c r="J1022" s="106">
        <v>4288</v>
      </c>
      <c r="K1022" s="106">
        <v>5116</v>
      </c>
      <c r="L1022" s="106">
        <v>3498</v>
      </c>
      <c r="M1022" s="106">
        <v>0.36</v>
      </c>
      <c r="N1022" s="106">
        <v>0.22</v>
      </c>
      <c r="O1022" s="106">
        <v>0.13</v>
      </c>
      <c r="P1022" s="106">
        <v>1583</v>
      </c>
      <c r="Q1022" s="107">
        <v>215.76522327469553</v>
      </c>
      <c r="R1022" s="106">
        <v>3.6564288508644925E-2</v>
      </c>
      <c r="S1022" s="106">
        <v>14414.106901217861</v>
      </c>
      <c r="T1022" s="106">
        <v>15440.434370771312</v>
      </c>
      <c r="U1022" s="106">
        <v>11192.993581527957</v>
      </c>
      <c r="V1022" s="106">
        <v>0.5079264223619403</v>
      </c>
      <c r="W1022" s="106">
        <v>70471.535791757051</v>
      </c>
      <c r="X1022" s="110">
        <v>0.4745253946788045</v>
      </c>
      <c r="Y1022" s="106">
        <v>703.65079365079362</v>
      </c>
      <c r="Z1022" s="106">
        <v>23.460317460317459</v>
      </c>
      <c r="AA1022" s="106">
        <v>32629.673596643632</v>
      </c>
      <c r="AB1022" s="106">
        <v>373.18395022554301</v>
      </c>
      <c r="AC1022" s="106">
        <v>3.0646950759043525</v>
      </c>
      <c r="AD1022" s="106">
        <v>37.306843267108171</v>
      </c>
      <c r="AE1022" s="106">
        <v>87.435897435897431</v>
      </c>
      <c r="AF1022" s="106">
        <v>9.7075641221713183E-3</v>
      </c>
      <c r="AG1022" s="106">
        <v>3288</v>
      </c>
      <c r="AH1022" s="106">
        <v>14034.73545331529</v>
      </c>
      <c r="AI1022" s="106">
        <v>14289.721244925575</v>
      </c>
      <c r="AJ1022" s="106">
        <v>14679.029093369418</v>
      </c>
      <c r="AK1022" s="104">
        <v>13519.706359945872</v>
      </c>
      <c r="AL1022" s="119">
        <v>10203031</v>
      </c>
      <c r="AM1022" s="118">
        <v>2293</v>
      </c>
      <c r="AN1022" s="118">
        <v>44330</v>
      </c>
      <c r="AO1022" s="118">
        <v>201</v>
      </c>
      <c r="AP1022" s="118">
        <f t="shared" si="15"/>
        <v>1000</v>
      </c>
    </row>
    <row r="1023" spans="1:42" ht="12.75">
      <c r="A1023" s="106">
        <v>2018</v>
      </c>
      <c r="B1023" s="106">
        <v>-226116</v>
      </c>
      <c r="C1023" s="106">
        <v>0</v>
      </c>
      <c r="D1023" s="106">
        <v>226116</v>
      </c>
      <c r="E1023" s="106" t="s">
        <v>1742</v>
      </c>
      <c r="F1023" s="106" t="s">
        <v>1743</v>
      </c>
      <c r="G1023" s="106" t="s">
        <v>60</v>
      </c>
      <c r="H1023" s="106">
        <v>4</v>
      </c>
      <c r="I1023" s="106" t="s">
        <v>24</v>
      </c>
      <c r="J1023" s="106">
        <v>5924</v>
      </c>
      <c r="K1023" s="106">
        <v>7732</v>
      </c>
      <c r="L1023" s="106">
        <v>6092</v>
      </c>
      <c r="M1023" s="106">
        <v>0.53</v>
      </c>
      <c r="N1023" s="106">
        <v>0.71</v>
      </c>
      <c r="O1023" s="106">
        <v>0.45</v>
      </c>
      <c r="P1023" s="106">
        <v>2191</v>
      </c>
      <c r="Q1023" s="106">
        <v>1330.0752293577982</v>
      </c>
      <c r="R1023" s="106">
        <v>0.16212151235372763</v>
      </c>
      <c r="S1023" s="106">
        <v>21079.264220183486</v>
      </c>
      <c r="T1023" s="106">
        <v>23085.9376146789</v>
      </c>
      <c r="U1023" s="106">
        <v>17737.132206933096</v>
      </c>
      <c r="V1023" s="106">
        <v>0.38755486774341957</v>
      </c>
      <c r="W1023" s="106">
        <v>90054.446428571435</v>
      </c>
      <c r="X1023" s="110">
        <v>0.60122970129319764</v>
      </c>
      <c r="Y1023" s="106">
        <v>353.51027027027027</v>
      </c>
      <c r="Z1023" s="106">
        <v>14.72972972972973</v>
      </c>
      <c r="AA1023" s="106">
        <v>39945.194432969169</v>
      </c>
      <c r="AB1023" s="106">
        <v>739.05395560039835</v>
      </c>
      <c r="AC1023" s="106">
        <v>2.5034300475819942</v>
      </c>
      <c r="AD1023" s="106">
        <v>37.782982045277123</v>
      </c>
      <c r="AE1023" s="106">
        <v>54.049090909090907</v>
      </c>
      <c r="AF1023" s="106">
        <v>4.3019373196801682E-3</v>
      </c>
      <c r="AG1023" s="106">
        <v>4199</v>
      </c>
      <c r="AH1023" s="106">
        <v>18964.349541284402</v>
      </c>
      <c r="AI1023" s="106">
        <v>20109.469724770643</v>
      </c>
      <c r="AJ1023" s="106">
        <v>21232.878899082571</v>
      </c>
      <c r="AK1023" s="104">
        <v>19817.435779816515</v>
      </c>
      <c r="AL1023" s="119">
        <v>11741250</v>
      </c>
      <c r="AM1023" s="118">
        <v>2293</v>
      </c>
      <c r="AN1023" s="118">
        <v>26159.759999999998</v>
      </c>
      <c r="AO1023" s="118">
        <v>247</v>
      </c>
      <c r="AP1023" s="118">
        <f t="shared" si="15"/>
        <v>1725</v>
      </c>
    </row>
    <row r="1024" spans="1:42" ht="12.75">
      <c r="A1024" s="106">
        <v>2018</v>
      </c>
      <c r="B1024" s="106">
        <v>-226091</v>
      </c>
      <c r="C1024" s="106">
        <v>0</v>
      </c>
      <c r="D1024" s="106">
        <v>226091</v>
      </c>
      <c r="E1024" s="106" t="s">
        <v>1744</v>
      </c>
      <c r="F1024" s="106" t="s">
        <v>1740</v>
      </c>
      <c r="G1024" s="106" t="s">
        <v>60</v>
      </c>
      <c r="H1024" s="106">
        <v>1</v>
      </c>
      <c r="I1024" s="106" t="s">
        <v>23</v>
      </c>
      <c r="J1024" s="106">
        <v>8314</v>
      </c>
      <c r="K1024" s="106">
        <v>11510</v>
      </c>
      <c r="L1024" s="106">
        <v>10310</v>
      </c>
      <c r="M1024" s="106">
        <v>0.52</v>
      </c>
      <c r="N1024" s="106">
        <v>0.52</v>
      </c>
      <c r="O1024" s="106">
        <v>0.22</v>
      </c>
      <c r="P1024" s="107">
        <v>3696</v>
      </c>
      <c r="Q1024" s="106">
        <v>2329.9178968974502</v>
      </c>
      <c r="R1024" s="106">
        <v>0.25718975599588262</v>
      </c>
      <c r="S1024" s="106">
        <v>17054.407673482277</v>
      </c>
      <c r="T1024" s="106">
        <v>19119.826715086445</v>
      </c>
      <c r="U1024" s="106">
        <v>11855.064840673895</v>
      </c>
      <c r="V1024" s="106">
        <v>0.56762419850201051</v>
      </c>
      <c r="W1024" s="106">
        <v>81878.389178927377</v>
      </c>
      <c r="X1024" s="110">
        <v>0.47488105506217626</v>
      </c>
      <c r="Y1024" s="106">
        <v>655.7760449157829</v>
      </c>
      <c r="Z1024" s="106">
        <v>23.706175920149718</v>
      </c>
      <c r="AA1024" s="106">
        <v>26134.372839682601</v>
      </c>
      <c r="AB1024" s="106">
        <v>428.55827814492517</v>
      </c>
      <c r="AC1024" s="106">
        <v>3.826378410281166</v>
      </c>
      <c r="AD1024" s="106">
        <v>60.186446003980308</v>
      </c>
      <c r="AE1024" s="106">
        <v>60.982074486599373</v>
      </c>
      <c r="AF1024" s="106">
        <v>-2.077219017784003E-2</v>
      </c>
      <c r="AG1024" s="106">
        <v>5832</v>
      </c>
      <c r="AH1024" s="106">
        <v>14955.06134049104</v>
      </c>
      <c r="AI1024" s="106">
        <v>15578.339227915056</v>
      </c>
      <c r="AJ1024" s="106">
        <v>17328.107839267388</v>
      </c>
      <c r="AK1024" s="104">
        <v>14733.545196179048</v>
      </c>
      <c r="AL1024" s="118">
        <v>63157114</v>
      </c>
      <c r="AM1024" s="118">
        <v>9268</v>
      </c>
      <c r="AN1024" s="118">
        <v>350403</v>
      </c>
      <c r="AO1024" s="118">
        <v>1678</v>
      </c>
      <c r="AP1024" s="118">
        <f t="shared" si="15"/>
        <v>2482</v>
      </c>
    </row>
    <row r="1025" spans="1:42" ht="12.75">
      <c r="A1025" s="106">
        <v>2018</v>
      </c>
      <c r="B1025" s="106">
        <v>-418533</v>
      </c>
      <c r="C1025" s="106">
        <v>0</v>
      </c>
      <c r="D1025" s="106">
        <v>418533</v>
      </c>
      <c r="E1025" s="106" t="s">
        <v>1745</v>
      </c>
      <c r="F1025" s="106" t="s">
        <v>1746</v>
      </c>
      <c r="G1025" s="106" t="s">
        <v>104</v>
      </c>
      <c r="H1025" s="106">
        <v>4</v>
      </c>
      <c r="I1025" s="106" t="s">
        <v>24</v>
      </c>
      <c r="J1025" s="106"/>
      <c r="K1025" s="106">
        <v>7141</v>
      </c>
      <c r="L1025" s="106">
        <v>9987</v>
      </c>
      <c r="M1025" s="106">
        <v>0.42</v>
      </c>
      <c r="N1025" s="106">
        <v>0.66</v>
      </c>
      <c r="O1025" s="106">
        <v>0</v>
      </c>
      <c r="P1025" s="107"/>
      <c r="Q1025" s="106"/>
      <c r="R1025" s="106"/>
      <c r="S1025" s="106">
        <v>12690.513715710724</v>
      </c>
      <c r="T1025" s="106">
        <v>12573.581047381545</v>
      </c>
      <c r="U1025" s="106">
        <v>12573.581047381545</v>
      </c>
      <c r="V1025" s="106">
        <v>0.83613764045500938</v>
      </c>
      <c r="W1025" s="106">
        <v>16059.866310160427</v>
      </c>
      <c r="X1025" s="110">
        <v>0.5956349516442464</v>
      </c>
      <c r="Y1025" s="106">
        <v>92.763215434083591</v>
      </c>
      <c r="Z1025" s="106">
        <v>3.868167202572347</v>
      </c>
      <c r="AA1025" s="106">
        <v>20087.673306772907</v>
      </c>
      <c r="AB1025" s="106">
        <v>524.31034865244851</v>
      </c>
      <c r="AC1025" s="106">
        <v>4.9781773365600914</v>
      </c>
      <c r="AD1025" s="106">
        <v>80.707395498392287</v>
      </c>
      <c r="AE1025" s="106">
        <v>38.312563081009294</v>
      </c>
      <c r="AF1025" s="106">
        <v>-2.5504820296811056E-2</v>
      </c>
      <c r="AG1025" s="106"/>
      <c r="AH1025" s="106">
        <v>12854.56608478803</v>
      </c>
      <c r="AI1025" s="106">
        <v>12854.56608478803</v>
      </c>
      <c r="AJ1025" s="106">
        <v>12690.513715710724</v>
      </c>
      <c r="AK1025" s="104">
        <v>12573.581047381545</v>
      </c>
      <c r="AL1025" s="118">
        <v>584061</v>
      </c>
      <c r="AM1025" s="118">
        <v>422</v>
      </c>
      <c r="AN1025" s="118">
        <v>9616.4533333333329</v>
      </c>
      <c r="AO1025" s="118">
        <v>14</v>
      </c>
      <c r="AP1025" s="118">
        <f t="shared" si="15"/>
        <v>0</v>
      </c>
    </row>
    <row r="1026" spans="1:42" ht="12.75">
      <c r="A1026" s="106">
        <v>2018</v>
      </c>
      <c r="B1026" s="106">
        <v>-218229</v>
      </c>
      <c r="C1026" s="106">
        <v>0</v>
      </c>
      <c r="D1026" s="106">
        <v>218229</v>
      </c>
      <c r="E1026" s="106" t="s">
        <v>1747</v>
      </c>
      <c r="F1026" s="106" t="s">
        <v>1748</v>
      </c>
      <c r="G1026" s="106" t="s">
        <v>79</v>
      </c>
      <c r="H1026" s="106">
        <v>3</v>
      </c>
      <c r="I1026" s="104" t="s">
        <v>26</v>
      </c>
      <c r="J1026" s="106">
        <v>11700</v>
      </c>
      <c r="K1026" s="106">
        <v>14929</v>
      </c>
      <c r="L1026" s="106">
        <v>12653</v>
      </c>
      <c r="M1026" s="106">
        <v>0.52</v>
      </c>
      <c r="N1026" s="106">
        <v>0.74</v>
      </c>
      <c r="O1026" s="106">
        <v>0.54</v>
      </c>
      <c r="P1026" s="106">
        <v>5210</v>
      </c>
      <c r="Q1026" s="106">
        <v>2503.8152213684598</v>
      </c>
      <c r="R1026" s="106">
        <v>0.20194089611188359</v>
      </c>
      <c r="S1026" s="106">
        <v>20386.337358214416</v>
      </c>
      <c r="T1026" s="106">
        <v>21815.850713501648</v>
      </c>
      <c r="U1026" s="106">
        <v>12410.971625284059</v>
      </c>
      <c r="V1026" s="106">
        <v>0.79727339084683468</v>
      </c>
      <c r="W1026" s="106">
        <v>75571.808219178085</v>
      </c>
      <c r="X1026" s="110">
        <v>0.58600758234444861</v>
      </c>
      <c r="Y1026" s="106">
        <v>497.82926829268291</v>
      </c>
      <c r="Z1026" s="106">
        <v>16.664634146341463</v>
      </c>
      <c r="AA1026" s="106">
        <v>64362.780743645788</v>
      </c>
      <c r="AB1026" s="106">
        <v>415.45227391971645</v>
      </c>
      <c r="AC1026" s="106">
        <v>1.5536929704497346</v>
      </c>
      <c r="AD1026" s="106">
        <v>19.446494464944649</v>
      </c>
      <c r="AE1026" s="106">
        <v>154.92220113851994</v>
      </c>
      <c r="AF1026" s="106">
        <v>-0.19348847588101303</v>
      </c>
      <c r="AG1026" s="106">
        <v>10700</v>
      </c>
      <c r="AH1026" s="106">
        <v>21981.631174533479</v>
      </c>
      <c r="AI1026" s="106">
        <v>22320.213318697402</v>
      </c>
      <c r="AJ1026" s="106">
        <v>20391.939992682033</v>
      </c>
      <c r="AK1026" s="104">
        <v>13585.266008049763</v>
      </c>
      <c r="AL1026" s="119">
        <v>9240604</v>
      </c>
      <c r="AM1026" s="118">
        <v>2787</v>
      </c>
      <c r="AN1026" s="118">
        <v>81644</v>
      </c>
      <c r="AO1026" s="118">
        <v>498</v>
      </c>
      <c r="AP1026" s="118">
        <f t="shared" si="15"/>
        <v>1000</v>
      </c>
    </row>
    <row r="1027" spans="1:42" ht="12.75">
      <c r="A1027" s="106">
        <v>2018</v>
      </c>
      <c r="B1027" s="106">
        <v>-220598</v>
      </c>
      <c r="C1027" s="106">
        <v>0</v>
      </c>
      <c r="D1027" s="106">
        <v>220598</v>
      </c>
      <c r="E1027" s="106" t="s">
        <v>1749</v>
      </c>
      <c r="F1027" s="106" t="s">
        <v>273</v>
      </c>
      <c r="G1027" s="106" t="s">
        <v>255</v>
      </c>
      <c r="H1027" s="106">
        <v>7</v>
      </c>
      <c r="I1027" s="106" t="s">
        <v>3641</v>
      </c>
      <c r="J1027" s="106">
        <v>10690</v>
      </c>
      <c r="K1027" s="106">
        <v>13239</v>
      </c>
      <c r="L1027" s="106">
        <v>13379</v>
      </c>
      <c r="M1027" s="106">
        <v>0.91</v>
      </c>
      <c r="N1027" s="106">
        <v>0.92</v>
      </c>
      <c r="O1027" s="106">
        <v>0.27</v>
      </c>
      <c r="P1027" s="106">
        <v>5838</v>
      </c>
      <c r="Q1027" s="106">
        <v>2178.6613876319757</v>
      </c>
      <c r="R1027" s="106">
        <v>0.19014787066544531</v>
      </c>
      <c r="S1027" s="106">
        <v>18604.963046757166</v>
      </c>
      <c r="T1027" s="106">
        <v>18650.751131221721</v>
      </c>
      <c r="U1027" s="106">
        <v>11788.973604826546</v>
      </c>
      <c r="V1027" s="106">
        <v>0.78709653977222238</v>
      </c>
      <c r="W1027" s="106">
        <v>34169.598816568046</v>
      </c>
      <c r="X1027" s="110">
        <v>0.38916653080422159</v>
      </c>
      <c r="Y1027" s="106">
        <v>512.03433476394844</v>
      </c>
      <c r="Z1027" s="106">
        <v>17.072961373390555</v>
      </c>
      <c r="AA1027" s="106">
        <v>91416.2514619883</v>
      </c>
      <c r="AB1027" s="106">
        <v>393.0843643130155</v>
      </c>
      <c r="AC1027" s="106">
        <v>1.0938974022751404</v>
      </c>
      <c r="AD1027" s="106">
        <v>12.302158273381295</v>
      </c>
      <c r="AE1027" s="106">
        <v>232.56140350877192</v>
      </c>
      <c r="AF1027" s="106">
        <v>-6.3955094570439172E-3</v>
      </c>
      <c r="AG1027" s="106">
        <v>9000</v>
      </c>
      <c r="AH1027" s="106">
        <v>17372.223981900454</v>
      </c>
      <c r="AI1027" s="106">
        <v>18604.963046757166</v>
      </c>
      <c r="AJ1027" s="106">
        <v>18871.798642533937</v>
      </c>
      <c r="AK1027" s="104">
        <v>12022.454751131221</v>
      </c>
      <c r="AL1027" s="118"/>
      <c r="AM1027" s="118">
        <v>1420</v>
      </c>
      <c r="AN1027" s="118">
        <v>39768</v>
      </c>
      <c r="AO1027" s="118">
        <v>171</v>
      </c>
      <c r="AP1027" s="118">
        <f t="shared" si="15"/>
        <v>1690</v>
      </c>
    </row>
    <row r="1028" spans="1:42" ht="12.75">
      <c r="A1028" s="106">
        <v>2018</v>
      </c>
      <c r="B1028" s="106">
        <v>-209038</v>
      </c>
      <c r="C1028" s="106">
        <v>0</v>
      </c>
      <c r="D1028" s="106">
        <v>209038</v>
      </c>
      <c r="E1028" s="106" t="s">
        <v>1750</v>
      </c>
      <c r="F1028" s="106" t="s">
        <v>1751</v>
      </c>
      <c r="G1028" s="106" t="s">
        <v>405</v>
      </c>
      <c r="H1028" s="106">
        <v>4</v>
      </c>
      <c r="I1028" s="106" t="s">
        <v>24</v>
      </c>
      <c r="J1028" s="106">
        <v>4650</v>
      </c>
      <c r="K1028" s="106">
        <v>6653</v>
      </c>
      <c r="L1028" s="106">
        <v>5915</v>
      </c>
      <c r="M1028" s="106">
        <v>0.51</v>
      </c>
      <c r="N1028" s="106">
        <v>0.25</v>
      </c>
      <c r="O1028" s="106">
        <v>0.05</v>
      </c>
      <c r="P1028" s="106">
        <v>2759</v>
      </c>
      <c r="Q1028" s="106">
        <v>1227.1293658088234</v>
      </c>
      <c r="R1028" s="106">
        <v>0.13619125843846558</v>
      </c>
      <c r="S1028" s="106">
        <v>31679.346277573528</v>
      </c>
      <c r="T1028" s="106">
        <v>32476.4375</v>
      </c>
      <c r="U1028" s="106">
        <v>17694.464234749375</v>
      </c>
      <c r="V1028" s="106">
        <v>0.43986691124329252</v>
      </c>
      <c r="W1028" s="106">
        <v>136652.28896585849</v>
      </c>
      <c r="X1028" s="110">
        <v>0.6513354251968424</v>
      </c>
      <c r="Y1028" s="106">
        <v>369.07646643109541</v>
      </c>
      <c r="Z1028" s="106">
        <v>15.378091872791519</v>
      </c>
      <c r="AA1028" s="106">
        <v>35356.431749141084</v>
      </c>
      <c r="AB1028" s="106">
        <v>737.26482556047915</v>
      </c>
      <c r="AC1028" s="106">
        <v>2.8283397122626579</v>
      </c>
      <c r="AD1028" s="106">
        <v>44.658601599343861</v>
      </c>
      <c r="AE1028" s="106">
        <v>47.95621671258035</v>
      </c>
      <c r="AF1028" s="106">
        <v>1.3861080305648577E-2</v>
      </c>
      <c r="AG1028" s="106">
        <v>3942</v>
      </c>
      <c r="AH1028" s="106">
        <v>27782.416590073528</v>
      </c>
      <c r="AI1028" s="106">
        <v>27782.416590073528</v>
      </c>
      <c r="AJ1028" s="106">
        <v>31886.974954044119</v>
      </c>
      <c r="AK1028" s="104">
        <v>24927.047794117647</v>
      </c>
      <c r="AL1028" s="119">
        <v>59222710</v>
      </c>
      <c r="AM1028" s="118">
        <v>7637</v>
      </c>
      <c r="AN1028" s="118">
        <v>104448.64</v>
      </c>
      <c r="AO1028" s="118">
        <v>1720</v>
      </c>
      <c r="AP1028" s="118">
        <f t="shared" si="15"/>
        <v>708</v>
      </c>
    </row>
    <row r="1029" spans="1:42" ht="12.75">
      <c r="A1029" s="106">
        <v>2018</v>
      </c>
      <c r="B1029" s="106">
        <v>-117247</v>
      </c>
      <c r="C1029" s="106">
        <v>0</v>
      </c>
      <c r="D1029" s="106">
        <v>117247</v>
      </c>
      <c r="E1029" s="106" t="s">
        <v>4129</v>
      </c>
      <c r="F1029" s="106" t="s">
        <v>1504</v>
      </c>
      <c r="G1029" s="106" t="s">
        <v>121</v>
      </c>
      <c r="H1029" s="106">
        <v>4</v>
      </c>
      <c r="I1029" s="106" t="s">
        <v>24</v>
      </c>
      <c r="J1029" s="106">
        <v>1230</v>
      </c>
      <c r="K1029" s="106">
        <v>10292</v>
      </c>
      <c r="L1029" s="106">
        <v>9756</v>
      </c>
      <c r="M1029" s="106">
        <v>0.54</v>
      </c>
      <c r="N1029" s="106">
        <v>0.01</v>
      </c>
      <c r="O1029" s="106">
        <v>0</v>
      </c>
      <c r="P1029" s="106"/>
      <c r="Q1029" s="106">
        <v>772.07781569965869</v>
      </c>
      <c r="R1029" s="106">
        <v>0.41834642437384789</v>
      </c>
      <c r="S1029" s="106">
        <v>14024.413993174061</v>
      </c>
      <c r="T1029" s="106">
        <v>11684.498805460751</v>
      </c>
      <c r="U1029" s="106">
        <v>8597.4221843003415</v>
      </c>
      <c r="V1029" s="106">
        <v>0.12485937625481597</v>
      </c>
      <c r="W1029" s="106">
        <v>132903.19681349577</v>
      </c>
      <c r="X1029" s="110">
        <v>0.69035247729033022</v>
      </c>
      <c r="Y1029" s="106">
        <v>742.85070422535205</v>
      </c>
      <c r="Z1029" s="106">
        <v>24.760563380281688</v>
      </c>
      <c r="AA1029" s="106">
        <v>53144.402953586497</v>
      </c>
      <c r="AB1029" s="106">
        <v>286.56769885329453</v>
      </c>
      <c r="AC1029" s="106">
        <v>1.8816656965237655</v>
      </c>
      <c r="AD1029" s="106">
        <v>19.402374130167825</v>
      </c>
      <c r="AE1029" s="106">
        <v>185.45147679324896</v>
      </c>
      <c r="AF1029" s="106"/>
      <c r="AG1029" s="106">
        <v>1104</v>
      </c>
      <c r="AH1029" s="106">
        <v>12073.797610921501</v>
      </c>
      <c r="AI1029" s="106">
        <v>12073.797610921501</v>
      </c>
      <c r="AJ1029" s="106">
        <v>14032.059385665529</v>
      </c>
      <c r="AK1029" s="104">
        <v>10921.522184300342</v>
      </c>
      <c r="AL1029" s="119">
        <v>45110417</v>
      </c>
      <c r="AM1029" s="118">
        <v>10891</v>
      </c>
      <c r="AN1029" s="118">
        <v>175808</v>
      </c>
      <c r="AO1029" s="118">
        <v>646</v>
      </c>
      <c r="AP1029" s="118">
        <f t="shared" si="15"/>
        <v>126</v>
      </c>
    </row>
    <row r="1030" spans="1:42" ht="12.75">
      <c r="A1030" s="106">
        <v>2018</v>
      </c>
      <c r="B1030" s="106">
        <v>-207209</v>
      </c>
      <c r="C1030" s="106">
        <v>0</v>
      </c>
      <c r="D1030" s="106">
        <v>207209</v>
      </c>
      <c r="E1030" s="106" t="s">
        <v>1752</v>
      </c>
      <c r="F1030" s="106" t="s">
        <v>1753</v>
      </c>
      <c r="G1030" s="106" t="s">
        <v>271</v>
      </c>
      <c r="H1030" s="106">
        <v>2</v>
      </c>
      <c r="I1030" s="106" t="s">
        <v>25</v>
      </c>
      <c r="J1030" s="106">
        <v>5936</v>
      </c>
      <c r="K1030" s="106">
        <v>13294</v>
      </c>
      <c r="L1030" s="106">
        <v>13278</v>
      </c>
      <c r="M1030" s="106">
        <v>0.56999999999999995</v>
      </c>
      <c r="N1030" s="106">
        <v>0.6</v>
      </c>
      <c r="O1030" s="106">
        <v>0.27</v>
      </c>
      <c r="P1030" s="106">
        <v>7459</v>
      </c>
      <c r="Q1030" s="106">
        <v>2284.3608591885441</v>
      </c>
      <c r="R1030" s="106">
        <v>0.3543999147497518</v>
      </c>
      <c r="S1030" s="106">
        <v>25976.436276849643</v>
      </c>
      <c r="T1030" s="106">
        <v>28528.648210023868</v>
      </c>
      <c r="U1030" s="106">
        <v>9822.5535686964522</v>
      </c>
      <c r="V1030" s="106">
        <v>0.42365298875771162</v>
      </c>
      <c r="W1030" s="106">
        <v>81107.942028985504</v>
      </c>
      <c r="X1030" s="110">
        <v>0.46818474208683053</v>
      </c>
      <c r="Y1030" s="106">
        <v>472.29015544041454</v>
      </c>
      <c r="Z1030" s="106">
        <v>16.282383419689122</v>
      </c>
      <c r="AA1030" s="106">
        <v>62169.938750510781</v>
      </c>
      <c r="AB1030" s="106">
        <v>338.63628433417375</v>
      </c>
      <c r="AC1030" s="106">
        <v>1.6084944268853474</v>
      </c>
      <c r="AD1030" s="106">
        <v>16.09922178988327</v>
      </c>
      <c r="AE1030" s="106">
        <v>183.58912386706947</v>
      </c>
      <c r="AF1030" s="106">
        <v>3.0676191538581622E-2</v>
      </c>
      <c r="AG1030" s="106">
        <v>3930</v>
      </c>
      <c r="AH1030" s="106">
        <v>24294.505011933175</v>
      </c>
      <c r="AI1030" s="106">
        <v>24294.505011933175</v>
      </c>
      <c r="AJ1030" s="106">
        <v>27739.561336515511</v>
      </c>
      <c r="AK1030" s="104">
        <v>25307.414319809068</v>
      </c>
      <c r="AL1030" s="119">
        <v>15639479</v>
      </c>
      <c r="AM1030" s="118">
        <v>2033</v>
      </c>
      <c r="AN1030" s="118">
        <v>60768</v>
      </c>
      <c r="AO1030" s="118">
        <v>255</v>
      </c>
      <c r="AP1030" s="118">
        <f t="shared" ref="AP1030:AP1093" si="16">J1030-AG1030</f>
        <v>2006</v>
      </c>
    </row>
    <row r="1031" spans="1:42" ht="12.75">
      <c r="A1031" s="106">
        <v>2018</v>
      </c>
      <c r="B1031" s="106">
        <v>-140243</v>
      </c>
      <c r="C1031" s="106">
        <v>0</v>
      </c>
      <c r="D1031" s="106">
        <v>140243</v>
      </c>
      <c r="E1031" s="106" t="s">
        <v>1754</v>
      </c>
      <c r="F1031" s="106" t="s">
        <v>1755</v>
      </c>
      <c r="G1031" s="106" t="s">
        <v>63</v>
      </c>
      <c r="H1031" s="106">
        <v>4</v>
      </c>
      <c r="I1031" s="106" t="s">
        <v>24</v>
      </c>
      <c r="J1031" s="106">
        <v>3282</v>
      </c>
      <c r="K1031" s="106">
        <v>4287</v>
      </c>
      <c r="L1031" s="106">
        <v>2844</v>
      </c>
      <c r="M1031" s="106">
        <v>0.5</v>
      </c>
      <c r="N1031" s="106">
        <v>0.02</v>
      </c>
      <c r="O1031" s="106">
        <v>0</v>
      </c>
      <c r="P1031" s="106"/>
      <c r="Q1031" s="107"/>
      <c r="R1031" s="106"/>
      <c r="S1031" s="106">
        <v>11807.126674786845</v>
      </c>
      <c r="T1031" s="106">
        <v>12525.560698335363</v>
      </c>
      <c r="U1031" s="106">
        <v>7130.0004060089323</v>
      </c>
      <c r="V1031" s="106">
        <v>0.52013192043751477</v>
      </c>
      <c r="W1031" s="106">
        <v>61579.005122950824</v>
      </c>
      <c r="X1031" s="110">
        <v>0.64938109828911439</v>
      </c>
      <c r="Y1031" s="106">
        <v>426.23076923076928</v>
      </c>
      <c r="Z1031" s="106">
        <v>14.209615384615386</v>
      </c>
      <c r="AA1031" s="106">
        <v>8776.2073963018483</v>
      </c>
      <c r="AB1031" s="106">
        <v>237.6988494856524</v>
      </c>
      <c r="AC1031" s="106">
        <v>11.394443577317734</v>
      </c>
      <c r="AD1031" s="106">
        <v>103.41085271317829</v>
      </c>
      <c r="AE1031" s="106">
        <v>36.921539230384809</v>
      </c>
      <c r="AF1031" s="106">
        <v>-4.0569490730061733E-2</v>
      </c>
      <c r="AG1031" s="106">
        <v>2670</v>
      </c>
      <c r="AH1031" s="106">
        <v>10115.390986601706</v>
      </c>
      <c r="AI1031" s="106">
        <v>10293.360129922858</v>
      </c>
      <c r="AJ1031" s="106">
        <v>11807.126674786845</v>
      </c>
      <c r="AK1031" s="104">
        <v>8643.7669508729196</v>
      </c>
      <c r="AL1031" s="119">
        <v>11427060</v>
      </c>
      <c r="AM1031" s="118">
        <v>3681</v>
      </c>
      <c r="AN1031" s="118">
        <v>73880</v>
      </c>
      <c r="AO1031" s="118">
        <v>275</v>
      </c>
      <c r="AP1031" s="118">
        <f t="shared" si="16"/>
        <v>612</v>
      </c>
    </row>
    <row r="1032" spans="1:42" ht="12.75">
      <c r="A1032" s="106">
        <v>2018</v>
      </c>
      <c r="B1032" s="106">
        <v>-170657</v>
      </c>
      <c r="C1032" s="106">
        <v>0</v>
      </c>
      <c r="D1032" s="106">
        <v>170657</v>
      </c>
      <c r="E1032" s="106" t="s">
        <v>1756</v>
      </c>
      <c r="F1032" s="106" t="s">
        <v>1757</v>
      </c>
      <c r="G1032" s="106" t="s">
        <v>74</v>
      </c>
      <c r="H1032" s="106">
        <v>4</v>
      </c>
      <c r="I1032" s="106" t="s">
        <v>24</v>
      </c>
      <c r="J1032" s="106">
        <v>3470</v>
      </c>
      <c r="K1032" s="106">
        <v>4069</v>
      </c>
      <c r="L1032" s="106">
        <v>4335</v>
      </c>
      <c r="M1032" s="106">
        <v>0.46</v>
      </c>
      <c r="N1032" s="106">
        <v>0.26</v>
      </c>
      <c r="O1032" s="106">
        <v>0.13</v>
      </c>
      <c r="P1032" s="106">
        <v>2388</v>
      </c>
      <c r="Q1032" s="106">
        <v>219.86283691183189</v>
      </c>
      <c r="R1032" s="106">
        <v>3.8502671850252627E-2</v>
      </c>
      <c r="S1032" s="106">
        <v>15410.47864321608</v>
      </c>
      <c r="T1032" s="106">
        <v>15564.694152581087</v>
      </c>
      <c r="U1032" s="106">
        <v>13230.783753152744</v>
      </c>
      <c r="V1032" s="106">
        <v>0.41497646797780086</v>
      </c>
      <c r="W1032" s="106">
        <v>78443.988288288281</v>
      </c>
      <c r="X1032" s="110">
        <v>0.63890502058848053</v>
      </c>
      <c r="Y1032" s="106">
        <v>419.6373801916933</v>
      </c>
      <c r="Z1032" s="106">
        <v>13.987220447284345</v>
      </c>
      <c r="AA1032" s="106">
        <v>40549.087344279113</v>
      </c>
      <c r="AB1032" s="106">
        <v>441.00429985802981</v>
      </c>
      <c r="AC1032" s="106">
        <v>2.4661467507506933</v>
      </c>
      <c r="AD1032" s="106">
        <v>38.195187165775401</v>
      </c>
      <c r="AE1032" s="106">
        <v>91.947147357367868</v>
      </c>
      <c r="AF1032" s="106">
        <v>3.4182115083454916E-2</v>
      </c>
      <c r="AG1032" s="106">
        <v>3090</v>
      </c>
      <c r="AH1032" s="106">
        <v>15341.921996345363</v>
      </c>
      <c r="AI1032" s="106">
        <v>15467.713910461398</v>
      </c>
      <c r="AJ1032" s="106">
        <v>15549.887048880768</v>
      </c>
      <c r="AK1032" s="104">
        <v>13760.569894929191</v>
      </c>
      <c r="AL1032" s="118">
        <v>74743482</v>
      </c>
      <c r="AM1032" s="118">
        <v>12882</v>
      </c>
      <c r="AN1032" s="118">
        <v>262693</v>
      </c>
      <c r="AO1032" s="118">
        <v>1572</v>
      </c>
      <c r="AP1032" s="118">
        <f t="shared" si="16"/>
        <v>380</v>
      </c>
    </row>
    <row r="1033" spans="1:42" ht="12.75">
      <c r="A1033" s="106">
        <v>2018</v>
      </c>
      <c r="B1033" s="106">
        <v>-240620</v>
      </c>
      <c r="C1033" s="106">
        <v>0</v>
      </c>
      <c r="D1033" s="106">
        <v>240620</v>
      </c>
      <c r="E1033" s="106" t="s">
        <v>1758</v>
      </c>
      <c r="F1033" s="106" t="s">
        <v>874</v>
      </c>
      <c r="G1033" s="106" t="s">
        <v>627</v>
      </c>
      <c r="H1033" s="106">
        <v>4</v>
      </c>
      <c r="I1033" s="106" t="s">
        <v>24</v>
      </c>
      <c r="J1033" s="106">
        <v>3426</v>
      </c>
      <c r="K1033" s="106">
        <v>6650</v>
      </c>
      <c r="L1033" s="106">
        <v>4539</v>
      </c>
      <c r="M1033" s="106">
        <v>0.4</v>
      </c>
      <c r="N1033" s="106">
        <v>0.54</v>
      </c>
      <c r="O1033" s="106">
        <v>0.36</v>
      </c>
      <c r="P1033" s="106">
        <v>3390</v>
      </c>
      <c r="Q1033" s="106">
        <v>818.42138119391336</v>
      </c>
      <c r="R1033" s="106">
        <v>0.19171666338092674</v>
      </c>
      <c r="S1033" s="106">
        <v>20765.891923527117</v>
      </c>
      <c r="T1033" s="106">
        <v>23863.725321888411</v>
      </c>
      <c r="U1033" s="106">
        <v>15030.24854021499</v>
      </c>
      <c r="V1033" s="106">
        <v>0.22956970081511924</v>
      </c>
      <c r="W1033" s="106">
        <v>75870.778576563622</v>
      </c>
      <c r="X1033" s="110">
        <v>0.57516648047484087</v>
      </c>
      <c r="Y1033" s="106">
        <v>423.99264705882359</v>
      </c>
      <c r="Z1033" s="106">
        <v>14.134191176470591</v>
      </c>
      <c r="AA1033" s="106">
        <v>47324.971755001257</v>
      </c>
      <c r="AB1033" s="106">
        <v>501.04738318207978</v>
      </c>
      <c r="AC1033" s="106">
        <v>2.1130493329757161</v>
      </c>
      <c r="AD1033" s="106">
        <v>32.995541143088772</v>
      </c>
      <c r="AE1033" s="106">
        <v>94.452088452088447</v>
      </c>
      <c r="AF1033" s="106">
        <v>-3.465678071945609E-2</v>
      </c>
      <c r="AG1033" s="106">
        <v>2256</v>
      </c>
      <c r="AH1033" s="106">
        <v>19009.864611783065</v>
      </c>
      <c r="AI1033" s="106">
        <v>19009.864611783065</v>
      </c>
      <c r="AJ1033" s="106">
        <v>21324.775263363244</v>
      </c>
      <c r="AK1033" s="104">
        <v>17631.460788138898</v>
      </c>
      <c r="AL1033" s="119">
        <v>32493267</v>
      </c>
      <c r="AM1033" s="118">
        <v>4129</v>
      </c>
      <c r="AN1033" s="118">
        <v>76884</v>
      </c>
      <c r="AO1033" s="118">
        <v>553</v>
      </c>
      <c r="AP1033" s="118">
        <f t="shared" si="16"/>
        <v>1170</v>
      </c>
    </row>
    <row r="1034" spans="1:42" ht="12.75">
      <c r="A1034" s="106">
        <v>2018</v>
      </c>
      <c r="B1034" s="106">
        <v>-226134</v>
      </c>
      <c r="C1034" s="106">
        <v>0</v>
      </c>
      <c r="D1034" s="106">
        <v>226134</v>
      </c>
      <c r="E1034" s="106" t="s">
        <v>1759</v>
      </c>
      <c r="F1034" s="106" t="s">
        <v>1760</v>
      </c>
      <c r="G1034" s="106" t="s">
        <v>60</v>
      </c>
      <c r="H1034" s="106">
        <v>4</v>
      </c>
      <c r="I1034" s="106" t="s">
        <v>24</v>
      </c>
      <c r="J1034" s="106">
        <v>3300</v>
      </c>
      <c r="K1034" s="106">
        <v>5213</v>
      </c>
      <c r="L1034" s="106">
        <v>4806</v>
      </c>
      <c r="M1034" s="106">
        <v>0.79</v>
      </c>
      <c r="N1034" s="106">
        <v>0.04</v>
      </c>
      <c r="O1034" s="106">
        <v>0.18</v>
      </c>
      <c r="P1034" s="106">
        <v>1902</v>
      </c>
      <c r="Q1034" s="106">
        <v>173.74838508022503</v>
      </c>
      <c r="R1034" s="106">
        <v>7.8190387493791577E-2</v>
      </c>
      <c r="S1034" s="106">
        <v>10411.283913315274</v>
      </c>
      <c r="T1034" s="106">
        <v>9232.0538653886233</v>
      </c>
      <c r="U1034" s="106">
        <v>7930.7930643573791</v>
      </c>
      <c r="V1034" s="106">
        <v>0.25828074221087977</v>
      </c>
      <c r="W1034" s="106">
        <v>72395.660908193488</v>
      </c>
      <c r="X1034" s="110">
        <v>0.55176182333914947</v>
      </c>
      <c r="Y1034" s="106">
        <v>1202.5648942598189</v>
      </c>
      <c r="Z1034" s="106">
        <v>43.495468277945619</v>
      </c>
      <c r="AA1034" s="106">
        <v>37295.321818570374</v>
      </c>
      <c r="AB1034" s="106">
        <v>286.84818573722555</v>
      </c>
      <c r="AC1034" s="106">
        <v>2.6813014373885156</v>
      </c>
      <c r="AD1034" s="106">
        <v>39.227368825677495</v>
      </c>
      <c r="AE1034" s="106">
        <v>130.01763187979751</v>
      </c>
      <c r="AF1034" s="106">
        <v>0.23663162388718303</v>
      </c>
      <c r="AG1034" s="106">
        <v>1200</v>
      </c>
      <c r="AH1034" s="106">
        <v>9656.8882058762247</v>
      </c>
      <c r="AI1034" s="106">
        <v>9656.8882058762247</v>
      </c>
      <c r="AJ1034" s="106">
        <v>10603.4183163159</v>
      </c>
      <c r="AK1034" s="104">
        <v>9005.9471764951031</v>
      </c>
      <c r="AL1034" s="118">
        <v>61422890</v>
      </c>
      <c r="AM1034" s="118">
        <v>9881</v>
      </c>
      <c r="AN1034" s="118">
        <v>265365.98666666669</v>
      </c>
      <c r="AO1034" s="118">
        <v>1066</v>
      </c>
      <c r="AP1034" s="118">
        <f t="shared" si="16"/>
        <v>2100</v>
      </c>
    </row>
    <row r="1035" spans="1:42" ht="12.75">
      <c r="A1035" s="106">
        <v>2018</v>
      </c>
      <c r="B1035" s="106">
        <v>-366401</v>
      </c>
      <c r="C1035" s="106">
        <v>0</v>
      </c>
      <c r="D1035" s="106">
        <v>366401</v>
      </c>
      <c r="E1035" s="106" t="s">
        <v>1761</v>
      </c>
      <c r="F1035" s="106" t="s">
        <v>1762</v>
      </c>
      <c r="G1035" s="106" t="s">
        <v>121</v>
      </c>
      <c r="H1035" s="106">
        <v>4</v>
      </c>
      <c r="I1035" s="106" t="s">
        <v>24</v>
      </c>
      <c r="J1035" s="106">
        <v>1138</v>
      </c>
      <c r="K1035" s="106">
        <v>5863</v>
      </c>
      <c r="L1035" s="106">
        <v>3254</v>
      </c>
      <c r="M1035" s="106">
        <v>0.25</v>
      </c>
      <c r="N1035" s="106">
        <v>0</v>
      </c>
      <c r="O1035" s="106">
        <v>0</v>
      </c>
      <c r="P1035" s="106">
        <v>150</v>
      </c>
      <c r="Q1035" s="107">
        <v>1032.7743545611015</v>
      </c>
      <c r="R1035" s="106">
        <v>0.57080009645848029</v>
      </c>
      <c r="S1035" s="106">
        <v>15814.003442340792</v>
      </c>
      <c r="T1035" s="106">
        <v>20668.454388984508</v>
      </c>
      <c r="U1035" s="106">
        <v>9556.8758382680917</v>
      </c>
      <c r="V1035" s="106">
        <v>8.1257803621732655E-2</v>
      </c>
      <c r="W1035" s="106">
        <v>184217.97512953368</v>
      </c>
      <c r="X1035" s="110">
        <v>0.49346224450741533</v>
      </c>
      <c r="Y1035" s="106">
        <v>823.44094488188966</v>
      </c>
      <c r="Z1035" s="106">
        <v>27.448818897637793</v>
      </c>
      <c r="AA1035" s="106">
        <v>57899.320771989165</v>
      </c>
      <c r="AB1035" s="106">
        <v>318.57166654429335</v>
      </c>
      <c r="AC1035" s="106">
        <v>1.727135977877974</v>
      </c>
      <c r="AD1035" s="106">
        <v>19.039110581695454</v>
      </c>
      <c r="AE1035" s="106">
        <v>181.7466110531804</v>
      </c>
      <c r="AF1035" s="106">
        <v>0.10492448056203428</v>
      </c>
      <c r="AG1035" s="106">
        <v>1104</v>
      </c>
      <c r="AH1035" s="106">
        <v>14263.41273666093</v>
      </c>
      <c r="AI1035" s="106">
        <v>14263.41273666093</v>
      </c>
      <c r="AJ1035" s="106">
        <v>15979.491049913942</v>
      </c>
      <c r="AK1035" s="104">
        <v>11252.056970740103</v>
      </c>
      <c r="AL1035" s="119">
        <v>41813224</v>
      </c>
      <c r="AM1035" s="118">
        <v>8989</v>
      </c>
      <c r="AN1035" s="118">
        <v>174295</v>
      </c>
      <c r="AO1035" s="118">
        <v>788</v>
      </c>
      <c r="AP1035" s="118">
        <f t="shared" si="16"/>
        <v>34</v>
      </c>
    </row>
    <row r="1036" spans="1:42" ht="12.75">
      <c r="A1036" s="106">
        <v>2018</v>
      </c>
      <c r="B1036" s="106">
        <v>-166391</v>
      </c>
      <c r="C1036" s="106">
        <v>0</v>
      </c>
      <c r="D1036" s="106">
        <v>166391</v>
      </c>
      <c r="E1036" s="106" t="s">
        <v>1763</v>
      </c>
      <c r="F1036" s="106" t="s">
        <v>1764</v>
      </c>
      <c r="G1036" s="106" t="s">
        <v>150</v>
      </c>
      <c r="H1036" s="106">
        <v>6</v>
      </c>
      <c r="I1036" s="106" t="s">
        <v>3640</v>
      </c>
      <c r="J1036" s="106">
        <v>34600</v>
      </c>
      <c r="K1036" s="106">
        <v>28988</v>
      </c>
      <c r="L1036" s="106">
        <v>23063</v>
      </c>
      <c r="M1036" s="106">
        <v>0.35</v>
      </c>
      <c r="N1036" s="106">
        <v>0.91</v>
      </c>
      <c r="O1036" s="106">
        <v>0.95</v>
      </c>
      <c r="P1036" s="106">
        <v>22039</v>
      </c>
      <c r="Q1036" s="107">
        <v>15509.008060453401</v>
      </c>
      <c r="R1036" s="106">
        <v>0.50373169178448896</v>
      </c>
      <c r="S1036" s="106">
        <v>30130.569269521409</v>
      </c>
      <c r="T1036" s="106">
        <v>30979.113350125943</v>
      </c>
      <c r="U1036" s="106">
        <v>19986.878175693706</v>
      </c>
      <c r="V1036" s="106">
        <v>0.76446274116800894</v>
      </c>
      <c r="W1036" s="106">
        <v>78234.804557405791</v>
      </c>
      <c r="X1036" s="110">
        <v>0.48387690804595085</v>
      </c>
      <c r="Y1036" s="106">
        <v>410.3900709219858</v>
      </c>
      <c r="Z1036" s="106">
        <v>14.078014184397164</v>
      </c>
      <c r="AA1036" s="106">
        <v>75425.76649952853</v>
      </c>
      <c r="AB1036" s="106">
        <v>685.62953734990072</v>
      </c>
      <c r="AC1036" s="106">
        <v>1.3258068779536378</v>
      </c>
      <c r="AD1036" s="106">
        <v>28.618063112078346</v>
      </c>
      <c r="AE1036" s="106">
        <v>110.00950570342205</v>
      </c>
      <c r="AF1036" s="106">
        <v>3.4155046679618051E-2</v>
      </c>
      <c r="AG1036" s="106">
        <v>33300</v>
      </c>
      <c r="AH1036" s="106">
        <v>28755.938035264484</v>
      </c>
      <c r="AI1036" s="106">
        <v>30130.569269521409</v>
      </c>
      <c r="AJ1036" s="106">
        <v>31489.441813602014</v>
      </c>
      <c r="AK1036" s="104">
        <v>20758.631234256925</v>
      </c>
      <c r="AM1036" s="118">
        <v>1731</v>
      </c>
      <c r="AN1036" s="118">
        <v>57865</v>
      </c>
      <c r="AO1036" s="118">
        <v>385</v>
      </c>
      <c r="AP1036" s="118">
        <f t="shared" si="16"/>
        <v>1300</v>
      </c>
    </row>
    <row r="1037" spans="1:42" ht="12.75">
      <c r="A1037" s="106">
        <v>2018</v>
      </c>
      <c r="B1037" s="106">
        <v>-117274</v>
      </c>
      <c r="C1037" s="106">
        <v>0</v>
      </c>
      <c r="D1037" s="106">
        <v>117274</v>
      </c>
      <c r="E1037" s="106" t="s">
        <v>1765</v>
      </c>
      <c r="F1037" s="106" t="s">
        <v>1766</v>
      </c>
      <c r="G1037" s="106" t="s">
        <v>121</v>
      </c>
      <c r="H1037" s="106">
        <v>4</v>
      </c>
      <c r="I1037" s="106" t="s">
        <v>24</v>
      </c>
      <c r="J1037" s="106">
        <v>1127</v>
      </c>
      <c r="K1037" s="106">
        <v>10856</v>
      </c>
      <c r="L1037" s="106">
        <v>7124</v>
      </c>
      <c r="M1037" s="106">
        <v>0.36</v>
      </c>
      <c r="N1037" s="106">
        <v>7.0000000000000007E-2</v>
      </c>
      <c r="O1037" s="106">
        <v>0.4</v>
      </c>
      <c r="P1037" s="106">
        <v>1131</v>
      </c>
      <c r="Q1037" s="106">
        <v>36.157303370786515</v>
      </c>
      <c r="R1037" s="106">
        <v>1.7248747884553814E-2</v>
      </c>
      <c r="S1037" s="106">
        <v>16212.680898876404</v>
      </c>
      <c r="T1037" s="106">
        <v>19027.442696629212</v>
      </c>
      <c r="U1037" s="106">
        <v>10966.23450359137</v>
      </c>
      <c r="V1037" s="106">
        <v>0.18785576866064274</v>
      </c>
      <c r="W1037" s="106">
        <v>75568.04094827587</v>
      </c>
      <c r="X1037" s="110">
        <v>0.46012221417549642</v>
      </c>
      <c r="Y1037" s="106">
        <v>606.83333333333337</v>
      </c>
      <c r="Z1037" s="106">
        <v>20.227272727272727</v>
      </c>
      <c r="AA1037" s="106">
        <v>45893.175743869841</v>
      </c>
      <c r="AB1037" s="106">
        <v>365.53202322774661</v>
      </c>
      <c r="AC1037" s="106">
        <v>2.1789731998086328</v>
      </c>
      <c r="AD1037" s="106">
        <v>25.725806451612904</v>
      </c>
      <c r="AE1037" s="106">
        <v>125.55172413793103</v>
      </c>
      <c r="AF1037" s="106">
        <v>16.579043454742155</v>
      </c>
      <c r="AG1037" s="106">
        <v>1104</v>
      </c>
      <c r="AH1037" s="106">
        <v>16172.358052434456</v>
      </c>
      <c r="AI1037" s="106">
        <v>16172.358052434456</v>
      </c>
      <c r="AJ1037" s="106">
        <v>16271.989513108614</v>
      </c>
      <c r="AK1037" s="104">
        <v>12227.943820224718</v>
      </c>
      <c r="AL1037" s="119">
        <v>13868646</v>
      </c>
      <c r="AM1037" s="118">
        <v>2484</v>
      </c>
      <c r="AN1037" s="118">
        <v>40051</v>
      </c>
      <c r="AO1037" s="118">
        <v>214</v>
      </c>
      <c r="AP1037" s="118">
        <f t="shared" si="16"/>
        <v>23</v>
      </c>
    </row>
    <row r="1038" spans="1:42" ht="12.75">
      <c r="A1038" s="106">
        <v>2018</v>
      </c>
      <c r="B1038" s="106">
        <v>-170675</v>
      </c>
      <c r="C1038" s="106">
        <v>0</v>
      </c>
      <c r="D1038" s="106">
        <v>170675</v>
      </c>
      <c r="E1038" s="106" t="s">
        <v>1767</v>
      </c>
      <c r="F1038" s="106" t="s">
        <v>1768</v>
      </c>
      <c r="G1038" s="106" t="s">
        <v>74</v>
      </c>
      <c r="H1038" s="106">
        <v>6</v>
      </c>
      <c r="I1038" s="106" t="s">
        <v>3640</v>
      </c>
      <c r="J1038" s="106">
        <v>32180</v>
      </c>
      <c r="K1038" s="106">
        <v>30222</v>
      </c>
      <c r="L1038" s="106">
        <v>28279</v>
      </c>
      <c r="M1038" s="106">
        <v>0.28000000000000003</v>
      </c>
      <c r="N1038" s="106">
        <v>0.68</v>
      </c>
      <c r="O1038" s="106">
        <v>0.89</v>
      </c>
      <c r="P1038" s="106">
        <v>14264</v>
      </c>
      <c r="Q1038" s="106">
        <v>7966.8606986899567</v>
      </c>
      <c r="R1038" s="106">
        <v>0.25944282446932543</v>
      </c>
      <c r="S1038" s="106">
        <v>27327.931441048037</v>
      </c>
      <c r="T1038" s="106">
        <v>29379.969868995635</v>
      </c>
      <c r="U1038" s="106">
        <v>28780.592257285469</v>
      </c>
      <c r="V1038" s="106">
        <v>0.7901406902010899</v>
      </c>
      <c r="W1038" s="106">
        <v>77103.856502242154</v>
      </c>
      <c r="X1038" s="110">
        <v>0.5111214780482517</v>
      </c>
      <c r="Y1038" s="106">
        <v>354.976618705036</v>
      </c>
      <c r="Z1038" s="106">
        <v>12.35611510791367</v>
      </c>
      <c r="AA1038" s="106">
        <v>77812.935382743482</v>
      </c>
      <c r="AB1038" s="106">
        <v>1001.8020682664842</v>
      </c>
      <c r="AC1038" s="106">
        <v>1.2851333715676396</v>
      </c>
      <c r="AD1038" s="106">
        <v>37.948028673835125</v>
      </c>
      <c r="AE1038" s="106">
        <v>77.672963400236128</v>
      </c>
      <c r="AF1038" s="106">
        <v>-9.5499188600283776E-3</v>
      </c>
      <c r="AG1038" s="106">
        <v>31410</v>
      </c>
      <c r="AH1038" s="106">
        <v>25799.557641921398</v>
      </c>
      <c r="AI1038" s="106">
        <v>27446.601746724889</v>
      </c>
      <c r="AJ1038" s="106">
        <v>28834.802183406115</v>
      </c>
      <c r="AK1038" s="104">
        <v>29086.012227074236</v>
      </c>
      <c r="AL1038" s="118"/>
      <c r="AM1038" s="118">
        <v>2191</v>
      </c>
      <c r="AN1038" s="118">
        <v>65789</v>
      </c>
      <c r="AO1038" s="118">
        <v>390</v>
      </c>
      <c r="AP1038" s="118">
        <f t="shared" si="16"/>
        <v>770</v>
      </c>
    </row>
    <row r="1039" spans="1:42" ht="12.75">
      <c r="A1039" s="106">
        <v>2018</v>
      </c>
      <c r="B1039" s="106">
        <v>-239017</v>
      </c>
      <c r="C1039" s="106">
        <v>0</v>
      </c>
      <c r="D1039" s="106">
        <v>239017</v>
      </c>
      <c r="E1039" s="106" t="s">
        <v>1769</v>
      </c>
      <c r="F1039" s="106" t="s">
        <v>1272</v>
      </c>
      <c r="G1039" s="106" t="s">
        <v>139</v>
      </c>
      <c r="H1039" s="106">
        <v>7</v>
      </c>
      <c r="I1039" s="106" t="s">
        <v>3641</v>
      </c>
      <c r="J1039" s="106">
        <v>46101</v>
      </c>
      <c r="K1039" s="106">
        <v>27436</v>
      </c>
      <c r="L1039" s="106">
        <v>14434</v>
      </c>
      <c r="M1039" s="106">
        <v>0.28000000000000003</v>
      </c>
      <c r="N1039" s="106">
        <v>0.66</v>
      </c>
      <c r="O1039" s="106">
        <v>0.99</v>
      </c>
      <c r="P1039" s="107">
        <v>29121</v>
      </c>
      <c r="Q1039" s="106">
        <v>25056.309236947793</v>
      </c>
      <c r="R1039" s="106">
        <v>0.57478957811148956</v>
      </c>
      <c r="S1039" s="106">
        <v>39645.637884872827</v>
      </c>
      <c r="T1039" s="106">
        <v>47601.500669344045</v>
      </c>
      <c r="U1039" s="106">
        <v>37813.783331452214</v>
      </c>
      <c r="V1039" s="106">
        <v>0.49018722011652982</v>
      </c>
      <c r="W1039" s="106">
        <v>76636.648051948039</v>
      </c>
      <c r="X1039" s="110">
        <v>0.55317777799463597</v>
      </c>
      <c r="Y1039" s="106">
        <v>429.93783303730021</v>
      </c>
      <c r="Z1039" s="106">
        <v>7.9609236234458267</v>
      </c>
      <c r="AA1039" s="106">
        <v>163750.1226005496</v>
      </c>
      <c r="AB1039" s="106">
        <v>700.17713697948329</v>
      </c>
      <c r="AC1039" s="106">
        <v>0.61068656567628354</v>
      </c>
      <c r="AD1039" s="106">
        <v>23.842432619212165</v>
      </c>
      <c r="AE1039" s="106">
        <v>233.86956521739131</v>
      </c>
      <c r="AF1039" s="106">
        <v>4.1825485020679648E-2</v>
      </c>
      <c r="AG1039" s="106">
        <v>45801</v>
      </c>
      <c r="AH1039" s="106">
        <v>29261.446452476572</v>
      </c>
      <c r="AI1039" s="106">
        <v>39645.637884872827</v>
      </c>
      <c r="AJ1039" s="106">
        <v>59302.527443105755</v>
      </c>
      <c r="AK1039" s="104">
        <v>40479.226238286479</v>
      </c>
      <c r="AM1039" s="118">
        <v>1467</v>
      </c>
      <c r="AN1039" s="118">
        <v>80685</v>
      </c>
      <c r="AO1039" s="118">
        <v>345</v>
      </c>
      <c r="AP1039" s="118">
        <f t="shared" si="16"/>
        <v>300</v>
      </c>
    </row>
    <row r="1040" spans="1:42" ht="12.75">
      <c r="A1040" s="106">
        <v>2018</v>
      </c>
      <c r="B1040" s="106">
        <v>-101569</v>
      </c>
      <c r="C1040" s="106">
        <v>0</v>
      </c>
      <c r="D1040" s="106">
        <v>101569</v>
      </c>
      <c r="E1040" s="106" t="s">
        <v>1770</v>
      </c>
      <c r="F1040" s="106" t="s">
        <v>377</v>
      </c>
      <c r="G1040" s="106" t="s">
        <v>85</v>
      </c>
      <c r="H1040" s="106">
        <v>4</v>
      </c>
      <c r="I1040" s="106" t="s">
        <v>24</v>
      </c>
      <c r="J1040" s="106">
        <v>4440</v>
      </c>
      <c r="K1040" s="106">
        <v>7123</v>
      </c>
      <c r="L1040" s="106">
        <v>7262</v>
      </c>
      <c r="M1040" s="106">
        <v>0.83</v>
      </c>
      <c r="N1040" s="106">
        <v>0</v>
      </c>
      <c r="O1040" s="106">
        <v>0.41</v>
      </c>
      <c r="P1040" s="106">
        <v>3782</v>
      </c>
      <c r="Q1040" s="106">
        <v>786.8267651888342</v>
      </c>
      <c r="R1040" s="106">
        <v>0.18283406295193769</v>
      </c>
      <c r="S1040" s="106">
        <v>16226.791871921183</v>
      </c>
      <c r="T1040" s="106">
        <v>20655.893678160919</v>
      </c>
      <c r="U1040" s="106">
        <v>11779.54129425174</v>
      </c>
      <c r="V1040" s="106">
        <v>0.29854093631578105</v>
      </c>
      <c r="W1040" s="106">
        <v>79389.798099762469</v>
      </c>
      <c r="X1040" s="110">
        <v>0.4428271713303914</v>
      </c>
      <c r="Y1040" s="106">
        <v>584.68799999999999</v>
      </c>
      <c r="Z1040" s="106">
        <v>19.488</v>
      </c>
      <c r="AA1040" s="106">
        <v>42448.169515972244</v>
      </c>
      <c r="AB1040" s="106">
        <v>392.6191417343573</v>
      </c>
      <c r="AC1040" s="106">
        <v>2.3558141879916015</v>
      </c>
      <c r="AD1040" s="106">
        <v>30.21904336164506</v>
      </c>
      <c r="AE1040" s="106">
        <v>108.11538461538461</v>
      </c>
      <c r="AF1040" s="106">
        <v>-5.782143277344695E-3</v>
      </c>
      <c r="AG1040" s="106">
        <v>3570</v>
      </c>
      <c r="AH1040" s="106">
        <v>14174.855911330049</v>
      </c>
      <c r="AI1040" s="106">
        <v>14174.855911330049</v>
      </c>
      <c r="AJ1040" s="106">
        <v>16250.589901477833</v>
      </c>
      <c r="AK1040" s="104">
        <v>14290.179802955665</v>
      </c>
      <c r="AL1040" s="118">
        <v>13666306</v>
      </c>
      <c r="AM1040" s="118">
        <v>3248</v>
      </c>
      <c r="AN1040" s="118">
        <v>73086</v>
      </c>
      <c r="AO1040" s="118">
        <v>316</v>
      </c>
      <c r="AP1040" s="118">
        <f t="shared" si="16"/>
        <v>870</v>
      </c>
    </row>
    <row r="1041" spans="1:42" ht="12.75">
      <c r="A1041" s="106">
        <v>2018</v>
      </c>
      <c r="B1041" s="106">
        <v>-192323</v>
      </c>
      <c r="C1041" s="106">
        <v>0</v>
      </c>
      <c r="D1041" s="106">
        <v>192323</v>
      </c>
      <c r="E1041" s="106" t="s">
        <v>1771</v>
      </c>
      <c r="F1041" s="106" t="s">
        <v>1772</v>
      </c>
      <c r="G1041" s="106" t="s">
        <v>69</v>
      </c>
      <c r="H1041" s="106">
        <v>6</v>
      </c>
      <c r="I1041" s="106" t="s">
        <v>3640</v>
      </c>
      <c r="J1041" s="106">
        <v>33905</v>
      </c>
      <c r="K1041" s="106">
        <v>23681</v>
      </c>
      <c r="L1041" s="106">
        <v>16199</v>
      </c>
      <c r="M1041" s="106">
        <v>0.36</v>
      </c>
      <c r="N1041" s="106">
        <v>0.76</v>
      </c>
      <c r="O1041" s="106">
        <v>1</v>
      </c>
      <c r="P1041" s="107">
        <v>20816</v>
      </c>
      <c r="Q1041" s="106">
        <v>12897.694320547131</v>
      </c>
      <c r="R1041" s="106">
        <v>0.4530329289391874</v>
      </c>
      <c r="S1041" s="106">
        <v>25213.821587867977</v>
      </c>
      <c r="T1041" s="106">
        <v>25294.91287540886</v>
      </c>
      <c r="U1041" s="106">
        <v>20094.562482769372</v>
      </c>
      <c r="V1041" s="106">
        <v>0.77493439341191372</v>
      </c>
      <c r="W1041" s="106">
        <v>81854.200493522512</v>
      </c>
      <c r="X1041" s="110">
        <v>0.51992736484055968</v>
      </c>
      <c r="Y1041" s="106">
        <v>433.34932533733132</v>
      </c>
      <c r="Z1041" s="106">
        <v>15.125937031484257</v>
      </c>
      <c r="AA1041" s="106">
        <v>61267.464759341245</v>
      </c>
      <c r="AB1041" s="106">
        <v>701.39508479214294</v>
      </c>
      <c r="AC1041" s="106">
        <v>1.6321876609845085</v>
      </c>
      <c r="AD1041" s="106">
        <v>36.681077485866318</v>
      </c>
      <c r="AE1041" s="106">
        <v>87.350861287398004</v>
      </c>
      <c r="AF1041" s="106">
        <v>6.6922438661869157E-2</v>
      </c>
      <c r="AG1041" s="106">
        <v>32840</v>
      </c>
      <c r="AH1041" s="106">
        <v>22932.488254534641</v>
      </c>
      <c r="AI1041" s="106">
        <v>25213.821587867977</v>
      </c>
      <c r="AJ1041" s="106">
        <v>29884.958073148973</v>
      </c>
      <c r="AK1041" s="104">
        <v>20981.618198037468</v>
      </c>
      <c r="AL1041" s="118">
        <v>230880</v>
      </c>
      <c r="AM1041" s="118">
        <v>2788</v>
      </c>
      <c r="AN1041" s="118">
        <v>96348</v>
      </c>
      <c r="AO1041" s="118">
        <v>756</v>
      </c>
      <c r="AP1041" s="118">
        <f t="shared" si="16"/>
        <v>1065</v>
      </c>
    </row>
    <row r="1042" spans="1:42" ht="12.75">
      <c r="A1042" s="106">
        <v>2018</v>
      </c>
      <c r="B1042" s="106">
        <v>-220604</v>
      </c>
      <c r="C1042" s="106">
        <v>0</v>
      </c>
      <c r="D1042" s="106">
        <v>220604</v>
      </c>
      <c r="E1042" s="106" t="s">
        <v>1773</v>
      </c>
      <c r="F1042" s="106" t="s">
        <v>733</v>
      </c>
      <c r="G1042" s="106" t="s">
        <v>255</v>
      </c>
      <c r="H1042" s="106">
        <v>7</v>
      </c>
      <c r="I1042" s="106" t="s">
        <v>3641</v>
      </c>
      <c r="J1042" s="106">
        <v>11196</v>
      </c>
      <c r="K1042" s="106">
        <v>7809</v>
      </c>
      <c r="L1042" s="106">
        <v>9117</v>
      </c>
      <c r="M1042" s="106">
        <v>0.88</v>
      </c>
      <c r="N1042" s="106">
        <v>0.81</v>
      </c>
      <c r="O1042" s="106">
        <v>0.17</v>
      </c>
      <c r="P1042" s="106">
        <v>5299</v>
      </c>
      <c r="Q1042" s="107">
        <v>1851.9902794653706</v>
      </c>
      <c r="R1042" s="106">
        <v>0.16217586782381829</v>
      </c>
      <c r="S1042" s="106">
        <v>20293.888213851762</v>
      </c>
      <c r="T1042" s="106">
        <v>19205.906439854192</v>
      </c>
      <c r="U1042" s="106">
        <v>16691.420413122723</v>
      </c>
      <c r="V1042" s="106">
        <v>0.57320773421404714</v>
      </c>
      <c r="W1042" s="106">
        <v>44324.986928104576</v>
      </c>
      <c r="X1042" s="110">
        <v>0.42904752683095854</v>
      </c>
      <c r="Y1042" s="106">
        <v>418.64406779661016</v>
      </c>
      <c r="Z1042" s="106">
        <v>13.949152542372881</v>
      </c>
      <c r="AA1042" s="106">
        <v>129594.7075471698</v>
      </c>
      <c r="AB1042" s="106">
        <v>556.15542510121452</v>
      </c>
      <c r="AC1042" s="106">
        <v>0.77163644945610188</v>
      </c>
      <c r="AD1042" s="106">
        <v>13.135068153655514</v>
      </c>
      <c r="AE1042" s="106">
        <v>233.01886792452831</v>
      </c>
      <c r="AF1042" s="106">
        <v>2.2203791244816341E-2</v>
      </c>
      <c r="AG1042" s="106">
        <v>10776</v>
      </c>
      <c r="AH1042" s="106">
        <v>18215.377885783717</v>
      </c>
      <c r="AI1042" s="106">
        <v>19806.567436208992</v>
      </c>
      <c r="AJ1042" s="106">
        <v>20896.712029161605</v>
      </c>
      <c r="AK1042" s="104">
        <v>16691.420413122723</v>
      </c>
      <c r="AL1042" s="118"/>
      <c r="AM1042" s="118">
        <v>863</v>
      </c>
      <c r="AN1042" s="118">
        <v>24700</v>
      </c>
      <c r="AO1042" s="118">
        <v>106</v>
      </c>
      <c r="AP1042" s="118">
        <f t="shared" si="16"/>
        <v>420</v>
      </c>
    </row>
    <row r="1043" spans="1:42" ht="12.75">
      <c r="A1043" s="106">
        <v>2018</v>
      </c>
      <c r="B1043" s="106">
        <v>-213507</v>
      </c>
      <c r="C1043" s="106">
        <v>0</v>
      </c>
      <c r="D1043" s="106">
        <v>213507</v>
      </c>
      <c r="E1043" s="106" t="s">
        <v>1776</v>
      </c>
      <c r="F1043" s="106" t="s">
        <v>1777</v>
      </c>
      <c r="G1043" s="106" t="s">
        <v>104</v>
      </c>
      <c r="H1043" s="106">
        <v>6</v>
      </c>
      <c r="I1043" s="106" t="s">
        <v>3640</v>
      </c>
      <c r="J1043" s="106">
        <v>42180</v>
      </c>
      <c r="K1043" s="106">
        <v>27877</v>
      </c>
      <c r="L1043" s="106">
        <v>22397</v>
      </c>
      <c r="M1043" s="106">
        <v>0.28000000000000003</v>
      </c>
      <c r="N1043" s="106">
        <v>0.82</v>
      </c>
      <c r="O1043" s="106">
        <v>0.99</v>
      </c>
      <c r="P1043" s="107">
        <v>25823</v>
      </c>
      <c r="Q1043" s="107">
        <v>20339.008376963349</v>
      </c>
      <c r="R1043" s="106">
        <v>0.53672172891695957</v>
      </c>
      <c r="S1043" s="106">
        <v>32814.395287958112</v>
      </c>
      <c r="T1043" s="106">
        <v>28997.575392670158</v>
      </c>
      <c r="U1043" s="106">
        <v>23833.350222307534</v>
      </c>
      <c r="V1043" s="106">
        <v>0.73660970025602357</v>
      </c>
      <c r="W1043" s="106">
        <v>77657.953687821602</v>
      </c>
      <c r="X1043" s="110">
        <v>0.5449644652543526</v>
      </c>
      <c r="Y1043" s="106">
        <v>318.45508982035926</v>
      </c>
      <c r="Z1043" s="106">
        <v>11.437125748502995</v>
      </c>
      <c r="AA1043" s="106">
        <v>88049.707784540398</v>
      </c>
      <c r="AB1043" s="106">
        <v>855.96064316135892</v>
      </c>
      <c r="AC1043" s="106">
        <v>1.1357221110228126</v>
      </c>
      <c r="AD1043" s="106">
        <v>28.979820627802688</v>
      </c>
      <c r="AE1043" s="106">
        <v>102.86653771760155</v>
      </c>
      <c r="AF1043" s="106">
        <v>8.4367986080585003E-2</v>
      </c>
      <c r="AG1043" s="106">
        <v>40990</v>
      </c>
      <c r="AH1043" s="106">
        <v>25915.367015706805</v>
      </c>
      <c r="AI1043" s="106">
        <v>31892.013089005235</v>
      </c>
      <c r="AJ1043" s="106">
        <v>35367.151308900524</v>
      </c>
      <c r="AK1043" s="104">
        <v>25252.432984293195</v>
      </c>
      <c r="AM1043" s="118">
        <v>1756</v>
      </c>
      <c r="AN1043" s="118">
        <v>53182</v>
      </c>
      <c r="AO1043" s="118">
        <v>404</v>
      </c>
      <c r="AP1043" s="118">
        <f t="shared" si="16"/>
        <v>1190</v>
      </c>
    </row>
    <row r="1044" spans="1:42" ht="12.75">
      <c r="A1044" s="106">
        <v>2018</v>
      </c>
      <c r="B1044" s="106">
        <v>-226204</v>
      </c>
      <c r="C1044" s="106">
        <v>0</v>
      </c>
      <c r="D1044" s="106">
        <v>226204</v>
      </c>
      <c r="E1044" s="106" t="s">
        <v>1778</v>
      </c>
      <c r="F1044" s="106" t="s">
        <v>1779</v>
      </c>
      <c r="G1044" s="106" t="s">
        <v>60</v>
      </c>
      <c r="H1044" s="106">
        <v>4</v>
      </c>
      <c r="I1044" s="106" t="s">
        <v>24</v>
      </c>
      <c r="J1044" s="106">
        <v>1900</v>
      </c>
      <c r="K1044" s="106">
        <v>7702</v>
      </c>
      <c r="L1044" s="106">
        <v>5892</v>
      </c>
      <c r="M1044" s="106">
        <v>0.35</v>
      </c>
      <c r="N1044" s="106">
        <v>0.03</v>
      </c>
      <c r="O1044" s="106">
        <v>0.26</v>
      </c>
      <c r="P1044" s="106">
        <v>1744</v>
      </c>
      <c r="Q1044" s="106">
        <v>1404.7325933400605</v>
      </c>
      <c r="R1044" s="106">
        <v>0.45417672674853582</v>
      </c>
      <c r="S1044" s="106">
        <v>14022.846619576185</v>
      </c>
      <c r="T1044" s="106">
        <v>13459.258526740667</v>
      </c>
      <c r="U1044" s="106">
        <v>9249.4002000943692</v>
      </c>
      <c r="V1044" s="106">
        <v>0.18251865594682515</v>
      </c>
      <c r="W1044" s="106">
        <v>79568.593128390596</v>
      </c>
      <c r="X1044" s="110">
        <v>0.65978436009882413</v>
      </c>
      <c r="Y1044" s="106">
        <v>605.92663043478262</v>
      </c>
      <c r="Z1044" s="106">
        <v>20.197010869565219</v>
      </c>
      <c r="AA1044" s="106">
        <v>15145.663579467149</v>
      </c>
      <c r="AB1044" s="106">
        <v>308.30504387011177</v>
      </c>
      <c r="AC1044" s="106">
        <v>6.6025499295764867</v>
      </c>
      <c r="AD1044" s="106">
        <v>86.704871060171911</v>
      </c>
      <c r="AE1044" s="106">
        <v>49.125578321216125</v>
      </c>
      <c r="AF1044" s="106">
        <v>7.0488216651919566E-2</v>
      </c>
      <c r="AG1044" s="106">
        <v>1352</v>
      </c>
      <c r="AH1044" s="106">
        <v>12664.020383451059</v>
      </c>
      <c r="AI1044" s="106">
        <v>12767.263572149344</v>
      </c>
      <c r="AJ1044" s="106">
        <v>14053.606861755803</v>
      </c>
      <c r="AK1044" s="104">
        <v>11377.437941473259</v>
      </c>
      <c r="AL1044" s="119">
        <v>41742866</v>
      </c>
      <c r="AM1044" s="118">
        <v>7717</v>
      </c>
      <c r="AN1044" s="118">
        <v>148654</v>
      </c>
      <c r="AO1044" s="118">
        <v>1132</v>
      </c>
      <c r="AP1044" s="118">
        <f t="shared" si="16"/>
        <v>548</v>
      </c>
    </row>
    <row r="1045" spans="1:42" ht="12.75">
      <c r="A1045" s="106">
        <v>2018</v>
      </c>
      <c r="B1045" s="106">
        <v>-220613</v>
      </c>
      <c r="C1045" s="106">
        <v>0</v>
      </c>
      <c r="D1045" s="106">
        <v>220613</v>
      </c>
      <c r="E1045" s="106" t="s">
        <v>1780</v>
      </c>
      <c r="F1045" s="106" t="s">
        <v>624</v>
      </c>
      <c r="G1045" s="106" t="s">
        <v>255</v>
      </c>
      <c r="H1045" s="106">
        <v>6</v>
      </c>
      <c r="I1045" s="106" t="s">
        <v>3640</v>
      </c>
      <c r="J1045" s="106">
        <v>16730</v>
      </c>
      <c r="K1045" s="106">
        <v>17558</v>
      </c>
      <c r="L1045" s="106">
        <v>15403</v>
      </c>
      <c r="M1045" s="106">
        <v>0.33</v>
      </c>
      <c r="N1045" s="106">
        <v>0.88</v>
      </c>
      <c r="O1045" s="106">
        <v>0.82</v>
      </c>
      <c r="P1045" s="106">
        <v>9698</v>
      </c>
      <c r="Q1045" s="106">
        <v>5817.1914036265953</v>
      </c>
      <c r="R1045" s="106">
        <v>0.34096745953531454</v>
      </c>
      <c r="S1045" s="106">
        <v>16744.141929706737</v>
      </c>
      <c r="T1045" s="106">
        <v>16409.18983657936</v>
      </c>
      <c r="U1045" s="106">
        <v>14219.267965077233</v>
      </c>
      <c r="V1045" s="106">
        <v>0.7907333210847346</v>
      </c>
      <c r="W1045" s="106">
        <v>54522.810271041366</v>
      </c>
      <c r="X1045" s="110">
        <v>0.52142657152195304</v>
      </c>
      <c r="Y1045" s="106">
        <v>457.51216685979142</v>
      </c>
      <c r="Z1045" s="106">
        <v>15.528389339513325</v>
      </c>
      <c r="AA1045" s="106">
        <v>62272.029411764706</v>
      </c>
      <c r="AB1045" s="106">
        <v>482.61520693559049</v>
      </c>
      <c r="AC1045" s="106">
        <v>1.6058574121418878</v>
      </c>
      <c r="AD1045" s="106">
        <v>22.256164084660703</v>
      </c>
      <c r="AE1045" s="106">
        <v>129.03039215686275</v>
      </c>
      <c r="AF1045" s="106">
        <v>1.7012548889476412E-2</v>
      </c>
      <c r="AG1045" s="106">
        <v>16080</v>
      </c>
      <c r="AH1045" s="106">
        <v>15556.739198567271</v>
      </c>
      <c r="AI1045" s="106">
        <v>16779.816207745691</v>
      </c>
      <c r="AJ1045" s="106">
        <v>16958.184016118201</v>
      </c>
      <c r="AK1045" s="104">
        <v>14219.267965077233</v>
      </c>
      <c r="AM1045" s="118">
        <v>4860</v>
      </c>
      <c r="AN1045" s="118">
        <v>131611</v>
      </c>
      <c r="AO1045" s="118">
        <v>879</v>
      </c>
      <c r="AP1045" s="118">
        <f t="shared" si="16"/>
        <v>650</v>
      </c>
    </row>
    <row r="1046" spans="1:42" ht="12.75">
      <c r="A1046" s="106">
        <v>2018</v>
      </c>
      <c r="B1046" s="106">
        <v>-198808</v>
      </c>
      <c r="C1046" s="106">
        <v>0</v>
      </c>
      <c r="D1046" s="106">
        <v>198808</v>
      </c>
      <c r="E1046" s="106" t="s">
        <v>1781</v>
      </c>
      <c r="F1046" s="106" t="s">
        <v>1782</v>
      </c>
      <c r="G1046" s="106" t="s">
        <v>90</v>
      </c>
      <c r="H1046" s="106">
        <v>7</v>
      </c>
      <c r="I1046" s="106" t="s">
        <v>3641</v>
      </c>
      <c r="J1046" s="106">
        <v>26198</v>
      </c>
      <c r="K1046" s="106">
        <v>22356</v>
      </c>
      <c r="L1046" s="106">
        <v>18118</v>
      </c>
      <c r="M1046" s="106">
        <v>0.5</v>
      </c>
      <c r="N1046" s="106">
        <v>0.75</v>
      </c>
      <c r="O1046" s="106">
        <v>1</v>
      </c>
      <c r="P1046" s="106">
        <v>14658</v>
      </c>
      <c r="Q1046" s="106">
        <v>9400.6451271186434</v>
      </c>
      <c r="R1046" s="106">
        <v>0.50609905141455169</v>
      </c>
      <c r="S1046" s="106">
        <v>21471.080508474577</v>
      </c>
      <c r="T1046" s="106">
        <v>20262.096398305086</v>
      </c>
      <c r="U1046" s="106">
        <v>15997.045163117775</v>
      </c>
      <c r="V1046" s="106">
        <v>0.57348521319947343</v>
      </c>
      <c r="W1046" s="106">
        <v>49578.132427843804</v>
      </c>
      <c r="X1046" s="110">
        <v>0.50889458739833116</v>
      </c>
      <c r="Y1046" s="106">
        <v>367.93506493506493</v>
      </c>
      <c r="Z1046" s="106">
        <v>12.25974025974026</v>
      </c>
      <c r="AA1046" s="106">
        <v>63450.464848668824</v>
      </c>
      <c r="AB1046" s="106">
        <v>533.02780113597044</v>
      </c>
      <c r="AC1046" s="106">
        <v>1.5760325828739452</v>
      </c>
      <c r="AD1046" s="106">
        <v>26.356589147286826</v>
      </c>
      <c r="AE1046" s="106">
        <v>119.03781512605042</v>
      </c>
      <c r="AF1046" s="106">
        <v>5.9670311758631869E-2</v>
      </c>
      <c r="AG1046" s="106">
        <v>24878</v>
      </c>
      <c r="AH1046" s="106">
        <v>16819.573093220341</v>
      </c>
      <c r="AI1046" s="106">
        <v>21558.0031779661</v>
      </c>
      <c r="AJ1046" s="106">
        <v>21965.783898305086</v>
      </c>
      <c r="AK1046" s="104">
        <v>16839.2468220339</v>
      </c>
      <c r="AL1046" s="118"/>
      <c r="AM1046" s="118">
        <v>921</v>
      </c>
      <c r="AN1046" s="118">
        <v>28331</v>
      </c>
      <c r="AO1046" s="118">
        <v>238</v>
      </c>
      <c r="AP1046" s="118">
        <f t="shared" si="16"/>
        <v>1320</v>
      </c>
    </row>
    <row r="1047" spans="1:42" ht="12.75">
      <c r="A1047" s="106">
        <v>2018</v>
      </c>
      <c r="B1047" s="106">
        <v>-141811</v>
      </c>
      <c r="C1047" s="106">
        <v>0</v>
      </c>
      <c r="D1047" s="106">
        <v>141811</v>
      </c>
      <c r="E1047" s="106" t="s">
        <v>1783</v>
      </c>
      <c r="F1047" s="106" t="s">
        <v>1784</v>
      </c>
      <c r="G1047" s="106" t="s">
        <v>453</v>
      </c>
      <c r="H1047" s="106">
        <v>4</v>
      </c>
      <c r="I1047" s="106" t="s">
        <v>24</v>
      </c>
      <c r="J1047" s="106">
        <v>3084</v>
      </c>
      <c r="K1047" s="106">
        <v>4548</v>
      </c>
      <c r="L1047" s="106">
        <v>3367</v>
      </c>
      <c r="M1047" s="106">
        <v>0.37</v>
      </c>
      <c r="N1047" s="106">
        <v>7.0000000000000007E-2</v>
      </c>
      <c r="O1047" s="106">
        <v>0.32</v>
      </c>
      <c r="P1047" s="106">
        <v>1046</v>
      </c>
      <c r="Q1047" s="106">
        <v>536.81325000000004</v>
      </c>
      <c r="R1047" s="106">
        <v>0.11441571523296387</v>
      </c>
      <c r="S1047" s="106">
        <v>15701.941500000001</v>
      </c>
      <c r="T1047" s="106">
        <v>15672.70075</v>
      </c>
      <c r="U1047" s="106">
        <v>12480.704548261228</v>
      </c>
      <c r="V1047" s="106">
        <v>0.33291115368794272</v>
      </c>
      <c r="W1047" s="106">
        <v>122986.36576889661</v>
      </c>
      <c r="X1047" s="110">
        <v>0.75267450314841233</v>
      </c>
      <c r="Y1047" s="106">
        <v>602.07692307692309</v>
      </c>
      <c r="Z1047" s="106">
        <v>20.066889632107021</v>
      </c>
      <c r="AA1047" s="106">
        <v>45302.012879351103</v>
      </c>
      <c r="AB1047" s="106">
        <v>415.97495453067904</v>
      </c>
      <c r="AC1047" s="106">
        <v>2.2074074338886724</v>
      </c>
      <c r="AD1047" s="106">
        <v>26.592664092664091</v>
      </c>
      <c r="AE1047" s="106">
        <v>108.90562613430127</v>
      </c>
      <c r="AF1047" s="106">
        <v>6.0828897798874682E-3</v>
      </c>
      <c r="AG1047" s="106">
        <v>3024</v>
      </c>
      <c r="AH1047" s="106">
        <v>14954.366749999999</v>
      </c>
      <c r="AI1047" s="106">
        <v>14954.366749999999</v>
      </c>
      <c r="AJ1047" s="106">
        <v>15734.89525</v>
      </c>
      <c r="AK1047" s="104">
        <v>14104.04825</v>
      </c>
      <c r="AL1047" s="119">
        <v>24821105</v>
      </c>
      <c r="AM1047" s="118">
        <v>6805</v>
      </c>
      <c r="AN1047" s="118">
        <v>120014</v>
      </c>
      <c r="AO1047" s="118">
        <v>928</v>
      </c>
      <c r="AP1047" s="118">
        <f t="shared" si="16"/>
        <v>60</v>
      </c>
    </row>
    <row r="1048" spans="1:42" ht="12.75">
      <c r="A1048" s="106">
        <v>2018</v>
      </c>
      <c r="B1048" s="106">
        <v>-213525</v>
      </c>
      <c r="C1048" s="106">
        <v>0</v>
      </c>
      <c r="D1048" s="106">
        <v>213525</v>
      </c>
      <c r="E1048" s="106" t="s">
        <v>1785</v>
      </c>
      <c r="F1048" s="106" t="s">
        <v>1786</v>
      </c>
      <c r="G1048" s="106" t="s">
        <v>104</v>
      </c>
      <c r="H1048" s="106">
        <v>4</v>
      </c>
      <c r="I1048" s="106" t="s">
        <v>24</v>
      </c>
      <c r="J1048" s="106">
        <v>3990</v>
      </c>
      <c r="K1048" s="106">
        <v>5700</v>
      </c>
      <c r="L1048" s="106">
        <v>4807</v>
      </c>
      <c r="M1048" s="106">
        <v>0.49</v>
      </c>
      <c r="N1048" s="106">
        <v>0.39</v>
      </c>
      <c r="O1048" s="106">
        <v>0.15</v>
      </c>
      <c r="P1048" s="106">
        <v>1352</v>
      </c>
      <c r="Q1048" s="106">
        <v>298.48326608117731</v>
      </c>
      <c r="R1048" s="106">
        <v>4.6602894648610851E-2</v>
      </c>
      <c r="S1048" s="106">
        <v>12281.462615713268</v>
      </c>
      <c r="T1048" s="106">
        <v>13021.229527652504</v>
      </c>
      <c r="U1048" s="106">
        <v>11405.752195585093</v>
      </c>
      <c r="V1048" s="106">
        <v>0.53537365037533791</v>
      </c>
      <c r="W1048" s="106">
        <v>69933.980635166532</v>
      </c>
      <c r="X1048" s="110">
        <v>0.54859239526315362</v>
      </c>
      <c r="Y1048" s="106">
        <v>536.35077793493633</v>
      </c>
      <c r="Z1048" s="106">
        <v>17.876944837340879</v>
      </c>
      <c r="AA1048" s="106">
        <v>54357.957013574662</v>
      </c>
      <c r="AB1048" s="106">
        <v>380.16166139240505</v>
      </c>
      <c r="AC1048" s="106">
        <v>1.8396570712734344</v>
      </c>
      <c r="AD1048" s="106">
        <v>22.211055276381909</v>
      </c>
      <c r="AE1048" s="106">
        <v>142.98642533936652</v>
      </c>
      <c r="AF1048" s="106">
        <v>2.3365935002826431E-2</v>
      </c>
      <c r="AG1048" s="106">
        <v>3000</v>
      </c>
      <c r="AH1048" s="106">
        <v>10979.356990268217</v>
      </c>
      <c r="AI1048" s="106">
        <v>10979.356990268217</v>
      </c>
      <c r="AJ1048" s="106">
        <v>12347.818656539283</v>
      </c>
      <c r="AK1048" s="104">
        <v>12969.532399715168</v>
      </c>
      <c r="AL1048" s="118">
        <v>18310231</v>
      </c>
      <c r="AM1048" s="118">
        <v>6956</v>
      </c>
      <c r="AN1048" s="118">
        <v>126400</v>
      </c>
      <c r="AO1048" s="118">
        <v>802</v>
      </c>
      <c r="AP1048" s="118">
        <f t="shared" si="16"/>
        <v>990</v>
      </c>
    </row>
    <row r="1049" spans="1:42" ht="12.75">
      <c r="A1049" s="106">
        <v>2018</v>
      </c>
      <c r="B1049" s="106">
        <v>-213543</v>
      </c>
      <c r="C1049" s="106">
        <v>0</v>
      </c>
      <c r="D1049" s="106">
        <v>213543</v>
      </c>
      <c r="E1049" s="106" t="s">
        <v>1787</v>
      </c>
      <c r="F1049" s="106" t="s">
        <v>1788</v>
      </c>
      <c r="G1049" s="106" t="s">
        <v>104</v>
      </c>
      <c r="H1049" s="106">
        <v>5</v>
      </c>
      <c r="I1049" s="106" t="s">
        <v>3639</v>
      </c>
      <c r="J1049" s="106">
        <v>50740</v>
      </c>
      <c r="K1049" s="106">
        <v>26782</v>
      </c>
      <c r="L1049" s="106">
        <v>12835</v>
      </c>
      <c r="M1049" s="106">
        <v>0.16</v>
      </c>
      <c r="N1049" s="106">
        <v>0.43</v>
      </c>
      <c r="O1049" s="106">
        <v>0.49</v>
      </c>
      <c r="P1049" s="106">
        <v>37543</v>
      </c>
      <c r="Q1049" s="106">
        <v>15594.635322483424</v>
      </c>
      <c r="R1049" s="106">
        <v>0.34886645203701522</v>
      </c>
      <c r="S1049" s="106">
        <v>54264.31585292345</v>
      </c>
      <c r="T1049" s="106">
        <v>61072.182037371909</v>
      </c>
      <c r="U1049" s="106">
        <v>43186.594943191201</v>
      </c>
      <c r="V1049" s="106">
        <v>0.67396465816066242</v>
      </c>
      <c r="W1049" s="106">
        <v>129760.47024246877</v>
      </c>
      <c r="X1049" s="110">
        <v>0.58101782740114738</v>
      </c>
      <c r="Y1049" s="106">
        <v>333.95596755504056</v>
      </c>
      <c r="Z1049" s="106">
        <v>11.534183082271147</v>
      </c>
      <c r="AA1049" s="106">
        <v>137848.12123281232</v>
      </c>
      <c r="AB1049" s="106">
        <v>1491.5801517831994</v>
      </c>
      <c r="AC1049" s="106">
        <v>0.72543607490383966</v>
      </c>
      <c r="AD1049" s="106">
        <v>31.82305219654064</v>
      </c>
      <c r="AE1049" s="106">
        <v>92.417508417508415</v>
      </c>
      <c r="AF1049" s="106">
        <v>5.9671864342133139E-2</v>
      </c>
      <c r="AG1049" s="106">
        <v>50320</v>
      </c>
      <c r="AH1049" s="106">
        <v>45750.904159132006</v>
      </c>
      <c r="AI1049" s="106">
        <v>54070.976491862566</v>
      </c>
      <c r="AJ1049" s="106">
        <v>77615.883062085588</v>
      </c>
      <c r="AK1049" s="104">
        <v>53536.166365280289</v>
      </c>
      <c r="AM1049" s="118">
        <v>5075</v>
      </c>
      <c r="AN1049" s="118">
        <v>192136</v>
      </c>
      <c r="AO1049" s="118">
        <v>1308</v>
      </c>
      <c r="AP1049" s="118">
        <f t="shared" si="16"/>
        <v>420</v>
      </c>
    </row>
    <row r="1050" spans="1:42" ht="12.75">
      <c r="A1050" s="106">
        <v>2018</v>
      </c>
      <c r="B1050" s="106">
        <v>-198817</v>
      </c>
      <c r="C1050" s="106">
        <v>0</v>
      </c>
      <c r="D1050" s="106">
        <v>198817</v>
      </c>
      <c r="E1050" s="106" t="s">
        <v>1789</v>
      </c>
      <c r="F1050" s="106" t="s">
        <v>1790</v>
      </c>
      <c r="G1050" s="106" t="s">
        <v>90</v>
      </c>
      <c r="H1050" s="106">
        <v>4</v>
      </c>
      <c r="I1050" s="106" t="s">
        <v>24</v>
      </c>
      <c r="J1050" s="106">
        <v>2551</v>
      </c>
      <c r="K1050" s="106">
        <v>5021</v>
      </c>
      <c r="L1050" s="106">
        <v>3344</v>
      </c>
      <c r="M1050" s="106">
        <v>0.61</v>
      </c>
      <c r="N1050" s="106">
        <v>0.02</v>
      </c>
      <c r="O1050" s="106">
        <v>0.27</v>
      </c>
      <c r="P1050" s="106">
        <v>982</v>
      </c>
      <c r="Q1050" s="107">
        <v>51.531584582441113</v>
      </c>
      <c r="R1050" s="106">
        <v>2.2995796012733796E-2</v>
      </c>
      <c r="S1050" s="106">
        <v>16274.451284796574</v>
      </c>
      <c r="T1050" s="106">
        <v>18582.914882226982</v>
      </c>
      <c r="U1050" s="106">
        <v>14867.404710920771</v>
      </c>
      <c r="V1050" s="106">
        <v>0.14726051615724323</v>
      </c>
      <c r="W1050" s="106">
        <v>71229.497441146363</v>
      </c>
      <c r="X1050" s="110">
        <v>0.66825540429728036</v>
      </c>
      <c r="Y1050" s="106">
        <v>272.52350081037275</v>
      </c>
      <c r="Z1050" s="106">
        <v>9.0826580226904365</v>
      </c>
      <c r="AA1050" s="106">
        <v>25596.600921658985</v>
      </c>
      <c r="AB1050" s="106">
        <v>495.50057984977428</v>
      </c>
      <c r="AC1050" s="106">
        <v>3.9067687270688878</v>
      </c>
      <c r="AD1050" s="106">
        <v>69.240587109125713</v>
      </c>
      <c r="AE1050" s="106">
        <v>51.658064516129031</v>
      </c>
      <c r="AF1050" s="106">
        <v>-6.4184182005878651E-2</v>
      </c>
      <c r="AG1050" s="106">
        <v>2432</v>
      </c>
      <c r="AH1050" s="106">
        <v>14972.891327623127</v>
      </c>
      <c r="AI1050" s="106">
        <v>14997.704496788008</v>
      </c>
      <c r="AJ1050" s="106">
        <v>16280.246788008566</v>
      </c>
      <c r="AK1050" s="104">
        <v>16442.13704496788</v>
      </c>
      <c r="AL1050" s="118">
        <v>21684041</v>
      </c>
      <c r="AM1050" s="118">
        <v>2664</v>
      </c>
      <c r="AN1050" s="118">
        <v>56049</v>
      </c>
      <c r="AO1050" s="118">
        <v>417</v>
      </c>
      <c r="AP1050" s="118">
        <f t="shared" si="16"/>
        <v>119</v>
      </c>
    </row>
    <row r="1051" spans="1:42" ht="12.75">
      <c r="A1051" s="106">
        <v>2018</v>
      </c>
      <c r="B1051" s="106">
        <v>-198835</v>
      </c>
      <c r="C1051" s="106">
        <v>0</v>
      </c>
      <c r="D1051" s="106">
        <v>198835</v>
      </c>
      <c r="E1051" s="106" t="s">
        <v>1791</v>
      </c>
      <c r="F1051" s="106" t="s">
        <v>631</v>
      </c>
      <c r="G1051" s="106" t="s">
        <v>90</v>
      </c>
      <c r="H1051" s="106">
        <v>6</v>
      </c>
      <c r="I1051" s="106" t="s">
        <v>3640</v>
      </c>
      <c r="J1051" s="106">
        <v>35350</v>
      </c>
      <c r="K1051" s="106">
        <v>18927</v>
      </c>
      <c r="L1051" s="106">
        <v>17205</v>
      </c>
      <c r="M1051" s="106">
        <v>0.52</v>
      </c>
      <c r="N1051" s="106">
        <v>0.72</v>
      </c>
      <c r="O1051" s="106">
        <v>1</v>
      </c>
      <c r="P1051" s="106">
        <v>24580</v>
      </c>
      <c r="Q1051" s="107">
        <v>12997.243311036789</v>
      </c>
      <c r="R1051" s="106">
        <v>0.49896567366748618</v>
      </c>
      <c r="S1051" s="106">
        <v>21742.787207357858</v>
      </c>
      <c r="T1051" s="106">
        <v>21979.153846153848</v>
      </c>
      <c r="U1051" s="106">
        <v>18924.701528759881</v>
      </c>
      <c r="V1051" s="106">
        <v>0.68963456700481107</v>
      </c>
      <c r="W1051" s="106">
        <v>78738.086788813889</v>
      </c>
      <c r="X1051" s="110">
        <v>0.51769052372063706</v>
      </c>
      <c r="Y1051" s="106">
        <v>377.71751412429376</v>
      </c>
      <c r="Z1051" s="106">
        <v>13.514124293785311</v>
      </c>
      <c r="AA1051" s="106">
        <v>76986.200776859914</v>
      </c>
      <c r="AB1051" s="106">
        <v>677.09534008605999</v>
      </c>
      <c r="AC1051" s="106">
        <v>1.2989340815744923</v>
      </c>
      <c r="AD1051" s="106">
        <v>27.463801961700142</v>
      </c>
      <c r="AE1051" s="106">
        <v>113.70068027210884</v>
      </c>
      <c r="AF1051" s="106">
        <v>5.2746594273188653E-2</v>
      </c>
      <c r="AG1051" s="106">
        <v>35350</v>
      </c>
      <c r="AH1051" s="106">
        <v>18431.501254180603</v>
      </c>
      <c r="AI1051" s="106">
        <v>22199.747909698995</v>
      </c>
      <c r="AJ1051" s="106">
        <v>25189.550167224079</v>
      </c>
      <c r="AK1051" s="104">
        <v>19391.509615384617</v>
      </c>
      <c r="AL1051" s="118"/>
      <c r="AM1051" s="118">
        <v>1699</v>
      </c>
      <c r="AN1051" s="118">
        <v>66856</v>
      </c>
      <c r="AO1051" s="118">
        <v>285</v>
      </c>
      <c r="AP1051" s="118">
        <f t="shared" si="16"/>
        <v>0</v>
      </c>
    </row>
    <row r="1052" spans="1:42" ht="12.75">
      <c r="A1052" s="106">
        <v>2018</v>
      </c>
      <c r="B1052" s="106">
        <v>-166452</v>
      </c>
      <c r="C1052" s="106">
        <v>0</v>
      </c>
      <c r="D1052" s="106">
        <v>166452</v>
      </c>
      <c r="E1052" s="106" t="s">
        <v>1792</v>
      </c>
      <c r="F1052" s="106" t="s">
        <v>573</v>
      </c>
      <c r="G1052" s="106" t="s">
        <v>150</v>
      </c>
      <c r="H1052" s="106">
        <v>5</v>
      </c>
      <c r="I1052" s="106" t="s">
        <v>3639</v>
      </c>
      <c r="J1052" s="106">
        <v>26675</v>
      </c>
      <c r="K1052" s="106">
        <v>32225</v>
      </c>
      <c r="L1052" s="106">
        <v>26078</v>
      </c>
      <c r="M1052" s="106">
        <v>0.32</v>
      </c>
      <c r="N1052" s="106">
        <v>0.85</v>
      </c>
      <c r="O1052" s="106">
        <v>0.96</v>
      </c>
      <c r="P1052" s="106">
        <v>11165</v>
      </c>
      <c r="Q1052" s="106">
        <v>4618.9194352159466</v>
      </c>
      <c r="R1052" s="106">
        <v>0.19139893074734318</v>
      </c>
      <c r="S1052" s="106">
        <v>26116.403100775195</v>
      </c>
      <c r="T1052" s="106">
        <v>29714.729512735328</v>
      </c>
      <c r="U1052" s="106">
        <v>25843.857696567</v>
      </c>
      <c r="V1052" s="106">
        <v>0.75505371758632167</v>
      </c>
      <c r="W1052" s="106">
        <v>100267.6006097561</v>
      </c>
      <c r="X1052" s="110">
        <v>0.61283694490139873</v>
      </c>
      <c r="Y1052" s="106">
        <v>326.80851063829789</v>
      </c>
      <c r="Z1052" s="106">
        <v>12.134378499440091</v>
      </c>
      <c r="AA1052" s="106">
        <v>66677.152857142864</v>
      </c>
      <c r="AB1052" s="106">
        <v>959.58073601973683</v>
      </c>
      <c r="AC1052" s="106">
        <v>1.4997640978200135</v>
      </c>
      <c r="AD1052" s="106">
        <v>42.918454935622321</v>
      </c>
      <c r="AE1052" s="106">
        <v>69.48571428571428</v>
      </c>
      <c r="AF1052" s="106">
        <v>8.5531289549336826E-3</v>
      </c>
      <c r="AG1052" s="106">
        <v>26300</v>
      </c>
      <c r="AH1052" s="106">
        <v>25374.644518272424</v>
      </c>
      <c r="AI1052" s="106">
        <v>26269.319490586931</v>
      </c>
      <c r="AJ1052" s="106">
        <v>30357.023809523809</v>
      </c>
      <c r="AK1052" s="104">
        <v>25843.857696567</v>
      </c>
      <c r="AL1052" s="118"/>
      <c r="AM1052" s="118">
        <v>2096</v>
      </c>
      <c r="AN1052" s="118">
        <v>97280</v>
      </c>
      <c r="AO1052" s="118">
        <v>397</v>
      </c>
      <c r="AP1052" s="118">
        <f t="shared" si="16"/>
        <v>375</v>
      </c>
    </row>
    <row r="1053" spans="1:42" ht="12.75">
      <c r="A1053" s="106">
        <v>2018</v>
      </c>
      <c r="B1053" s="106">
        <v>-226231</v>
      </c>
      <c r="C1053" s="106">
        <v>0</v>
      </c>
      <c r="D1053" s="106">
        <v>226231</v>
      </c>
      <c r="E1053" s="106" t="s">
        <v>1774</v>
      </c>
      <c r="F1053" s="106" t="s">
        <v>1775</v>
      </c>
      <c r="G1053" s="106" t="s">
        <v>60</v>
      </c>
      <c r="H1053" s="106">
        <v>6</v>
      </c>
      <c r="I1053" s="106" t="s">
        <v>3640</v>
      </c>
      <c r="J1053" s="106">
        <v>29320</v>
      </c>
      <c r="K1053" s="106">
        <v>23386</v>
      </c>
      <c r="L1053" s="106">
        <v>19370</v>
      </c>
      <c r="M1053" s="106">
        <v>0.37</v>
      </c>
      <c r="N1053" s="106">
        <v>0.64</v>
      </c>
      <c r="O1053" s="106">
        <v>0.98</v>
      </c>
      <c r="P1053" s="106">
        <v>16410</v>
      </c>
      <c r="Q1053" s="106">
        <v>7180.1394712853235</v>
      </c>
      <c r="R1053" s="106">
        <v>0.31798457232768512</v>
      </c>
      <c r="S1053" s="106">
        <v>22928.882406563356</v>
      </c>
      <c r="T1053" s="106">
        <v>23983.029626253418</v>
      </c>
      <c r="U1053" s="106">
        <v>18971.168752993537</v>
      </c>
      <c r="V1053" s="106">
        <v>0.81175868178887556</v>
      </c>
      <c r="W1053" s="106">
        <v>75142.731727574748</v>
      </c>
      <c r="X1053" s="110">
        <v>0.57312789180331802</v>
      </c>
      <c r="Y1053" s="106">
        <v>417.08459869848161</v>
      </c>
      <c r="Z1053" s="106">
        <v>14.27765726681128</v>
      </c>
      <c r="AA1053" s="106">
        <v>72011.668242331871</v>
      </c>
      <c r="AB1053" s="106">
        <v>649.42183492585377</v>
      </c>
      <c r="AC1053" s="106">
        <v>1.3886638435243925</v>
      </c>
      <c r="AD1053" s="106">
        <v>28.91445722861431</v>
      </c>
      <c r="AE1053" s="106">
        <v>110.88581314878893</v>
      </c>
      <c r="AF1053" s="106">
        <v>-1.2894482148416066E-2</v>
      </c>
      <c r="AG1053" s="106">
        <v>28770</v>
      </c>
      <c r="AH1053" s="106">
        <v>21318.516408386509</v>
      </c>
      <c r="AI1053" s="106">
        <v>22928.882406563356</v>
      </c>
      <c r="AJ1053" s="106">
        <v>23321.136280765724</v>
      </c>
      <c r="AK1053" s="104">
        <v>19591.117593436644</v>
      </c>
      <c r="AL1053" s="118"/>
      <c r="AM1053" s="118">
        <v>2611</v>
      </c>
      <c r="AN1053" s="118">
        <v>64092</v>
      </c>
      <c r="AO1053" s="118">
        <v>438</v>
      </c>
      <c r="AP1053" s="118">
        <f t="shared" si="16"/>
        <v>550</v>
      </c>
    </row>
    <row r="1054" spans="1:42" ht="12.75">
      <c r="A1054" s="106">
        <v>2018</v>
      </c>
      <c r="B1054" s="106">
        <v>-209056</v>
      </c>
      <c r="C1054" s="106">
        <v>0</v>
      </c>
      <c r="D1054" s="106">
        <v>209056</v>
      </c>
      <c r="E1054" s="106" t="s">
        <v>1793</v>
      </c>
      <c r="F1054" s="106" t="s">
        <v>1578</v>
      </c>
      <c r="G1054" s="106" t="s">
        <v>405</v>
      </c>
      <c r="H1054" s="106">
        <v>7</v>
      </c>
      <c r="I1054" s="106" t="s">
        <v>3641</v>
      </c>
      <c r="J1054" s="106">
        <v>48988</v>
      </c>
      <c r="K1054" s="106">
        <v>35559</v>
      </c>
      <c r="L1054" s="106">
        <v>18978</v>
      </c>
      <c r="M1054" s="106">
        <v>0.2</v>
      </c>
      <c r="N1054" s="106">
        <v>0.79</v>
      </c>
      <c r="O1054" s="106">
        <v>0.9</v>
      </c>
      <c r="P1054" s="107">
        <v>27126</v>
      </c>
      <c r="Q1054" s="106">
        <v>17308.543922984358</v>
      </c>
      <c r="R1054" s="106">
        <v>0.41316401079321102</v>
      </c>
      <c r="S1054" s="106">
        <v>35403.934416365824</v>
      </c>
      <c r="T1054" s="106">
        <v>37109.706377858005</v>
      </c>
      <c r="U1054" s="106">
        <v>30420.481561699329</v>
      </c>
      <c r="V1054" s="106">
        <v>0.80814391138461739</v>
      </c>
      <c r="W1054" s="106">
        <v>100061.98208543868</v>
      </c>
      <c r="X1054" s="110">
        <v>0.58865080530405078</v>
      </c>
      <c r="Y1054" s="106">
        <v>246.86024844720498</v>
      </c>
      <c r="Z1054" s="106">
        <v>10.322981366459627</v>
      </c>
      <c r="AA1054" s="106">
        <v>114257.26634021307</v>
      </c>
      <c r="AB1054" s="106">
        <v>1272.0965254448863</v>
      </c>
      <c r="AC1054" s="106">
        <v>0.87521785881205527</v>
      </c>
      <c r="AD1054" s="106">
        <v>28.603749191984484</v>
      </c>
      <c r="AE1054" s="106">
        <v>89.818079096045196</v>
      </c>
      <c r="AF1054" s="106">
        <v>5.8567284336668357E-2</v>
      </c>
      <c r="AG1054" s="106">
        <v>48628</v>
      </c>
      <c r="AH1054" s="106">
        <v>32081.035800240676</v>
      </c>
      <c r="AI1054" s="106">
        <v>35403.934416365824</v>
      </c>
      <c r="AJ1054" s="106">
        <v>42252.214500601687</v>
      </c>
      <c r="AK1054" s="104">
        <v>32318.812274368232</v>
      </c>
      <c r="AL1054" s="118"/>
      <c r="AM1054" s="118">
        <v>2106</v>
      </c>
      <c r="AN1054" s="118">
        <v>79489</v>
      </c>
      <c r="AO1054" s="118">
        <v>461</v>
      </c>
      <c r="AP1054" s="118">
        <f t="shared" si="16"/>
        <v>360</v>
      </c>
    </row>
    <row r="1055" spans="1:42" ht="12.75">
      <c r="A1055" s="106">
        <v>2018</v>
      </c>
      <c r="B1055" s="106">
        <v>-146603</v>
      </c>
      <c r="C1055" s="106">
        <v>0</v>
      </c>
      <c r="D1055" s="106">
        <v>146603</v>
      </c>
      <c r="E1055" s="106" t="s">
        <v>1796</v>
      </c>
      <c r="F1055" s="106" t="s">
        <v>1797</v>
      </c>
      <c r="G1055" s="106" t="s">
        <v>243</v>
      </c>
      <c r="H1055" s="106">
        <v>4</v>
      </c>
      <c r="I1055" s="106" t="s">
        <v>24</v>
      </c>
      <c r="J1055" s="106">
        <v>3432</v>
      </c>
      <c r="K1055" s="106">
        <v>3780</v>
      </c>
      <c r="L1055" s="106">
        <v>2006</v>
      </c>
      <c r="M1055" s="106">
        <v>0.34</v>
      </c>
      <c r="N1055" s="106">
        <v>0.46</v>
      </c>
      <c r="O1055" s="106">
        <v>0.24</v>
      </c>
      <c r="P1055" s="106">
        <v>4062</v>
      </c>
      <c r="Q1055" s="106">
        <v>1037.1299223914918</v>
      </c>
      <c r="R1055" s="106">
        <v>0.1796542202404123</v>
      </c>
      <c r="S1055" s="106">
        <v>21326.116700201208</v>
      </c>
      <c r="T1055" s="106">
        <v>19676.830985915494</v>
      </c>
      <c r="U1055" s="106">
        <v>16272.372156338844</v>
      </c>
      <c r="V1055" s="106">
        <v>0.2910327216609549</v>
      </c>
      <c r="W1055" s="106">
        <v>62967.773818745161</v>
      </c>
      <c r="X1055" s="110">
        <v>0.39583459053333692</v>
      </c>
      <c r="Y1055" s="106">
        <v>594.07969639468683</v>
      </c>
      <c r="Z1055" s="106">
        <v>19.804554079696391</v>
      </c>
      <c r="AA1055" s="106">
        <v>36832.5196694228</v>
      </c>
      <c r="AB1055" s="106">
        <v>542.46438033636298</v>
      </c>
      <c r="AC1055" s="106">
        <v>2.714992102020565</v>
      </c>
      <c r="AD1055" s="106">
        <v>43.689596361569073</v>
      </c>
      <c r="AE1055" s="106">
        <v>67.898503578399485</v>
      </c>
      <c r="AF1055" s="106">
        <v>9.9938098387872043E-2</v>
      </c>
      <c r="AG1055" s="106">
        <v>2880</v>
      </c>
      <c r="AH1055" s="106">
        <v>21054.275079045703</v>
      </c>
      <c r="AI1055" s="106">
        <v>21054.275079045703</v>
      </c>
      <c r="AJ1055" s="106">
        <v>21571.807703363036</v>
      </c>
      <c r="AK1055" s="104">
        <v>18751.322219028458</v>
      </c>
      <c r="AL1055" s="119">
        <v>28315410</v>
      </c>
      <c r="AM1055" s="118">
        <v>7000</v>
      </c>
      <c r="AN1055" s="118">
        <v>104360</v>
      </c>
      <c r="AO1055" s="118">
        <v>755</v>
      </c>
      <c r="AP1055" s="118">
        <f t="shared" si="16"/>
        <v>552</v>
      </c>
    </row>
    <row r="1056" spans="1:42" ht="12.75">
      <c r="A1056" s="106">
        <v>2018</v>
      </c>
      <c r="B1056" s="106">
        <v>-146612</v>
      </c>
      <c r="C1056" s="106">
        <v>0</v>
      </c>
      <c r="D1056" s="106">
        <v>146612</v>
      </c>
      <c r="E1056" s="106" t="s">
        <v>1794</v>
      </c>
      <c r="F1056" s="106" t="s">
        <v>1795</v>
      </c>
      <c r="G1056" s="106" t="s">
        <v>243</v>
      </c>
      <c r="H1056" s="106">
        <v>6</v>
      </c>
      <c r="I1056" s="106" t="s">
        <v>3640</v>
      </c>
      <c r="J1056" s="106">
        <v>31250</v>
      </c>
      <c r="K1056" s="106">
        <v>18899</v>
      </c>
      <c r="L1056" s="106">
        <v>13290</v>
      </c>
      <c r="M1056" s="106">
        <v>0.33</v>
      </c>
      <c r="N1056" s="106">
        <v>0.68</v>
      </c>
      <c r="O1056" s="106">
        <v>0.99</v>
      </c>
      <c r="P1056" s="106">
        <v>17500</v>
      </c>
      <c r="Q1056" s="107">
        <v>7485.5578983753885</v>
      </c>
      <c r="R1056" s="106">
        <v>0.31594294062980749</v>
      </c>
      <c r="S1056" s="106">
        <v>23569.598340822675</v>
      </c>
      <c r="T1056" s="106">
        <v>23271.230902177671</v>
      </c>
      <c r="U1056" s="106">
        <v>17477.327860352576</v>
      </c>
      <c r="V1056" s="106">
        <v>0.92732680517139088</v>
      </c>
      <c r="W1056" s="106">
        <v>81981.549773755658</v>
      </c>
      <c r="X1056" s="110">
        <v>0.44852779195596748</v>
      </c>
      <c r="Y1056" s="106">
        <v>467.49479659413436</v>
      </c>
      <c r="Z1056" s="106">
        <v>16.421948912015139</v>
      </c>
      <c r="AA1056" s="106">
        <v>52206.411461022202</v>
      </c>
      <c r="AB1056" s="106">
        <v>613.93578566484939</v>
      </c>
      <c r="AC1056" s="106">
        <v>1.9154735443684143</v>
      </c>
      <c r="AD1056" s="106">
        <v>38.280632411067195</v>
      </c>
      <c r="AE1056" s="106">
        <v>85.035622096024781</v>
      </c>
      <c r="AF1056" s="106">
        <v>6.0418521013198431E-2</v>
      </c>
      <c r="AG1056" s="106">
        <v>31100</v>
      </c>
      <c r="AH1056" s="106">
        <v>21550.670065675768</v>
      </c>
      <c r="AI1056" s="106">
        <v>22479.258555133081</v>
      </c>
      <c r="AJ1056" s="106">
        <v>24657.268060836501</v>
      </c>
      <c r="AK1056" s="104">
        <v>21629.326304873834</v>
      </c>
      <c r="AL1056" s="118"/>
      <c r="AM1056" s="118">
        <v>4506</v>
      </c>
      <c r="AN1056" s="118">
        <v>164714</v>
      </c>
      <c r="AO1056" s="118">
        <v>1310</v>
      </c>
      <c r="AP1056" s="118">
        <f t="shared" si="16"/>
        <v>150</v>
      </c>
    </row>
    <row r="1057" spans="1:42" ht="12.75">
      <c r="A1057" s="106">
        <v>2018</v>
      </c>
      <c r="B1057" s="106">
        <v>-142328</v>
      </c>
      <c r="C1057" s="106">
        <v>0</v>
      </c>
      <c r="D1057" s="106">
        <v>142328</v>
      </c>
      <c r="E1057" s="106" t="s">
        <v>1798</v>
      </c>
      <c r="F1057" s="106" t="s">
        <v>300</v>
      </c>
      <c r="G1057" s="106" t="s">
        <v>418</v>
      </c>
      <c r="H1057" s="106">
        <v>3</v>
      </c>
      <c r="I1057" s="104" t="s">
        <v>26</v>
      </c>
      <c r="J1057" s="106">
        <v>6334</v>
      </c>
      <c r="K1057" s="106">
        <v>10118</v>
      </c>
      <c r="L1057" s="106">
        <v>8529</v>
      </c>
      <c r="M1057" s="106">
        <v>0.49</v>
      </c>
      <c r="N1057" s="106">
        <v>0.53</v>
      </c>
      <c r="O1057" s="106">
        <v>0.69</v>
      </c>
      <c r="P1057" s="106">
        <v>3976</v>
      </c>
      <c r="Q1057" s="106">
        <v>1154.7497287522604</v>
      </c>
      <c r="R1057" s="106">
        <v>0.15886336831739367</v>
      </c>
      <c r="S1057" s="106">
        <v>18978.265461121158</v>
      </c>
      <c r="T1057" s="106">
        <v>19575.374683544305</v>
      </c>
      <c r="U1057" s="106">
        <v>15792.755389649643</v>
      </c>
      <c r="V1057" s="106">
        <v>0.38714418522106658</v>
      </c>
      <c r="W1057" s="106">
        <v>80380.529957203995</v>
      </c>
      <c r="X1057" s="110">
        <v>0.69402066969367038</v>
      </c>
      <c r="Y1057" s="106">
        <v>393.73575949367091</v>
      </c>
      <c r="Z1057" s="106">
        <v>13.125</v>
      </c>
      <c r="AA1057" s="106">
        <v>42271.992887106739</v>
      </c>
      <c r="AB1057" s="106">
        <v>526.44421922892047</v>
      </c>
      <c r="AC1057" s="106">
        <v>2.3656324949491729</v>
      </c>
      <c r="AD1057" s="106">
        <v>36.463113307447934</v>
      </c>
      <c r="AE1057" s="106">
        <v>80.297192642787991</v>
      </c>
      <c r="AF1057" s="106">
        <v>-8.2283768393752003E-3</v>
      </c>
      <c r="AG1057" s="106">
        <v>6334</v>
      </c>
      <c r="AH1057" s="106">
        <v>17869.422061482823</v>
      </c>
      <c r="AI1057" s="106">
        <v>18531.81048824593</v>
      </c>
      <c r="AJ1057" s="106">
        <v>19063.220253164556</v>
      </c>
      <c r="AK1057" s="104">
        <v>17419.940325497286</v>
      </c>
      <c r="AL1057" s="118">
        <v>24434507</v>
      </c>
      <c r="AM1057" s="118">
        <v>3746</v>
      </c>
      <c r="AN1057" s="118">
        <v>82947</v>
      </c>
      <c r="AO1057" s="118">
        <v>1012</v>
      </c>
      <c r="AP1057" s="118">
        <f t="shared" si="16"/>
        <v>0</v>
      </c>
    </row>
    <row r="1058" spans="1:42" ht="12.75">
      <c r="A1058" s="106">
        <v>2018</v>
      </c>
      <c r="B1058" s="106">
        <v>-232557</v>
      </c>
      <c r="C1058" s="106">
        <v>0</v>
      </c>
      <c r="D1058" s="106">
        <v>232557</v>
      </c>
      <c r="E1058" s="106" t="s">
        <v>1799</v>
      </c>
      <c r="F1058" s="106" t="s">
        <v>685</v>
      </c>
      <c r="G1058" s="106" t="s">
        <v>261</v>
      </c>
      <c r="H1058" s="106">
        <v>5</v>
      </c>
      <c r="I1058" s="106" t="s">
        <v>3639</v>
      </c>
      <c r="J1058" s="106">
        <v>17122</v>
      </c>
      <c r="K1058" s="106">
        <v>27432</v>
      </c>
      <c r="L1058" s="106">
        <v>26570</v>
      </c>
      <c r="M1058" s="106">
        <v>0.31</v>
      </c>
      <c r="N1058" s="106">
        <v>0.59</v>
      </c>
      <c r="O1058" s="106">
        <v>0.86</v>
      </c>
      <c r="P1058" s="106">
        <v>9025</v>
      </c>
      <c r="Q1058" s="106">
        <v>3594.152179019402</v>
      </c>
      <c r="R1058" s="106">
        <v>0.24193217333444142</v>
      </c>
      <c r="S1058" s="106">
        <v>14075.918601919855</v>
      </c>
      <c r="T1058" s="106">
        <v>10621.169874254216</v>
      </c>
      <c r="U1058" s="106">
        <v>9149.4094842140476</v>
      </c>
      <c r="V1058" s="106">
        <v>1.2308860074849604</v>
      </c>
      <c r="W1058" s="106">
        <v>66809.538054067219</v>
      </c>
      <c r="X1058" s="110">
        <v>0.53926431460514479</v>
      </c>
      <c r="Y1058" s="106">
        <v>995.72974013474493</v>
      </c>
      <c r="Z1058" s="106">
        <v>36.877189605389795</v>
      </c>
      <c r="AA1058" s="106">
        <v>29974.971283214902</v>
      </c>
      <c r="AB1058" s="106">
        <v>338.85149225436868</v>
      </c>
      <c r="AC1058" s="106">
        <v>3.3361166239380871</v>
      </c>
      <c r="AD1058" s="106">
        <v>37.314547160058964</v>
      </c>
      <c r="AE1058" s="106">
        <v>88.460496613995488</v>
      </c>
      <c r="AF1058" s="106">
        <v>0.13140712003788854</v>
      </c>
      <c r="AG1058" s="106">
        <v>15734</v>
      </c>
      <c r="AH1058" s="106">
        <v>13738.798086409121</v>
      </c>
      <c r="AI1058" s="106">
        <v>14156.698836499163</v>
      </c>
      <c r="AJ1058" s="106">
        <v>14950.737734696753</v>
      </c>
      <c r="AK1058" s="104">
        <v>9369.6081210166139</v>
      </c>
      <c r="AL1058" s="118"/>
      <c r="AM1058" s="118">
        <v>45754</v>
      </c>
      <c r="AN1058" s="118">
        <v>1724272</v>
      </c>
      <c r="AO1058" s="118">
        <v>9979</v>
      </c>
      <c r="AP1058" s="118">
        <f t="shared" si="16"/>
        <v>1388</v>
      </c>
    </row>
    <row r="1059" spans="1:42" ht="12.75">
      <c r="A1059" s="106">
        <v>2018</v>
      </c>
      <c r="B1059" s="106">
        <v>-218238</v>
      </c>
      <c r="C1059" s="106">
        <v>0</v>
      </c>
      <c r="D1059" s="106">
        <v>218238</v>
      </c>
      <c r="E1059" s="106" t="s">
        <v>1800</v>
      </c>
      <c r="F1059" s="106" t="s">
        <v>1801</v>
      </c>
      <c r="G1059" s="106" t="s">
        <v>79</v>
      </c>
      <c r="H1059" s="106">
        <v>7</v>
      </c>
      <c r="I1059" s="106" t="s">
        <v>3641</v>
      </c>
      <c r="J1059" s="106">
        <v>25025</v>
      </c>
      <c r="K1059" s="106">
        <v>23881</v>
      </c>
      <c r="L1059" s="106">
        <v>23067</v>
      </c>
      <c r="M1059" s="106">
        <v>0.55000000000000004</v>
      </c>
      <c r="N1059" s="106">
        <v>0.84</v>
      </c>
      <c r="O1059" s="106">
        <v>0.97</v>
      </c>
      <c r="P1059" s="106">
        <v>11006</v>
      </c>
      <c r="Q1059" s="106">
        <v>5141.8590604026849</v>
      </c>
      <c r="R1059" s="106">
        <v>0.28140793307988782</v>
      </c>
      <c r="S1059" s="106">
        <v>18362.059955257271</v>
      </c>
      <c r="T1059" s="106">
        <v>17119.666219239374</v>
      </c>
      <c r="U1059" s="106">
        <v>14483.377181208054</v>
      </c>
      <c r="V1059" s="106">
        <v>0.90655970087192139</v>
      </c>
      <c r="W1059" s="106">
        <v>58845.691358024691</v>
      </c>
      <c r="X1059" s="110">
        <v>0.49829537854524436</v>
      </c>
      <c r="Y1059" s="106">
        <v>734.09890109890114</v>
      </c>
      <c r="Z1059" s="106">
        <v>24.560439560439562</v>
      </c>
      <c r="AA1059" s="106">
        <v>51958.825040128409</v>
      </c>
      <c r="AB1059" s="106">
        <v>484.56428603505833</v>
      </c>
      <c r="AC1059" s="106">
        <v>1.924600872378635</v>
      </c>
      <c r="AD1059" s="106">
        <v>27.517667844522968</v>
      </c>
      <c r="AE1059" s="106">
        <v>107.22792937399679</v>
      </c>
      <c r="AF1059" s="106">
        <v>0.10156283953225549</v>
      </c>
      <c r="AG1059" s="106">
        <v>24900</v>
      </c>
      <c r="AH1059" s="106">
        <v>16924.885458612975</v>
      </c>
      <c r="AI1059" s="106">
        <v>19298.624608501119</v>
      </c>
      <c r="AJ1059" s="106">
        <v>19169.045637583891</v>
      </c>
      <c r="AK1059" s="104">
        <v>14483.377181208054</v>
      </c>
      <c r="AM1059" s="118">
        <v>2597</v>
      </c>
      <c r="AN1059" s="118">
        <v>66803</v>
      </c>
      <c r="AO1059" s="118">
        <v>593</v>
      </c>
      <c r="AP1059" s="118">
        <f t="shared" si="16"/>
        <v>125</v>
      </c>
    </row>
    <row r="1060" spans="1:42" ht="12.75">
      <c r="A1060" s="106">
        <v>2018</v>
      </c>
      <c r="B1060" s="106">
        <v>-146676</v>
      </c>
      <c r="C1060" s="106">
        <v>0</v>
      </c>
      <c r="D1060" s="106">
        <v>146676</v>
      </c>
      <c r="E1060" s="106" t="s">
        <v>1802</v>
      </c>
      <c r="F1060" s="106" t="s">
        <v>1052</v>
      </c>
      <c r="G1060" s="106" t="s">
        <v>243</v>
      </c>
      <c r="H1060" s="106">
        <v>7</v>
      </c>
      <c r="I1060" s="106" t="s">
        <v>3641</v>
      </c>
      <c r="J1060" s="106">
        <v>18100</v>
      </c>
      <c r="K1060" s="106">
        <v>15488</v>
      </c>
      <c r="L1060" s="106">
        <v>14754</v>
      </c>
      <c r="M1060" s="106">
        <v>0.71</v>
      </c>
      <c r="N1060" s="106">
        <v>0.83</v>
      </c>
      <c r="O1060" s="106">
        <v>0.87</v>
      </c>
      <c r="P1060" s="106">
        <v>7453</v>
      </c>
      <c r="Q1060" s="106">
        <v>5971.030303030303</v>
      </c>
      <c r="R1060" s="106">
        <v>0.41120812143999819</v>
      </c>
      <c r="S1060" s="106">
        <v>16722.715367965367</v>
      </c>
      <c r="T1060" s="106">
        <v>20093.675324675325</v>
      </c>
      <c r="U1060" s="106">
        <v>15081.472943722943</v>
      </c>
      <c r="V1060" s="106">
        <v>0.56689893802643809</v>
      </c>
      <c r="W1060" s="106">
        <v>47231.686635944701</v>
      </c>
      <c r="X1060" s="110">
        <v>0.55202892771281864</v>
      </c>
      <c r="Y1060" s="106">
        <v>472.6704545454545</v>
      </c>
      <c r="Z1060" s="106">
        <v>15.749999999999998</v>
      </c>
      <c r="AA1060" s="106">
        <v>74920.865591397844</v>
      </c>
      <c r="AB1060" s="106">
        <v>502.53447529751173</v>
      </c>
      <c r="AC1060" s="106">
        <v>1.3347416532181877</v>
      </c>
      <c r="AD1060" s="106">
        <v>20.689655172413794</v>
      </c>
      <c r="AE1060" s="106">
        <v>149.08602150537635</v>
      </c>
      <c r="AF1060" s="106">
        <v>-3.9959487646192345E-2</v>
      </c>
      <c r="AG1060" s="106">
        <v>17100</v>
      </c>
      <c r="AH1060" s="106">
        <v>14475.819264069263</v>
      </c>
      <c r="AI1060" s="106">
        <v>16503.775974025975</v>
      </c>
      <c r="AJ1060" s="106">
        <v>18123.189393939392</v>
      </c>
      <c r="AK1060" s="104">
        <v>15081.472943722943</v>
      </c>
      <c r="AL1060" s="118"/>
      <c r="AM1060" s="118">
        <v>1121</v>
      </c>
      <c r="AN1060" s="118">
        <v>27730</v>
      </c>
      <c r="AO1060" s="118">
        <v>186</v>
      </c>
      <c r="AP1060" s="118">
        <f t="shared" si="16"/>
        <v>1000</v>
      </c>
    </row>
    <row r="1061" spans="1:42" ht="12.75">
      <c r="A1061" s="106">
        <v>2018</v>
      </c>
      <c r="B1061" s="106">
        <v>-146685</v>
      </c>
      <c r="C1061" s="106">
        <v>0</v>
      </c>
      <c r="D1061" s="106">
        <v>146685</v>
      </c>
      <c r="E1061" s="106" t="s">
        <v>1803</v>
      </c>
      <c r="F1061" s="106" t="s">
        <v>149</v>
      </c>
      <c r="G1061" s="106" t="s">
        <v>243</v>
      </c>
      <c r="H1061" s="106">
        <v>4</v>
      </c>
      <c r="I1061" s="106" t="s">
        <v>24</v>
      </c>
      <c r="J1061" s="106">
        <v>3168</v>
      </c>
      <c r="K1061" s="106">
        <v>6012</v>
      </c>
      <c r="L1061" s="106">
        <v>3953</v>
      </c>
      <c r="M1061" s="106">
        <v>0.4</v>
      </c>
      <c r="N1061" s="106">
        <v>0.16</v>
      </c>
      <c r="O1061" s="106">
        <v>0.09</v>
      </c>
      <c r="P1061" s="106">
        <v>3856</v>
      </c>
      <c r="Q1061" s="106"/>
      <c r="R1061" s="106"/>
      <c r="S1061" s="106">
        <v>21824.664501160092</v>
      </c>
      <c r="T1061" s="106">
        <v>19838.066125290025</v>
      </c>
      <c r="U1061" s="106">
        <v>14898.178663425915</v>
      </c>
      <c r="V1061" s="106">
        <v>0.30995130888947714</v>
      </c>
      <c r="W1061" s="106">
        <v>83488.966960352423</v>
      </c>
      <c r="X1061" s="110">
        <v>0.44331082529995036</v>
      </c>
      <c r="Y1061" s="106">
        <v>711.74311926605503</v>
      </c>
      <c r="Z1061" s="106">
        <v>23.724770642201836</v>
      </c>
      <c r="AA1061" s="106">
        <v>34615.17522337773</v>
      </c>
      <c r="AB1061" s="106">
        <v>496.6059554475305</v>
      </c>
      <c r="AC1061" s="106">
        <v>2.8889063641793706</v>
      </c>
      <c r="AD1061" s="106">
        <v>51.130099228224914</v>
      </c>
      <c r="AE1061" s="106">
        <v>69.703504043126685</v>
      </c>
      <c r="AF1061" s="106">
        <v>0.11545676872717046</v>
      </c>
      <c r="AG1061" s="106">
        <v>2904</v>
      </c>
      <c r="AH1061" s="106">
        <v>20349.02180974478</v>
      </c>
      <c r="AI1061" s="106">
        <v>20349.02180974478</v>
      </c>
      <c r="AJ1061" s="106">
        <v>22022.169373549885</v>
      </c>
      <c r="AK1061" s="104">
        <v>17811.435034802784</v>
      </c>
      <c r="AL1061" s="118">
        <v>61381479</v>
      </c>
      <c r="AM1061" s="118">
        <v>6259</v>
      </c>
      <c r="AN1061" s="118">
        <v>129300</v>
      </c>
      <c r="AO1061" s="118">
        <v>939</v>
      </c>
      <c r="AP1061" s="118">
        <f t="shared" si="16"/>
        <v>264</v>
      </c>
    </row>
    <row r="1062" spans="1:42" ht="12.75">
      <c r="A1062" s="106">
        <v>2018</v>
      </c>
      <c r="B1062" s="106">
        <v>-220631</v>
      </c>
      <c r="C1062" s="106">
        <v>0</v>
      </c>
      <c r="D1062" s="106">
        <v>220631</v>
      </c>
      <c r="E1062" s="106" t="s">
        <v>1804</v>
      </c>
      <c r="F1062" s="106" t="s">
        <v>1805</v>
      </c>
      <c r="G1062" s="106" t="s">
        <v>255</v>
      </c>
      <c r="H1062" s="106">
        <v>6</v>
      </c>
      <c r="I1062" s="106" t="s">
        <v>3640</v>
      </c>
      <c r="J1062" s="106">
        <v>21410</v>
      </c>
      <c r="K1062" s="106">
        <v>16291</v>
      </c>
      <c r="L1062" s="106">
        <v>13030</v>
      </c>
      <c r="M1062" s="106">
        <v>0.5</v>
      </c>
      <c r="N1062" s="106">
        <v>0.6</v>
      </c>
      <c r="O1062" s="106">
        <v>0.98</v>
      </c>
      <c r="P1062" s="106">
        <v>14947</v>
      </c>
      <c r="Q1062" s="106">
        <v>6022.476655550262</v>
      </c>
      <c r="R1062" s="106">
        <v>0.18949810088212662</v>
      </c>
      <c r="S1062" s="106">
        <v>31240.080038113389</v>
      </c>
      <c r="T1062" s="106">
        <v>28042.557884707003</v>
      </c>
      <c r="U1062" s="106">
        <v>25916.381657221544</v>
      </c>
      <c r="V1062" s="106">
        <v>0.99391657510482589</v>
      </c>
      <c r="W1062" s="106">
        <v>76454.897455374099</v>
      </c>
      <c r="X1062" s="110">
        <v>0.56999999949032754</v>
      </c>
      <c r="Y1062" s="106">
        <v>221.04870466321242</v>
      </c>
      <c r="Z1062" s="106">
        <v>13.050777202072538</v>
      </c>
      <c r="AA1062" s="106">
        <v>73067.139151790499</v>
      </c>
      <c r="AB1062" s="106">
        <v>1530.1104044359818</v>
      </c>
      <c r="AC1062" s="106">
        <v>1.3686042886154182</v>
      </c>
      <c r="AD1062" s="106">
        <v>35.5794504181601</v>
      </c>
      <c r="AE1062" s="106">
        <v>47.752854264607116</v>
      </c>
      <c r="AF1062" s="106">
        <v>0.16697036594795553</v>
      </c>
      <c r="AG1062" s="106">
        <v>20880</v>
      </c>
      <c r="AH1062" s="106">
        <v>29285.901143401621</v>
      </c>
      <c r="AI1062" s="106">
        <v>29522.630538351597</v>
      </c>
      <c r="AJ1062" s="106">
        <v>31942.412815626489</v>
      </c>
      <c r="AK1062" s="104">
        <v>26625.232253454025</v>
      </c>
      <c r="AL1062" s="118"/>
      <c r="AM1062" s="118">
        <v>1919</v>
      </c>
      <c r="AN1062" s="118">
        <v>71104</v>
      </c>
      <c r="AO1062" s="118">
        <v>482</v>
      </c>
      <c r="AP1062" s="118">
        <f t="shared" si="16"/>
        <v>530</v>
      </c>
    </row>
    <row r="1063" spans="1:42" ht="12.75">
      <c r="A1063" s="106">
        <v>2018</v>
      </c>
      <c r="B1063" s="106">
        <v>-403478</v>
      </c>
      <c r="C1063" s="106">
        <v>0</v>
      </c>
      <c r="D1063" s="106">
        <v>403478</v>
      </c>
      <c r="E1063" s="106" t="s">
        <v>1806</v>
      </c>
      <c r="F1063" s="106" t="s">
        <v>1807</v>
      </c>
      <c r="G1063" s="106" t="s">
        <v>243</v>
      </c>
      <c r="H1063" s="106">
        <v>4</v>
      </c>
      <c r="I1063" s="106" t="s">
        <v>24</v>
      </c>
      <c r="J1063" s="106">
        <v>3810</v>
      </c>
      <c r="K1063" s="106">
        <v>1927</v>
      </c>
      <c r="L1063" s="106">
        <v>919</v>
      </c>
      <c r="M1063" s="106">
        <v>0.48</v>
      </c>
      <c r="N1063" s="106">
        <v>0.28999999999999998</v>
      </c>
      <c r="O1063" s="106">
        <v>0.95</v>
      </c>
      <c r="P1063" s="106">
        <v>2392</v>
      </c>
      <c r="Q1063" s="106">
        <v>1399.3248882265275</v>
      </c>
      <c r="R1063" s="106">
        <v>0.37151428511512646</v>
      </c>
      <c r="S1063" s="106">
        <v>16151.540983606557</v>
      </c>
      <c r="T1063" s="106">
        <v>15495.281669150521</v>
      </c>
      <c r="U1063" s="106">
        <v>8168.3497691083876</v>
      </c>
      <c r="V1063" s="106">
        <v>0.28980383344484939</v>
      </c>
      <c r="W1063" s="106">
        <v>109299.96923076923</v>
      </c>
      <c r="X1063" s="110">
        <v>0.68329996901128698</v>
      </c>
      <c r="Y1063" s="106">
        <v>719.14285714285711</v>
      </c>
      <c r="Z1063" s="106">
        <v>23.964285714285715</v>
      </c>
      <c r="AA1063" s="106">
        <v>28107.501000367836</v>
      </c>
      <c r="AB1063" s="106">
        <v>272.19719383550495</v>
      </c>
      <c r="AC1063" s="106">
        <v>3.5577691520385009</v>
      </c>
      <c r="AD1063" s="106">
        <v>33.737024221453289</v>
      </c>
      <c r="AE1063" s="106">
        <v>103.26153846153846</v>
      </c>
      <c r="AF1063" s="106"/>
      <c r="AG1063" s="106">
        <v>2656</v>
      </c>
      <c r="AH1063" s="106">
        <v>14936.107302533532</v>
      </c>
      <c r="AI1063" s="106">
        <v>15078.466467958271</v>
      </c>
      <c r="AJ1063" s="106">
        <v>16256.159463487333</v>
      </c>
      <c r="AK1063" s="104">
        <v>9487.4694485842028</v>
      </c>
      <c r="AL1063" s="118">
        <v>7246439</v>
      </c>
      <c r="AM1063" s="118">
        <v>933</v>
      </c>
      <c r="AN1063" s="118">
        <v>20136</v>
      </c>
      <c r="AO1063" s="118">
        <v>119</v>
      </c>
      <c r="AP1063" s="118">
        <f t="shared" si="16"/>
        <v>1154</v>
      </c>
    </row>
    <row r="1064" spans="1:42" ht="12.75">
      <c r="A1064" s="106">
        <v>2018</v>
      </c>
      <c r="B1064" s="106">
        <v>-177940</v>
      </c>
      <c r="C1064" s="106">
        <v>0</v>
      </c>
      <c r="D1064" s="106">
        <v>177940</v>
      </c>
      <c r="E1064" s="106" t="s">
        <v>3931</v>
      </c>
      <c r="F1064" s="106" t="s">
        <v>614</v>
      </c>
      <c r="G1064" s="106" t="s">
        <v>264</v>
      </c>
      <c r="H1064" s="106">
        <v>2</v>
      </c>
      <c r="I1064" s="106" t="s">
        <v>25</v>
      </c>
      <c r="J1064" s="106">
        <v>7632</v>
      </c>
      <c r="K1064" s="106">
        <v>10728</v>
      </c>
      <c r="L1064" s="106">
        <v>10282</v>
      </c>
      <c r="M1064" s="106">
        <v>0.75</v>
      </c>
      <c r="N1064" s="106">
        <v>0.82</v>
      </c>
      <c r="O1064" s="106">
        <v>0.61</v>
      </c>
      <c r="P1064" s="106">
        <v>6206</v>
      </c>
      <c r="Q1064" s="107">
        <v>1382.3504108264863</v>
      </c>
      <c r="R1064" s="106">
        <v>0.18615332796368164</v>
      </c>
      <c r="S1064" s="106">
        <v>23929.293378443694</v>
      </c>
      <c r="T1064" s="106">
        <v>25539.061865635573</v>
      </c>
      <c r="U1064" s="106">
        <v>13817.947213651232</v>
      </c>
      <c r="V1064" s="106">
        <v>0.43736739482570552</v>
      </c>
      <c r="W1064" s="106">
        <v>82268.485488126651</v>
      </c>
      <c r="X1064" s="110">
        <v>0.59007509019769544</v>
      </c>
      <c r="Y1064" s="106">
        <v>443.79136690647482</v>
      </c>
      <c r="Z1064" s="106">
        <v>14.884892086330936</v>
      </c>
      <c r="AA1064" s="106">
        <v>69900.569156587764</v>
      </c>
      <c r="AB1064" s="106">
        <v>463.45798604315979</v>
      </c>
      <c r="AC1064" s="106">
        <v>1.4306035159168016</v>
      </c>
      <c r="AD1064" s="106">
        <v>18.987929433611885</v>
      </c>
      <c r="AE1064" s="106">
        <v>150.82396088019559</v>
      </c>
      <c r="AF1064" s="106">
        <v>-3.4229893780438198E-2</v>
      </c>
      <c r="AG1064" s="106">
        <v>6270</v>
      </c>
      <c r="AH1064" s="106">
        <v>24054.555340744322</v>
      </c>
      <c r="AI1064" s="106">
        <v>24054.555340744322</v>
      </c>
      <c r="AJ1064" s="106">
        <v>24057.24021266312</v>
      </c>
      <c r="AK1064" s="104">
        <v>20143.276945384245</v>
      </c>
      <c r="AL1064" s="118">
        <v>19274087</v>
      </c>
      <c r="AM1064" s="118">
        <v>2512</v>
      </c>
      <c r="AN1064" s="118">
        <v>61687</v>
      </c>
      <c r="AO1064" s="118">
        <v>361</v>
      </c>
      <c r="AP1064" s="118">
        <f t="shared" si="16"/>
        <v>1362</v>
      </c>
    </row>
    <row r="1065" spans="1:42" ht="12.75">
      <c r="A1065" s="106">
        <v>2018</v>
      </c>
      <c r="B1065" s="106">
        <v>-213598</v>
      </c>
      <c r="C1065" s="106">
        <v>0</v>
      </c>
      <c r="D1065" s="106">
        <v>213598</v>
      </c>
      <c r="E1065" s="106" t="s">
        <v>3932</v>
      </c>
      <c r="F1065" s="106" t="s">
        <v>1808</v>
      </c>
      <c r="G1065" s="106" t="s">
        <v>104</v>
      </c>
      <c r="H1065" s="106">
        <v>2</v>
      </c>
      <c r="I1065" s="106" t="s">
        <v>25</v>
      </c>
      <c r="J1065" s="106">
        <v>11379</v>
      </c>
      <c r="K1065" s="106">
        <v>13695</v>
      </c>
      <c r="L1065" s="106">
        <v>13132</v>
      </c>
      <c r="M1065" s="106">
        <v>0.66</v>
      </c>
      <c r="N1065" s="106">
        <v>0.73</v>
      </c>
      <c r="O1065" s="106">
        <v>0.73</v>
      </c>
      <c r="P1065" s="106">
        <v>10938</v>
      </c>
      <c r="Q1065" s="106">
        <v>4468.1829213483143</v>
      </c>
      <c r="R1065" s="106">
        <v>0.42377235175181871</v>
      </c>
      <c r="S1065" s="106">
        <v>26030.629213483146</v>
      </c>
      <c r="T1065" s="106">
        <v>26507.292584269664</v>
      </c>
      <c r="U1065" s="106">
        <v>20831.779952904981</v>
      </c>
      <c r="V1065" s="106">
        <v>0.29165272516289142</v>
      </c>
      <c r="W1065" s="106">
        <v>70974.062556663645</v>
      </c>
      <c r="X1065" s="110">
        <v>0.44244422980584558</v>
      </c>
      <c r="Y1065" s="106">
        <v>488.88778054862848</v>
      </c>
      <c r="Z1065" s="106">
        <v>16.645885286783045</v>
      </c>
      <c r="AA1065" s="106">
        <v>120079.56060936161</v>
      </c>
      <c r="AB1065" s="106">
        <v>709.29042044459788</v>
      </c>
      <c r="AC1065" s="106">
        <v>0.83278119517206017</v>
      </c>
      <c r="AD1065" s="106">
        <v>18.224740321057599</v>
      </c>
      <c r="AE1065" s="106">
        <v>169.29533678756476</v>
      </c>
      <c r="AF1065" s="106">
        <v>-5.9699091283464834E-3</v>
      </c>
      <c r="AG1065" s="106">
        <v>7674</v>
      </c>
      <c r="AH1065" s="106">
        <v>25263.204943820223</v>
      </c>
      <c r="AI1065" s="106">
        <v>25993.035056179775</v>
      </c>
      <c r="AJ1065" s="106">
        <v>26330.911011235956</v>
      </c>
      <c r="AK1065" s="104">
        <v>21488.850786516854</v>
      </c>
      <c r="AL1065" s="118">
        <v>14436000</v>
      </c>
      <c r="AM1065" s="118">
        <v>2002</v>
      </c>
      <c r="AN1065" s="118">
        <v>65348</v>
      </c>
      <c r="AO1065" s="118">
        <v>260</v>
      </c>
      <c r="AP1065" s="118">
        <f t="shared" si="16"/>
        <v>3705</v>
      </c>
    </row>
    <row r="1066" spans="1:42" ht="12.75">
      <c r="A1066" s="106">
        <v>2018</v>
      </c>
      <c r="B1066" s="106">
        <v>-177968</v>
      </c>
      <c r="C1066" s="106">
        <v>0</v>
      </c>
      <c r="D1066" s="106">
        <v>177968</v>
      </c>
      <c r="E1066" s="106" t="s">
        <v>1809</v>
      </c>
      <c r="F1066" s="106" t="s">
        <v>1810</v>
      </c>
      <c r="G1066" s="106" t="s">
        <v>264</v>
      </c>
      <c r="H1066" s="106">
        <v>5</v>
      </c>
      <c r="I1066" s="106" t="s">
        <v>3639</v>
      </c>
      <c r="J1066" s="106">
        <v>16960</v>
      </c>
      <c r="K1066" s="106">
        <v>18654</v>
      </c>
      <c r="L1066" s="106">
        <v>16188</v>
      </c>
      <c r="M1066" s="106">
        <v>0.3</v>
      </c>
      <c r="N1066" s="106">
        <v>0.63</v>
      </c>
      <c r="O1066" s="106">
        <v>0.99</v>
      </c>
      <c r="P1066" s="106">
        <v>9864</v>
      </c>
      <c r="Q1066" s="107">
        <v>4544.2028562155147</v>
      </c>
      <c r="R1066" s="106">
        <v>0.24738526933034324</v>
      </c>
      <c r="S1066" s="106">
        <v>14852.153088823974</v>
      </c>
      <c r="T1066" s="106">
        <v>16578.314832846478</v>
      </c>
      <c r="U1066" s="106">
        <v>13542.679433084497</v>
      </c>
      <c r="V1066" s="106">
        <v>1.0208266290519097</v>
      </c>
      <c r="W1066" s="106">
        <v>67415.928496595079</v>
      </c>
      <c r="X1066" s="110">
        <v>0.55991725796739666</v>
      </c>
      <c r="Y1066" s="106">
        <v>411.5005246589717</v>
      </c>
      <c r="Z1066" s="106">
        <v>14.548268625393495</v>
      </c>
      <c r="AA1066" s="106">
        <v>38622.334464671396</v>
      </c>
      <c r="AB1066" s="106">
        <v>478.790491126071</v>
      </c>
      <c r="AC1066" s="106">
        <v>2.5891754443655377</v>
      </c>
      <c r="AD1066" s="106">
        <v>38.25994569708417</v>
      </c>
      <c r="AE1066" s="106">
        <v>80.666460968836773</v>
      </c>
      <c r="AF1066" s="106">
        <v>-1.0725059223333704E-2</v>
      </c>
      <c r="AG1066" s="106">
        <v>16300</v>
      </c>
      <c r="AH1066" s="106">
        <v>14674.504814454182</v>
      </c>
      <c r="AI1066" s="106">
        <v>14977.286595261279</v>
      </c>
      <c r="AJ1066" s="106">
        <v>16190.018608676837</v>
      </c>
      <c r="AK1066" s="104">
        <v>13542.679433084497</v>
      </c>
      <c r="AM1066" s="118">
        <v>6928</v>
      </c>
      <c r="AN1066" s="118">
        <v>261440</v>
      </c>
      <c r="AO1066" s="118">
        <v>1990</v>
      </c>
      <c r="AP1066" s="118">
        <f t="shared" si="16"/>
        <v>660</v>
      </c>
    </row>
    <row r="1067" spans="1:42" ht="12.75">
      <c r="A1067" s="106">
        <v>2018</v>
      </c>
      <c r="B1067" s="106">
        <v>-157216</v>
      </c>
      <c r="C1067" s="106">
        <v>0</v>
      </c>
      <c r="D1067" s="106">
        <v>157216</v>
      </c>
      <c r="E1067" s="106" t="s">
        <v>1811</v>
      </c>
      <c r="F1067" s="106" t="s">
        <v>131</v>
      </c>
      <c r="G1067" s="106" t="s">
        <v>118</v>
      </c>
      <c r="H1067" s="106">
        <v>6</v>
      </c>
      <c r="I1067" s="106" t="s">
        <v>3640</v>
      </c>
      <c r="J1067" s="106">
        <v>24246</v>
      </c>
      <c r="K1067" s="106">
        <v>15405</v>
      </c>
      <c r="L1067" s="106">
        <v>14972</v>
      </c>
      <c r="M1067" s="106">
        <v>0.62</v>
      </c>
      <c r="N1067" s="106">
        <v>0.62</v>
      </c>
      <c r="O1067" s="106">
        <v>0.99</v>
      </c>
      <c r="P1067" s="106">
        <v>15351</v>
      </c>
      <c r="Q1067" s="106">
        <v>10184.512489927478</v>
      </c>
      <c r="R1067" s="106">
        <v>0.54550761745901644</v>
      </c>
      <c r="S1067" s="106">
        <v>14609.353344077357</v>
      </c>
      <c r="T1067" s="106">
        <v>15225.555197421434</v>
      </c>
      <c r="U1067" s="106">
        <v>12933.263497179694</v>
      </c>
      <c r="V1067" s="106">
        <v>0.65608167634257064</v>
      </c>
      <c r="W1067" s="106">
        <v>51910.68962722853</v>
      </c>
      <c r="X1067" s="110">
        <v>0.56503556988933634</v>
      </c>
      <c r="Y1067" s="106">
        <v>499.94575471698107</v>
      </c>
      <c r="Z1067" s="106">
        <v>17.561320754716981</v>
      </c>
      <c r="AA1067" s="106">
        <v>56021.570680628269</v>
      </c>
      <c r="AB1067" s="106">
        <v>454.29966458625228</v>
      </c>
      <c r="AC1067" s="106">
        <v>1.7850267099808228</v>
      </c>
      <c r="AD1067" s="106">
        <v>23.387755102040817</v>
      </c>
      <c r="AE1067" s="106">
        <v>123.31413612565446</v>
      </c>
      <c r="AF1067" s="106">
        <v>9.2241461845152303E-3</v>
      </c>
      <c r="AG1067" s="106">
        <v>24000</v>
      </c>
      <c r="AH1067" s="106">
        <v>13365.391619661563</v>
      </c>
      <c r="AI1067" s="106">
        <v>14535.153908138598</v>
      </c>
      <c r="AJ1067" s="106">
        <v>15449.416599516519</v>
      </c>
      <c r="AK1067" s="104">
        <v>12933.263497179694</v>
      </c>
      <c r="AL1067" s="118"/>
      <c r="AM1067" s="118">
        <v>2068</v>
      </c>
      <c r="AN1067" s="118">
        <v>70659</v>
      </c>
      <c r="AO1067" s="118">
        <v>414</v>
      </c>
      <c r="AP1067" s="118">
        <f t="shared" si="16"/>
        <v>246</v>
      </c>
    </row>
    <row r="1068" spans="1:42" ht="12.75">
      <c r="A1068" s="106">
        <v>2018</v>
      </c>
      <c r="B1068" s="106">
        <v>2302</v>
      </c>
      <c r="C1068" s="106">
        <v>1</v>
      </c>
      <c r="D1068" s="106">
        <v>209065</v>
      </c>
      <c r="E1068" s="106" t="s">
        <v>3857</v>
      </c>
      <c r="F1068" s="106" t="s">
        <v>1812</v>
      </c>
      <c r="G1068" s="106" t="s">
        <v>405</v>
      </c>
      <c r="H1068" s="106">
        <v>7</v>
      </c>
      <c r="I1068" s="106" t="s">
        <v>3641</v>
      </c>
      <c r="J1068" s="106">
        <v>41646</v>
      </c>
      <c r="K1068" s="106">
        <v>29664</v>
      </c>
      <c r="L1068" s="106">
        <v>21930</v>
      </c>
      <c r="M1068" s="106">
        <v>0.3</v>
      </c>
      <c r="N1068" s="106">
        <v>0.73</v>
      </c>
      <c r="O1068" s="106">
        <v>0.98</v>
      </c>
      <c r="P1068" s="106">
        <v>25138</v>
      </c>
      <c r="Q1068" s="106">
        <v>19028.588744588746</v>
      </c>
      <c r="R1068" s="106">
        <v>0.49434418256904139</v>
      </c>
      <c r="S1068" s="106">
        <v>30885.941317941317</v>
      </c>
      <c r="T1068" s="106">
        <v>31790.678210678212</v>
      </c>
      <c r="U1068" s="106">
        <v>26661.251082251081</v>
      </c>
      <c r="V1068" s="106">
        <v>0.73004836967161135</v>
      </c>
      <c r="W1068" s="106">
        <v>97928.261227544921</v>
      </c>
      <c r="X1068" s="110">
        <v>0.65984049402037925</v>
      </c>
      <c r="Y1068" s="106">
        <v>318.5161839863714</v>
      </c>
      <c r="Z1068" s="106">
        <v>10.625212947189098</v>
      </c>
      <c r="AA1068" s="106">
        <v>83602.927601809948</v>
      </c>
      <c r="AB1068" s="106">
        <v>889.37857612759331</v>
      </c>
      <c r="AC1068" s="106">
        <v>1.196130361322838</v>
      </c>
      <c r="AD1068" s="106">
        <v>33.603649265078559</v>
      </c>
      <c r="AE1068" s="106">
        <v>94.001508295625939</v>
      </c>
      <c r="AF1068" s="106">
        <v>4.4042194661081772E-2</v>
      </c>
      <c r="AG1068" s="106">
        <v>41100</v>
      </c>
      <c r="AH1068" s="106">
        <v>26574.430014430014</v>
      </c>
      <c r="AI1068" s="106">
        <v>30885.941317941317</v>
      </c>
      <c r="AJ1068" s="106">
        <v>36040.324194324196</v>
      </c>
      <c r="AK1068" s="104">
        <v>26661.251082251081</v>
      </c>
      <c r="AM1068" s="118">
        <v>2140</v>
      </c>
      <c r="AN1068" s="118">
        <v>62323</v>
      </c>
      <c r="AO1068" s="118">
        <v>642</v>
      </c>
      <c r="AP1068" s="118">
        <f t="shared" si="16"/>
        <v>546</v>
      </c>
    </row>
    <row r="1069" spans="1:42" ht="12.75">
      <c r="A1069" s="106">
        <v>2018</v>
      </c>
      <c r="B1069" s="106">
        <v>-209074</v>
      </c>
      <c r="C1069" s="106">
        <v>0</v>
      </c>
      <c r="D1069" s="106">
        <v>209074</v>
      </c>
      <c r="E1069" s="106" t="s">
        <v>1813</v>
      </c>
      <c r="F1069" s="106" t="s">
        <v>95</v>
      </c>
      <c r="G1069" s="106" t="s">
        <v>405</v>
      </c>
      <c r="H1069" s="106">
        <v>4</v>
      </c>
      <c r="I1069" s="106" t="s">
        <v>24</v>
      </c>
      <c r="J1069" s="106">
        <v>4731</v>
      </c>
      <c r="K1069" s="106">
        <v>8376</v>
      </c>
      <c r="L1069" s="106">
        <v>6970</v>
      </c>
      <c r="M1069" s="106">
        <v>0.44</v>
      </c>
      <c r="N1069" s="106">
        <v>0.56000000000000005</v>
      </c>
      <c r="O1069" s="106">
        <v>7.0000000000000007E-2</v>
      </c>
      <c r="P1069" s="106">
        <v>1842</v>
      </c>
      <c r="Q1069" s="106">
        <v>655.68785850860422</v>
      </c>
      <c r="R1069" s="106">
        <v>0.12325355107873667</v>
      </c>
      <c r="S1069" s="106">
        <v>18008.531070745699</v>
      </c>
      <c r="T1069" s="106">
        <v>17060.491395793499</v>
      </c>
      <c r="U1069" s="106">
        <v>14534.581944295345</v>
      </c>
      <c r="V1069" s="106">
        <v>0.32089959720007044</v>
      </c>
      <c r="W1069" s="106">
        <v>88846.719835197175</v>
      </c>
      <c r="X1069" s="110">
        <v>0.70490454503528499</v>
      </c>
      <c r="Y1069" s="106">
        <v>773.6671232876713</v>
      </c>
      <c r="Z1069" s="106">
        <v>17.194520547945206</v>
      </c>
      <c r="AA1069" s="106">
        <v>66534.672707802762</v>
      </c>
      <c r="AB1069" s="106">
        <v>323.02673898688363</v>
      </c>
      <c r="AC1069" s="106">
        <v>1.50297575580127</v>
      </c>
      <c r="AD1069" s="106">
        <v>24.237602757889153</v>
      </c>
      <c r="AE1069" s="106">
        <v>205.97264770240702</v>
      </c>
      <c r="AF1069" s="106">
        <v>0.4356767201023114</v>
      </c>
      <c r="AG1069" s="106">
        <v>4385</v>
      </c>
      <c r="AH1069" s="106">
        <v>17231.447418738051</v>
      </c>
      <c r="AI1069" s="106">
        <v>17294.963671128105</v>
      </c>
      <c r="AJ1069" s="106">
        <v>18163.542543021031</v>
      </c>
      <c r="AK1069" s="104">
        <v>15893.796367112811</v>
      </c>
      <c r="AL1069" s="119">
        <v>36737818</v>
      </c>
      <c r="AM1069" s="118">
        <v>5830</v>
      </c>
      <c r="AN1069" s="118">
        <v>188259</v>
      </c>
      <c r="AO1069" s="118">
        <v>706</v>
      </c>
      <c r="AP1069" s="118">
        <f t="shared" si="16"/>
        <v>346</v>
      </c>
    </row>
    <row r="1070" spans="1:42" ht="12.75">
      <c r="A1070" s="106">
        <v>2018</v>
      </c>
      <c r="B1070" s="106">
        <v>-219976</v>
      </c>
      <c r="C1070" s="106">
        <v>0</v>
      </c>
      <c r="D1070" s="106">
        <v>219976</v>
      </c>
      <c r="E1070" s="106" t="s">
        <v>1814</v>
      </c>
      <c r="F1070" s="106" t="s">
        <v>331</v>
      </c>
      <c r="G1070" s="106" t="s">
        <v>255</v>
      </c>
      <c r="H1070" s="106">
        <v>5</v>
      </c>
      <c r="I1070" s="106" t="s">
        <v>3639</v>
      </c>
      <c r="J1070" s="106">
        <v>30932</v>
      </c>
      <c r="K1070" s="106">
        <v>25719</v>
      </c>
      <c r="L1070" s="106">
        <v>20432</v>
      </c>
      <c r="M1070" s="106">
        <v>0.26</v>
      </c>
      <c r="N1070" s="106">
        <v>0.48</v>
      </c>
      <c r="O1070" s="106">
        <v>0.97</v>
      </c>
      <c r="P1070" s="106">
        <v>16793</v>
      </c>
      <c r="Q1070" s="106">
        <v>8569.8389201349837</v>
      </c>
      <c r="R1070" s="106">
        <v>0.30619228817379773</v>
      </c>
      <c r="S1070" s="106">
        <v>35363.811923509558</v>
      </c>
      <c r="T1070" s="106">
        <v>32814.40269966254</v>
      </c>
      <c r="U1070" s="106">
        <v>25957.022095284676</v>
      </c>
      <c r="V1070" s="106">
        <v>0.74810518829372152</v>
      </c>
      <c r="W1070" s="106">
        <v>92465.571110285935</v>
      </c>
      <c r="X1070" s="110">
        <v>0.56906108335923722</v>
      </c>
      <c r="Y1070" s="106">
        <v>372.46421052631575</v>
      </c>
      <c r="Z1070" s="106">
        <v>14.036842105263156</v>
      </c>
      <c r="AA1070" s="106">
        <v>82354.720352277218</v>
      </c>
      <c r="AB1070" s="106">
        <v>978.22719707614772</v>
      </c>
      <c r="AC1070" s="106">
        <v>1.2142594810867433</v>
      </c>
      <c r="AD1070" s="106">
        <v>31.986301369863014</v>
      </c>
      <c r="AE1070" s="106">
        <v>84.187723054960742</v>
      </c>
      <c r="AF1070" s="106">
        <v>0.10602708566584788</v>
      </c>
      <c r="AG1070" s="106">
        <v>28556</v>
      </c>
      <c r="AH1070" s="106">
        <v>30625.367829021372</v>
      </c>
      <c r="AI1070" s="106">
        <v>35363.811923509558</v>
      </c>
      <c r="AJ1070" s="106">
        <v>36681.632845894266</v>
      </c>
      <c r="AK1070" s="104">
        <v>26767.032395950508</v>
      </c>
      <c r="AL1070" s="118"/>
      <c r="AM1070" s="118">
        <v>2987</v>
      </c>
      <c r="AN1070" s="118">
        <v>117947</v>
      </c>
      <c r="AO1070" s="118">
        <v>665</v>
      </c>
      <c r="AP1070" s="118">
        <f t="shared" si="16"/>
        <v>2376</v>
      </c>
    </row>
    <row r="1071" spans="1:42" ht="12.75">
      <c r="A1071" s="106">
        <v>2018</v>
      </c>
      <c r="B1071" s="106">
        <v>2586</v>
      </c>
      <c r="C1071" s="106">
        <v>1</v>
      </c>
      <c r="D1071" s="106">
        <v>192448</v>
      </c>
      <c r="E1071" s="106" t="s">
        <v>3856</v>
      </c>
      <c r="F1071" s="106" t="s">
        <v>1701</v>
      </c>
      <c r="G1071" s="106" t="s">
        <v>69</v>
      </c>
      <c r="H1071" s="106">
        <v>6</v>
      </c>
      <c r="I1071" s="106" t="s">
        <v>3640</v>
      </c>
      <c r="J1071" s="106">
        <v>36978</v>
      </c>
      <c r="K1071" s="106">
        <v>24266</v>
      </c>
      <c r="L1071" s="106">
        <v>21859</v>
      </c>
      <c r="M1071" s="106">
        <v>0.45</v>
      </c>
      <c r="N1071" s="106">
        <v>0.56000000000000005</v>
      </c>
      <c r="O1071" s="106">
        <v>0.9</v>
      </c>
      <c r="P1071" s="106">
        <v>20518</v>
      </c>
      <c r="Q1071" s="106">
        <v>7763.3610405535601</v>
      </c>
      <c r="R1071" s="106">
        <v>0.23238323597691074</v>
      </c>
      <c r="S1071" s="106">
        <v>30821.264342646929</v>
      </c>
      <c r="T1071" s="106">
        <v>30071.909783655952</v>
      </c>
      <c r="U1071" s="106">
        <v>26632.864938059465</v>
      </c>
      <c r="V1071" s="106">
        <v>0.96287864041788163</v>
      </c>
      <c r="W1071" s="106">
        <v>115166.48733092016</v>
      </c>
      <c r="X1071" s="110">
        <v>0.58690583583024836</v>
      </c>
      <c r="Y1071" s="106">
        <v>368.88207945900251</v>
      </c>
      <c r="Z1071" s="106">
        <v>14.476331360946745</v>
      </c>
      <c r="AA1071" s="106">
        <v>72036.820421185723</v>
      </c>
      <c r="AB1071" s="106">
        <v>1045.1745948193688</v>
      </c>
      <c r="AC1071" s="106">
        <v>1.3881789814614087</v>
      </c>
      <c r="AD1071" s="106">
        <v>35.39622641509434</v>
      </c>
      <c r="AE1071" s="106">
        <v>68.923240938166316</v>
      </c>
      <c r="AF1071" s="106">
        <v>7.0550690217616244E-2</v>
      </c>
      <c r="AG1071" s="106">
        <v>35038</v>
      </c>
      <c r="AH1071" s="106">
        <v>30280.423754050975</v>
      </c>
      <c r="AI1071" s="106">
        <v>31307.447227818167</v>
      </c>
      <c r="AJ1071" s="106">
        <v>32783.851537181399</v>
      </c>
      <c r="AK1071" s="104">
        <v>27407.393535955154</v>
      </c>
      <c r="AL1071" s="119">
        <v>1160294</v>
      </c>
      <c r="AM1071" s="118">
        <v>10290</v>
      </c>
      <c r="AN1071" s="118">
        <v>290925</v>
      </c>
      <c r="AO1071" s="118">
        <v>1741</v>
      </c>
      <c r="AP1071" s="118">
        <f t="shared" si="16"/>
        <v>1940</v>
      </c>
    </row>
    <row r="1072" spans="1:42" ht="12.75">
      <c r="A1072" s="106">
        <v>2018</v>
      </c>
      <c r="B1072" s="106">
        <v>-198862</v>
      </c>
      <c r="C1072" s="106">
        <v>0</v>
      </c>
      <c r="D1072" s="106">
        <v>198862</v>
      </c>
      <c r="E1072" s="106" t="s">
        <v>1815</v>
      </c>
      <c r="F1072" s="106" t="s">
        <v>629</v>
      </c>
      <c r="G1072" s="106" t="s">
        <v>90</v>
      </c>
      <c r="H1072" s="106">
        <v>7</v>
      </c>
      <c r="I1072" s="106" t="s">
        <v>3641</v>
      </c>
      <c r="J1072" s="106">
        <v>17763</v>
      </c>
      <c r="K1072" s="106">
        <v>16826</v>
      </c>
      <c r="L1072" s="106">
        <v>16542</v>
      </c>
      <c r="M1072" s="106">
        <v>0.82</v>
      </c>
      <c r="N1072" s="106">
        <v>0.89</v>
      </c>
      <c r="O1072" s="106">
        <v>0.69</v>
      </c>
      <c r="P1072" s="106">
        <v>4959</v>
      </c>
      <c r="Q1072" s="106">
        <v>3682.2471728594505</v>
      </c>
      <c r="R1072" s="106">
        <v>0.22735941611614677</v>
      </c>
      <c r="S1072" s="106">
        <v>23750.647011308563</v>
      </c>
      <c r="T1072" s="106">
        <v>24605.025848142166</v>
      </c>
      <c r="U1072" s="106">
        <v>20834.263204161998</v>
      </c>
      <c r="V1072" s="106">
        <v>0.60061940855176776</v>
      </c>
      <c r="W1072" s="106">
        <v>63355.57322834646</v>
      </c>
      <c r="X1072" s="110">
        <v>0.44024337069189601</v>
      </c>
      <c r="Y1072" s="106">
        <v>530.54285714285709</v>
      </c>
      <c r="Z1072" s="106">
        <v>17.685714285714287</v>
      </c>
      <c r="AA1072" s="106">
        <v>154448.01105839852</v>
      </c>
      <c r="AB1072" s="106">
        <v>694.51283986085821</v>
      </c>
      <c r="AC1072" s="106">
        <v>0.64746706231256601</v>
      </c>
      <c r="AD1072" s="106">
        <v>14.597902097902098</v>
      </c>
      <c r="AE1072" s="106">
        <v>222.38323353293413</v>
      </c>
      <c r="AF1072" s="106">
        <v>6.8044701921348583E-3</v>
      </c>
      <c r="AG1072" s="106">
        <v>15453</v>
      </c>
      <c r="AH1072" s="106">
        <v>21671.606623586431</v>
      </c>
      <c r="AI1072" s="106">
        <v>23860.967689822293</v>
      </c>
      <c r="AJ1072" s="106">
        <v>23804.76171243942</v>
      </c>
      <c r="AK1072" s="104">
        <v>21100.286752827142</v>
      </c>
      <c r="AM1072" s="118">
        <v>1150</v>
      </c>
      <c r="AN1072" s="118">
        <v>37138</v>
      </c>
      <c r="AO1072" s="118">
        <v>167</v>
      </c>
      <c r="AP1072" s="118">
        <f t="shared" si="16"/>
        <v>2310</v>
      </c>
    </row>
    <row r="1073" spans="1:42" ht="12.75">
      <c r="A1073" s="106">
        <v>2018</v>
      </c>
      <c r="B1073" s="106">
        <v>-213613</v>
      </c>
      <c r="C1073" s="106">
        <v>0</v>
      </c>
      <c r="D1073" s="106">
        <v>213613</v>
      </c>
      <c r="E1073" s="106" t="s">
        <v>1816</v>
      </c>
      <c r="F1073" s="106" t="s">
        <v>1817</v>
      </c>
      <c r="G1073" s="106" t="s">
        <v>104</v>
      </c>
      <c r="H1073" s="106">
        <v>2</v>
      </c>
      <c r="I1073" s="106" t="s">
        <v>25</v>
      </c>
      <c r="J1073" s="106">
        <v>10576</v>
      </c>
      <c r="K1073" s="106">
        <v>18491</v>
      </c>
      <c r="L1073" s="106">
        <v>16241</v>
      </c>
      <c r="M1073" s="106">
        <v>0.48</v>
      </c>
      <c r="N1073" s="106">
        <v>0.85</v>
      </c>
      <c r="O1073" s="106">
        <v>0.13</v>
      </c>
      <c r="P1073" s="106">
        <v>3137</v>
      </c>
      <c r="Q1073" s="106">
        <v>617.17839740119109</v>
      </c>
      <c r="R1073" s="106">
        <v>5.6576397581127889E-2</v>
      </c>
      <c r="S1073" s="106">
        <v>23261.275852734165</v>
      </c>
      <c r="T1073" s="106">
        <v>24011.487276664862</v>
      </c>
      <c r="U1073" s="106">
        <v>16456.265205675591</v>
      </c>
      <c r="V1073" s="106">
        <v>0.62538993129342069</v>
      </c>
      <c r="W1073" s="106">
        <v>115923.80328947368</v>
      </c>
      <c r="X1073" s="110">
        <v>0.66218448681968833</v>
      </c>
      <c r="Y1073" s="106">
        <v>509.19592476489032</v>
      </c>
      <c r="Z1073" s="106">
        <v>17.369905956112852</v>
      </c>
      <c r="AA1073" s="106">
        <v>62412.159825221395</v>
      </c>
      <c r="AB1073" s="106">
        <v>561.36305321653754</v>
      </c>
      <c r="AC1073" s="106">
        <v>1.6022518733535158</v>
      </c>
      <c r="AD1073" s="106">
        <v>27.275273032763931</v>
      </c>
      <c r="AE1073" s="106">
        <v>111.17967145790554</v>
      </c>
      <c r="AF1073" s="106">
        <v>-0.36277801738472182</v>
      </c>
      <c r="AG1073" s="106">
        <v>7492</v>
      </c>
      <c r="AH1073" s="106">
        <v>23402.132918245803</v>
      </c>
      <c r="AI1073" s="106">
        <v>23583.777747698972</v>
      </c>
      <c r="AJ1073" s="106">
        <v>23606.342988630211</v>
      </c>
      <c r="AK1073" s="104">
        <v>17823.422035733623</v>
      </c>
      <c r="AL1073" s="118">
        <v>24955737</v>
      </c>
      <c r="AM1073" s="118">
        <v>3472</v>
      </c>
      <c r="AN1073" s="118">
        <v>108289</v>
      </c>
      <c r="AO1073" s="118">
        <v>813</v>
      </c>
      <c r="AP1073" s="118">
        <f t="shared" si="16"/>
        <v>3084</v>
      </c>
    </row>
    <row r="1074" spans="1:42" ht="12.75">
      <c r="A1074" s="106">
        <v>2018</v>
      </c>
      <c r="B1074" s="106">
        <v>-227182</v>
      </c>
      <c r="C1074" s="106">
        <v>0</v>
      </c>
      <c r="D1074" s="106">
        <v>227182</v>
      </c>
      <c r="E1074" s="106" t="s">
        <v>1818</v>
      </c>
      <c r="F1074" s="106" t="s">
        <v>1819</v>
      </c>
      <c r="G1074" s="106" t="s">
        <v>60</v>
      </c>
      <c r="H1074" s="106">
        <v>4</v>
      </c>
      <c r="I1074" s="106" t="s">
        <v>24</v>
      </c>
      <c r="J1074" s="106">
        <v>1600</v>
      </c>
      <c r="K1074" s="106">
        <v>7350</v>
      </c>
      <c r="L1074" s="106">
        <v>5774</v>
      </c>
      <c r="M1074" s="106">
        <v>0.44</v>
      </c>
      <c r="N1074" s="106">
        <v>0.14000000000000001</v>
      </c>
      <c r="O1074" s="106">
        <v>0.22</v>
      </c>
      <c r="P1074" s="106">
        <v>2491</v>
      </c>
      <c r="Q1074" s="106">
        <v>39.33755645012976</v>
      </c>
      <c r="R1074" s="106">
        <v>1.6561252883726691E-2</v>
      </c>
      <c r="S1074" s="106">
        <v>10179.943784866256</v>
      </c>
      <c r="T1074" s="106">
        <v>9684.2879007703777</v>
      </c>
      <c r="U1074" s="106">
        <v>8416.9830664075889</v>
      </c>
      <c r="V1074" s="106">
        <v>0.27752687936368509</v>
      </c>
      <c r="W1074" s="106">
        <v>60438.36217591857</v>
      </c>
      <c r="X1074" s="110">
        <v>0.5345149468339484</v>
      </c>
      <c r="Y1074" s="106">
        <v>753.77888071196298</v>
      </c>
      <c r="Z1074" s="106">
        <v>25.125962690398765</v>
      </c>
      <c r="AA1074" s="106">
        <v>41618.864334726495</v>
      </c>
      <c r="AB1074" s="106">
        <v>280.56610221358625</v>
      </c>
      <c r="AC1074" s="106">
        <v>2.4027565768189567</v>
      </c>
      <c r="AD1074" s="106">
        <v>26.096242584047463</v>
      </c>
      <c r="AE1074" s="106">
        <v>148.33889057290088</v>
      </c>
      <c r="AF1074" s="106">
        <v>0.12432650385004912</v>
      </c>
      <c r="AG1074" s="106">
        <v>1056</v>
      </c>
      <c r="AH1074" s="106">
        <v>9211.5554488423895</v>
      </c>
      <c r="AI1074" s="106">
        <v>9221.6483437889528</v>
      </c>
      <c r="AJ1074" s="106">
        <v>10279.016245376708</v>
      </c>
      <c r="AK1074" s="104">
        <v>9501.7018207082583</v>
      </c>
      <c r="AL1074" s="118">
        <v>300597400</v>
      </c>
      <c r="AM1074" s="118">
        <v>72336</v>
      </c>
      <c r="AN1074" s="118">
        <v>1468110</v>
      </c>
      <c r="AO1074" s="118">
        <v>7552</v>
      </c>
      <c r="AP1074" s="118">
        <f t="shared" si="16"/>
        <v>544</v>
      </c>
    </row>
    <row r="1075" spans="1:42" ht="12.75">
      <c r="A1075" s="106">
        <v>2018</v>
      </c>
      <c r="B1075" s="106">
        <v>-117645</v>
      </c>
      <c r="C1075" s="106">
        <v>0</v>
      </c>
      <c r="D1075" s="106">
        <v>117645</v>
      </c>
      <c r="E1075" s="106" t="s">
        <v>1820</v>
      </c>
      <c r="F1075" s="106" t="s">
        <v>552</v>
      </c>
      <c r="G1075" s="106" t="s">
        <v>121</v>
      </c>
      <c r="H1075" s="106">
        <v>4</v>
      </c>
      <c r="I1075" s="106" t="s">
        <v>24</v>
      </c>
      <c r="J1075" s="106">
        <v>1188</v>
      </c>
      <c r="K1075" s="106">
        <v>4817</v>
      </c>
      <c r="L1075" s="106">
        <v>3327</v>
      </c>
      <c r="M1075" s="106">
        <v>0.6</v>
      </c>
      <c r="N1075" s="106">
        <v>0.01</v>
      </c>
      <c r="O1075" s="106">
        <v>0.01</v>
      </c>
      <c r="P1075" s="106">
        <v>853</v>
      </c>
      <c r="Q1075" s="106"/>
      <c r="R1075" s="106"/>
      <c r="S1075" s="106">
        <v>13178.507217370208</v>
      </c>
      <c r="T1075" s="106">
        <v>16337.940077632218</v>
      </c>
      <c r="U1075" s="106">
        <v>8943.4639423716053</v>
      </c>
      <c r="V1075" s="106">
        <v>0.19127669097413452</v>
      </c>
      <c r="W1075" s="106">
        <v>134514.39215686274</v>
      </c>
      <c r="X1075" s="110">
        <v>0.56026866379026363</v>
      </c>
      <c r="Y1075" s="106">
        <v>866.79672897196269</v>
      </c>
      <c r="Z1075" s="106">
        <v>28.892523364485982</v>
      </c>
      <c r="AA1075" s="106">
        <v>62430.073447003822</v>
      </c>
      <c r="AB1075" s="106">
        <v>298.10823261974684</v>
      </c>
      <c r="AC1075" s="106">
        <v>1.6017921248304932</v>
      </c>
      <c r="AD1075" s="106">
        <v>16.219185607361119</v>
      </c>
      <c r="AE1075" s="106">
        <v>209.42082980524978</v>
      </c>
      <c r="AF1075" s="106">
        <v>4.907058759712217E-2</v>
      </c>
      <c r="AG1075" s="106">
        <v>1104</v>
      </c>
      <c r="AH1075" s="106">
        <v>11977.273168364871</v>
      </c>
      <c r="AI1075" s="106">
        <v>11977.273168364871</v>
      </c>
      <c r="AJ1075" s="106">
        <v>13259.641193595342</v>
      </c>
      <c r="AK1075" s="104">
        <v>12389.960880640465</v>
      </c>
      <c r="AL1075" s="119">
        <v>119361189</v>
      </c>
      <c r="AM1075" s="118">
        <v>24658</v>
      </c>
      <c r="AN1075" s="118">
        <v>494652</v>
      </c>
      <c r="AO1075" s="118">
        <v>1742</v>
      </c>
      <c r="AP1075" s="118">
        <f t="shared" si="16"/>
        <v>84</v>
      </c>
    </row>
    <row r="1076" spans="1:42" ht="12.75">
      <c r="A1076" s="106">
        <v>2018</v>
      </c>
      <c r="B1076" s="106">
        <v>-232566</v>
      </c>
      <c r="C1076" s="106">
        <v>0</v>
      </c>
      <c r="D1076" s="106">
        <v>232566</v>
      </c>
      <c r="E1076" s="106" t="s">
        <v>1821</v>
      </c>
      <c r="F1076" s="106" t="s">
        <v>1822</v>
      </c>
      <c r="G1076" s="106" t="s">
        <v>261</v>
      </c>
      <c r="H1076" s="106">
        <v>2</v>
      </c>
      <c r="I1076" s="106" t="s">
        <v>25</v>
      </c>
      <c r="J1076" s="106">
        <v>12720</v>
      </c>
      <c r="K1076" s="106">
        <v>19532</v>
      </c>
      <c r="L1076" s="106">
        <v>13907</v>
      </c>
      <c r="M1076" s="106">
        <v>0.32</v>
      </c>
      <c r="N1076" s="106">
        <v>0.64</v>
      </c>
      <c r="O1076" s="106">
        <v>0.59</v>
      </c>
      <c r="P1076" s="106">
        <v>4201</v>
      </c>
      <c r="Q1076" s="106">
        <v>1474.8542475204829</v>
      </c>
      <c r="R1076" s="106">
        <v>0.16994972620335158</v>
      </c>
      <c r="S1076" s="106">
        <v>26771.335273824923</v>
      </c>
      <c r="T1076" s="106">
        <v>30856.910952996983</v>
      </c>
      <c r="U1076" s="106">
        <v>14368.2715568276</v>
      </c>
      <c r="V1076" s="106">
        <v>0.50133555224559168</v>
      </c>
      <c r="W1076" s="106">
        <v>88436.609431680772</v>
      </c>
      <c r="X1076" s="110">
        <v>0.51103942034381411</v>
      </c>
      <c r="Y1076" s="106">
        <v>486.64922711058267</v>
      </c>
      <c r="Z1076" s="106">
        <v>16.544589774078478</v>
      </c>
      <c r="AA1076" s="106">
        <v>60253.203870313213</v>
      </c>
      <c r="AB1076" s="106">
        <v>488.47741951977957</v>
      </c>
      <c r="AC1076" s="106">
        <v>1.659662782666899</v>
      </c>
      <c r="AD1076" s="106">
        <v>24.715083798882681</v>
      </c>
      <c r="AE1076" s="106">
        <v>123.3490054249548</v>
      </c>
      <c r="AF1076" s="106">
        <v>-4.1061717763648004E-2</v>
      </c>
      <c r="AG1076" s="106">
        <v>7620</v>
      </c>
      <c r="AH1076" s="106">
        <v>27764.760457093576</v>
      </c>
      <c r="AI1076" s="106">
        <v>27764.760457093576</v>
      </c>
      <c r="AJ1076" s="106">
        <v>26832.327943078912</v>
      </c>
      <c r="AK1076" s="104">
        <v>15661.736093143596</v>
      </c>
      <c r="AL1076" s="118">
        <v>32868845</v>
      </c>
      <c r="AM1076" s="118">
        <v>4472</v>
      </c>
      <c r="AN1076" s="118">
        <v>136424</v>
      </c>
      <c r="AO1076" s="118">
        <v>931</v>
      </c>
      <c r="AP1076" s="118">
        <f t="shared" si="16"/>
        <v>5100</v>
      </c>
    </row>
    <row r="1077" spans="1:42" ht="12.75">
      <c r="A1077" s="106">
        <v>2018</v>
      </c>
      <c r="B1077" s="106">
        <v>-203748</v>
      </c>
      <c r="C1077" s="106">
        <v>0</v>
      </c>
      <c r="D1077" s="106">
        <v>203748</v>
      </c>
      <c r="E1077" s="106" t="s">
        <v>1823</v>
      </c>
      <c r="F1077" s="106" t="s">
        <v>1824</v>
      </c>
      <c r="G1077" s="106" t="s">
        <v>82</v>
      </c>
      <c r="H1077" s="106">
        <v>4</v>
      </c>
      <c r="I1077" s="106" t="s">
        <v>24</v>
      </c>
      <c r="J1077" s="106">
        <v>3151</v>
      </c>
      <c r="K1077" s="106">
        <v>3161</v>
      </c>
      <c r="L1077" s="106">
        <v>2226</v>
      </c>
      <c r="M1077" s="106">
        <v>0.52</v>
      </c>
      <c r="N1077" s="106">
        <v>0.12</v>
      </c>
      <c r="O1077" s="106">
        <v>0.37</v>
      </c>
      <c r="P1077" s="106">
        <v>2351</v>
      </c>
      <c r="Q1077" s="106">
        <v>670.78379224030039</v>
      </c>
      <c r="R1077" s="106">
        <v>0.16533349868032815</v>
      </c>
      <c r="S1077" s="106">
        <v>17205.286138923653</v>
      </c>
      <c r="T1077" s="106">
        <v>17257.049123904882</v>
      </c>
      <c r="U1077" s="106">
        <v>11030.510335795227</v>
      </c>
      <c r="V1077" s="106">
        <v>0.30700049960434039</v>
      </c>
      <c r="W1077" s="106">
        <v>80148.162864963495</v>
      </c>
      <c r="X1077" s="110">
        <v>0.5308961372172577</v>
      </c>
      <c r="Y1077" s="106">
        <v>691.47836538461524</v>
      </c>
      <c r="Z1077" s="106">
        <v>23.04807692307692</v>
      </c>
      <c r="AA1077" s="106">
        <v>33415.650268437486</v>
      </c>
      <c r="AB1077" s="106">
        <v>367.6645047004385</v>
      </c>
      <c r="AC1077" s="106">
        <v>2.9926097261813362</v>
      </c>
      <c r="AD1077" s="106">
        <v>37.213403880070544</v>
      </c>
      <c r="AE1077" s="106">
        <v>90.886255924170612</v>
      </c>
      <c r="AF1077" s="106">
        <v>0.2210557666546609</v>
      </c>
      <c r="AG1077" s="106">
        <v>2796</v>
      </c>
      <c r="AH1077" s="106">
        <v>16061.126408010012</v>
      </c>
      <c r="AI1077" s="106">
        <v>16061.986858573217</v>
      </c>
      <c r="AJ1077" s="106">
        <v>17291.993585732165</v>
      </c>
      <c r="AK1077" s="104">
        <v>15150.550844806008</v>
      </c>
      <c r="AL1077" s="119">
        <v>54704847</v>
      </c>
      <c r="AM1077" s="118">
        <v>11042</v>
      </c>
      <c r="AN1077" s="118">
        <v>191770</v>
      </c>
      <c r="AO1077" s="118">
        <v>1613</v>
      </c>
      <c r="AP1077" s="118">
        <f t="shared" si="16"/>
        <v>355</v>
      </c>
    </row>
    <row r="1078" spans="1:42" ht="12.75">
      <c r="A1078" s="106">
        <v>2018</v>
      </c>
      <c r="B1078" s="106">
        <v>-153825</v>
      </c>
      <c r="C1078" s="106">
        <v>0</v>
      </c>
      <c r="D1078" s="106">
        <v>153825</v>
      </c>
      <c r="E1078" s="106" t="s">
        <v>1825</v>
      </c>
      <c r="F1078" s="106" t="s">
        <v>763</v>
      </c>
      <c r="G1078" s="106" t="s">
        <v>447</v>
      </c>
      <c r="H1078" s="106">
        <v>7</v>
      </c>
      <c r="I1078" s="106" t="s">
        <v>3641</v>
      </c>
      <c r="J1078" s="106">
        <v>32886</v>
      </c>
      <c r="K1078" s="106">
        <v>20316</v>
      </c>
      <c r="L1078" s="106">
        <v>13973</v>
      </c>
      <c r="M1078" s="106">
        <v>0.28999999999999998</v>
      </c>
      <c r="N1078" s="106">
        <v>0.68</v>
      </c>
      <c r="O1078" s="106">
        <v>1</v>
      </c>
      <c r="P1078" s="106">
        <v>20486</v>
      </c>
      <c r="Q1078" s="106">
        <v>17048.240133779265</v>
      </c>
      <c r="R1078" s="106">
        <v>0.57217961520354088</v>
      </c>
      <c r="S1078" s="106">
        <v>31693.48227424749</v>
      </c>
      <c r="T1078" s="106">
        <v>30748.373913043477</v>
      </c>
      <c r="U1078" s="106">
        <v>19513.907198659053</v>
      </c>
      <c r="V1078" s="106">
        <v>0.65322742740465911</v>
      </c>
      <c r="W1078" s="106">
        <v>63413.360606060603</v>
      </c>
      <c r="X1078" s="110">
        <v>0.45523051179539764</v>
      </c>
      <c r="Y1078" s="106">
        <v>401.79754601226995</v>
      </c>
      <c r="Z1078" s="106">
        <v>13.757668711656441</v>
      </c>
      <c r="AA1078" s="106">
        <v>84072.88548125443</v>
      </c>
      <c r="AB1078" s="106">
        <v>668.16204621857185</v>
      </c>
      <c r="AC1078" s="106">
        <v>1.1894441284794111</v>
      </c>
      <c r="AD1078" s="106">
        <v>24.47108603667137</v>
      </c>
      <c r="AE1078" s="106">
        <v>125.82708933717579</v>
      </c>
      <c r="AF1078" s="106">
        <v>7.6736943818444869E-2</v>
      </c>
      <c r="AG1078" s="106">
        <v>31418</v>
      </c>
      <c r="AH1078" s="106">
        <v>25969.774581939801</v>
      </c>
      <c r="AI1078" s="106">
        <v>31806.93779264214</v>
      </c>
      <c r="AJ1078" s="106">
        <v>32748.309030100336</v>
      </c>
      <c r="AK1078" s="104">
        <v>20539.098996655517</v>
      </c>
      <c r="AM1078" s="118">
        <v>1397</v>
      </c>
      <c r="AN1078" s="118">
        <v>43662</v>
      </c>
      <c r="AO1078" s="118">
        <v>316</v>
      </c>
      <c r="AP1078" s="118">
        <f t="shared" si="16"/>
        <v>1468</v>
      </c>
    </row>
    <row r="1079" spans="1:42" ht="12.75">
      <c r="A1079" s="106">
        <v>2018</v>
      </c>
      <c r="B1079" s="106">
        <v>-232575</v>
      </c>
      <c r="C1079" s="106">
        <v>0</v>
      </c>
      <c r="D1079" s="106">
        <v>232575</v>
      </c>
      <c r="E1079" s="106" t="s">
        <v>1826</v>
      </c>
      <c r="F1079" s="106" t="s">
        <v>1827</v>
      </c>
      <c r="G1079" s="106" t="s">
        <v>261</v>
      </c>
      <c r="H1079" s="106">
        <v>4</v>
      </c>
      <c r="I1079" s="106" t="s">
        <v>24</v>
      </c>
      <c r="J1079" s="106">
        <v>4627</v>
      </c>
      <c r="K1079" s="106">
        <v>6738</v>
      </c>
      <c r="L1079" s="106">
        <v>5525</v>
      </c>
      <c r="M1079" s="106">
        <v>0.36</v>
      </c>
      <c r="N1079" s="106">
        <v>0.11</v>
      </c>
      <c r="O1079" s="106">
        <v>0.13</v>
      </c>
      <c r="P1079" s="106">
        <v>1353</v>
      </c>
      <c r="Q1079" s="106">
        <v>172.07019303083479</v>
      </c>
      <c r="R1079" s="106">
        <v>3.299273887492217E-2</v>
      </c>
      <c r="S1079" s="106">
        <v>10976.072449235397</v>
      </c>
      <c r="T1079" s="106">
        <v>10763.609425921284</v>
      </c>
      <c r="U1079" s="106">
        <v>8647.7155366420502</v>
      </c>
      <c r="V1079" s="106">
        <v>0.58319744956406616</v>
      </c>
      <c r="W1079" s="106">
        <v>67486.36153846154</v>
      </c>
      <c r="X1079" s="110">
        <v>0.54488660551306578</v>
      </c>
      <c r="Y1079" s="106">
        <v>716.56287425149696</v>
      </c>
      <c r="Z1079" s="106">
        <v>23.886227544910181</v>
      </c>
      <c r="AA1079" s="106">
        <v>24309.89237185704</v>
      </c>
      <c r="AB1079" s="106">
        <v>288.2668199460594</v>
      </c>
      <c r="AC1079" s="106">
        <v>4.113551737307052</v>
      </c>
      <c r="AD1079" s="106">
        <v>39.361997226074898</v>
      </c>
      <c r="AE1079" s="106">
        <v>84.331219168428476</v>
      </c>
      <c r="AF1079" s="106">
        <v>4.1847784383678949E-2</v>
      </c>
      <c r="AG1079" s="106">
        <v>4253</v>
      </c>
      <c r="AH1079" s="106">
        <v>10071.161193281525</v>
      </c>
      <c r="AI1079" s="106">
        <v>10276.180997743795</v>
      </c>
      <c r="AJ1079" s="106">
        <v>10985.012033090999</v>
      </c>
      <c r="AK1079" s="104">
        <v>10109.219854600151</v>
      </c>
      <c r="AL1079" s="119">
        <v>15367409</v>
      </c>
      <c r="AM1079" s="118">
        <v>6891</v>
      </c>
      <c r="AN1079" s="118">
        <v>119666</v>
      </c>
      <c r="AO1079" s="118">
        <v>669</v>
      </c>
      <c r="AP1079" s="118">
        <f t="shared" si="16"/>
        <v>374</v>
      </c>
    </row>
    <row r="1080" spans="1:42" ht="12.75">
      <c r="A1080" s="106">
        <v>2018</v>
      </c>
      <c r="B1080" s="106">
        <v>-117788</v>
      </c>
      <c r="C1080" s="106">
        <v>0</v>
      </c>
      <c r="D1080" s="106">
        <v>117788</v>
      </c>
      <c r="E1080" s="106" t="s">
        <v>4130</v>
      </c>
      <c r="F1080" s="106" t="s">
        <v>152</v>
      </c>
      <c r="G1080" s="106" t="s">
        <v>121</v>
      </c>
      <c r="H1080" s="106">
        <v>4</v>
      </c>
      <c r="I1080" s="106" t="s">
        <v>24</v>
      </c>
      <c r="J1080" s="106">
        <v>1244</v>
      </c>
      <c r="K1080" s="106">
        <v>7024</v>
      </c>
      <c r="L1080" s="106">
        <v>4946</v>
      </c>
      <c r="M1080" s="106">
        <v>0.46</v>
      </c>
      <c r="N1080" s="106">
        <v>0.04</v>
      </c>
      <c r="O1080" s="106">
        <v>0</v>
      </c>
      <c r="P1080" s="106"/>
      <c r="Q1080" s="106"/>
      <c r="R1080" s="106"/>
      <c r="S1080" s="106">
        <v>16422.32844847639</v>
      </c>
      <c r="T1080" s="106">
        <v>16803.56431728309</v>
      </c>
      <c r="U1080" s="106">
        <v>13565.893363364259</v>
      </c>
      <c r="V1080" s="106">
        <v>0.1411231082370675</v>
      </c>
      <c r="W1080" s="106">
        <v>132931.05275637226</v>
      </c>
      <c r="X1080" s="110">
        <v>0.51739403642015214</v>
      </c>
      <c r="Y1080" s="106">
        <v>770.0059701492537</v>
      </c>
      <c r="Z1080" s="106">
        <v>25.665671641791043</v>
      </c>
      <c r="AA1080" s="106">
        <v>46843.193228195138</v>
      </c>
      <c r="AB1080" s="106">
        <v>452.17540913893242</v>
      </c>
      <c r="AC1080" s="106">
        <v>2.1347818777608341</v>
      </c>
      <c r="AD1080" s="106">
        <v>34.114262227702426</v>
      </c>
      <c r="AE1080" s="106">
        <v>103.59518072289157</v>
      </c>
      <c r="AF1080" s="106"/>
      <c r="AG1080" s="106">
        <v>1220</v>
      </c>
      <c r="AH1080" s="106">
        <v>15461.514421958595</v>
      </c>
      <c r="AI1080" s="106">
        <v>15461.514421958595</v>
      </c>
      <c r="AJ1080" s="106">
        <v>16562.9250988602</v>
      </c>
      <c r="AK1080" s="104">
        <v>16247.383344963946</v>
      </c>
      <c r="AL1080" s="119">
        <v>86205840</v>
      </c>
      <c r="AM1080" s="118">
        <v>15849</v>
      </c>
      <c r="AN1080" s="118">
        <v>257952</v>
      </c>
      <c r="AO1080" s="118">
        <v>1050</v>
      </c>
      <c r="AP1080" s="118">
        <f t="shared" si="16"/>
        <v>24</v>
      </c>
    </row>
    <row r="1081" spans="1:42" ht="12.75">
      <c r="A1081" s="106">
        <v>2018</v>
      </c>
      <c r="B1081" s="106">
        <v>-117803</v>
      </c>
      <c r="C1081" s="106">
        <v>0</v>
      </c>
      <c r="D1081" s="106">
        <v>117803</v>
      </c>
      <c r="E1081" s="106" t="s">
        <v>1828</v>
      </c>
      <c r="F1081" s="106" t="s">
        <v>152</v>
      </c>
      <c r="G1081" s="106" t="s">
        <v>121</v>
      </c>
      <c r="H1081" s="106">
        <v>4</v>
      </c>
      <c r="I1081" s="106" t="s">
        <v>24</v>
      </c>
      <c r="J1081" s="106"/>
      <c r="K1081" s="106"/>
      <c r="L1081" s="106"/>
      <c r="M1081" s="106"/>
      <c r="N1081" s="106"/>
      <c r="O1081" s="106"/>
      <c r="P1081" s="106"/>
      <c r="Q1081" s="106">
        <v>233.36734693877551</v>
      </c>
      <c r="R1081" s="106">
        <v>5.7843672858241268E-2</v>
      </c>
      <c r="S1081" s="106">
        <v>47699.693877551021</v>
      </c>
      <c r="T1081" s="106">
        <v>62142.210884353743</v>
      </c>
      <c r="U1081" s="106">
        <v>33920.700680272108</v>
      </c>
      <c r="V1081" s="106">
        <v>0.11205787487944571</v>
      </c>
      <c r="W1081" s="106">
        <v>83715.23529411765</v>
      </c>
      <c r="X1081" s="110">
        <v>0.46738055841850573</v>
      </c>
      <c r="Y1081" s="106">
        <v>129.73529411764707</v>
      </c>
      <c r="Z1081" s="106">
        <v>4.3235294117647056</v>
      </c>
      <c r="AA1081" s="106">
        <v>58662.858823529408</v>
      </c>
      <c r="AB1081" s="106">
        <v>1130.4336885060077</v>
      </c>
      <c r="AC1081" s="106">
        <v>1.7046560976651626</v>
      </c>
      <c r="AD1081" s="106">
        <v>121.42857142857142</v>
      </c>
      <c r="AE1081" s="106">
        <v>51.89411764705882</v>
      </c>
      <c r="AF1081" s="106"/>
      <c r="AG1081" s="106"/>
      <c r="AH1081" s="106">
        <v>45204.442176870747</v>
      </c>
      <c r="AI1081" s="106">
        <v>45520.56462585034</v>
      </c>
      <c r="AJ1081" s="106">
        <v>47699.693877551021</v>
      </c>
      <c r="AK1081" s="104">
        <v>37365.448979591834</v>
      </c>
      <c r="AL1081" s="119">
        <v>5560029</v>
      </c>
      <c r="AM1081" s="118">
        <v>208</v>
      </c>
      <c r="AN1081" s="118">
        <v>4411</v>
      </c>
      <c r="AO1081" s="118">
        <v>85</v>
      </c>
      <c r="AP1081" s="118">
        <f t="shared" si="16"/>
        <v>0</v>
      </c>
    </row>
    <row r="1082" spans="1:42" ht="12.75">
      <c r="A1082" s="106">
        <v>2018</v>
      </c>
      <c r="B1082" s="106">
        <v>-117690</v>
      </c>
      <c r="C1082" s="106">
        <v>0</v>
      </c>
      <c r="D1082" s="106">
        <v>117690</v>
      </c>
      <c r="E1082" s="106" t="s">
        <v>4131</v>
      </c>
      <c r="F1082" s="106" t="s">
        <v>589</v>
      </c>
      <c r="G1082" s="106" t="s">
        <v>121</v>
      </c>
      <c r="H1082" s="106">
        <v>4</v>
      </c>
      <c r="I1082" s="106" t="s">
        <v>24</v>
      </c>
      <c r="J1082" s="106">
        <v>1244</v>
      </c>
      <c r="K1082" s="106">
        <v>11526</v>
      </c>
      <c r="L1082" s="106">
        <v>9145</v>
      </c>
      <c r="M1082" s="106">
        <v>0.46</v>
      </c>
      <c r="N1082" s="106">
        <v>0</v>
      </c>
      <c r="O1082" s="106">
        <v>0</v>
      </c>
      <c r="P1082" s="106"/>
      <c r="Q1082" s="106">
        <v>1.937984496124031E-4</v>
      </c>
      <c r="R1082" s="106">
        <v>9.7818089264484279E-8</v>
      </c>
      <c r="S1082" s="106">
        <v>15109.962015503876</v>
      </c>
      <c r="T1082" s="106">
        <v>16187.45542635659</v>
      </c>
      <c r="U1082" s="106">
        <v>13216.004360229843</v>
      </c>
      <c r="V1082" s="106">
        <v>0.14991010466530816</v>
      </c>
      <c r="W1082" s="106">
        <v>138247.66001994017</v>
      </c>
      <c r="X1082" s="110">
        <v>0.55336180626997622</v>
      </c>
      <c r="Y1082" s="106">
        <v>823.41489361702122</v>
      </c>
      <c r="Z1082" s="106">
        <v>27.446808510638299</v>
      </c>
      <c r="AA1082" s="106">
        <v>38182.856942209401</v>
      </c>
      <c r="AB1082" s="106">
        <v>440.52778710085136</v>
      </c>
      <c r="AC1082" s="106">
        <v>2.6189763681474183</v>
      </c>
      <c r="AD1082" s="106">
        <v>37.497375603611175</v>
      </c>
      <c r="AE1082" s="106">
        <v>86.675251959686449</v>
      </c>
      <c r="AF1082" s="106"/>
      <c r="AG1082" s="106">
        <v>1220</v>
      </c>
      <c r="AH1082" s="106">
        <v>14397.649806201551</v>
      </c>
      <c r="AI1082" s="106">
        <v>14397.649806201551</v>
      </c>
      <c r="AJ1082" s="106">
        <v>15238.601356589148</v>
      </c>
      <c r="AK1082" s="104">
        <v>15453.025387596899</v>
      </c>
      <c r="AL1082" s="119">
        <v>47335584</v>
      </c>
      <c r="AM1082" s="118">
        <v>9182</v>
      </c>
      <c r="AN1082" s="118">
        <v>154802</v>
      </c>
      <c r="AO1082" s="118">
        <v>1375</v>
      </c>
      <c r="AP1082" s="118">
        <f t="shared" si="16"/>
        <v>24</v>
      </c>
    </row>
    <row r="1083" spans="1:42" ht="12.75">
      <c r="A1083" s="106">
        <v>2018</v>
      </c>
      <c r="B1083" s="106">
        <v>-117867</v>
      </c>
      <c r="C1083" s="106">
        <v>0</v>
      </c>
      <c r="D1083" s="106">
        <v>117867</v>
      </c>
      <c r="E1083" s="106" t="s">
        <v>4132</v>
      </c>
      <c r="F1083" s="106" t="s">
        <v>4133</v>
      </c>
      <c r="G1083" s="106" t="s">
        <v>121</v>
      </c>
      <c r="H1083" s="106">
        <v>4</v>
      </c>
      <c r="I1083" s="106" t="s">
        <v>24</v>
      </c>
      <c r="J1083" s="106">
        <v>1220</v>
      </c>
      <c r="K1083" s="106">
        <v>10632</v>
      </c>
      <c r="L1083" s="106">
        <v>7972</v>
      </c>
      <c r="M1083" s="106">
        <v>0.51</v>
      </c>
      <c r="N1083" s="106">
        <v>0</v>
      </c>
      <c r="O1083" s="106">
        <v>0</v>
      </c>
      <c r="P1083" s="106"/>
      <c r="Q1083" s="106"/>
      <c r="R1083" s="106"/>
      <c r="S1083" s="106">
        <v>13646.325753268902</v>
      </c>
      <c r="T1083" s="106">
        <v>15102.928936895963</v>
      </c>
      <c r="U1083" s="106">
        <v>10334.422209588782</v>
      </c>
      <c r="V1083" s="106">
        <v>0.16817648696850995</v>
      </c>
      <c r="W1083" s="106">
        <v>104252.24712643678</v>
      </c>
      <c r="X1083" s="110">
        <v>0.45521482328901058</v>
      </c>
      <c r="Y1083" s="106">
        <v>781.06578947368416</v>
      </c>
      <c r="Z1083" s="106">
        <v>26.037828947368418</v>
      </c>
      <c r="AA1083" s="106">
        <v>23196.40408336878</v>
      </c>
      <c r="AB1083" s="106">
        <v>344.51120685298429</v>
      </c>
      <c r="AC1083" s="106">
        <v>4.3110130191126226</v>
      </c>
      <c r="AD1083" s="106">
        <v>49.390756302521012</v>
      </c>
      <c r="AE1083" s="106">
        <v>67.331348362398984</v>
      </c>
      <c r="AF1083" s="106"/>
      <c r="AG1083" s="106">
        <v>1196</v>
      </c>
      <c r="AH1083" s="106">
        <v>12913.900132651128</v>
      </c>
      <c r="AI1083" s="106">
        <v>12913.900132651128</v>
      </c>
      <c r="AJ1083" s="106">
        <v>13762.234413492515</v>
      </c>
      <c r="AK1083" s="104">
        <v>12552.581580443433</v>
      </c>
      <c r="AL1083" s="118">
        <v>43618168</v>
      </c>
      <c r="AM1083" s="118">
        <v>10366</v>
      </c>
      <c r="AN1083" s="118">
        <v>158296</v>
      </c>
      <c r="AO1083" s="118">
        <v>1361</v>
      </c>
      <c r="AP1083" s="118">
        <f t="shared" si="16"/>
        <v>24</v>
      </c>
    </row>
    <row r="1084" spans="1:42" ht="12.75">
      <c r="A1084" s="106">
        <v>2018</v>
      </c>
      <c r="B1084" s="106">
        <v>-117706</v>
      </c>
      <c r="C1084" s="106">
        <v>0</v>
      </c>
      <c r="D1084" s="106">
        <v>117706</v>
      </c>
      <c r="E1084" s="106" t="s">
        <v>4134</v>
      </c>
      <c r="F1084" s="106" t="s">
        <v>4135</v>
      </c>
      <c r="G1084" s="106" t="s">
        <v>121</v>
      </c>
      <c r="H1084" s="106">
        <v>4</v>
      </c>
      <c r="I1084" s="106" t="s">
        <v>24</v>
      </c>
      <c r="J1084" s="106">
        <v>1225</v>
      </c>
      <c r="K1084" s="106">
        <v>11195</v>
      </c>
      <c r="L1084" s="106">
        <v>8817</v>
      </c>
      <c r="M1084" s="106">
        <v>0.46</v>
      </c>
      <c r="N1084" s="106">
        <v>0.03</v>
      </c>
      <c r="O1084" s="106">
        <v>0</v>
      </c>
      <c r="P1084" s="106"/>
      <c r="Q1084" s="106"/>
      <c r="R1084" s="106"/>
      <c r="S1084" s="106">
        <v>13342.541687979539</v>
      </c>
      <c r="T1084" s="106">
        <v>13931.865728900255</v>
      </c>
      <c r="U1084" s="106">
        <v>10809.335078820814</v>
      </c>
      <c r="V1084" s="106">
        <v>0.16475751455564625</v>
      </c>
      <c r="W1084" s="106">
        <v>127310.97128463477</v>
      </c>
      <c r="X1084" s="110">
        <v>0.51546335430955126</v>
      </c>
      <c r="Y1084" s="106">
        <v>897.71683673469386</v>
      </c>
      <c r="Z1084" s="106">
        <v>29.923469387755102</v>
      </c>
      <c r="AA1084" s="106">
        <v>27629.875893346729</v>
      </c>
      <c r="AB1084" s="106">
        <v>360.30604985597859</v>
      </c>
      <c r="AC1084" s="106">
        <v>3.6192706903935097</v>
      </c>
      <c r="AD1084" s="106">
        <v>48.422496570644718</v>
      </c>
      <c r="AE1084" s="106">
        <v>76.68446284593594</v>
      </c>
      <c r="AF1084" s="106"/>
      <c r="AG1084" s="106">
        <v>1201</v>
      </c>
      <c r="AH1084" s="106">
        <v>12421.952600170504</v>
      </c>
      <c r="AI1084" s="106">
        <v>12421.952600170504</v>
      </c>
      <c r="AJ1084" s="106">
        <v>13463.675447570333</v>
      </c>
      <c r="AK1084" s="104">
        <v>13347.378601875533</v>
      </c>
      <c r="AL1084" s="118">
        <v>94744984</v>
      </c>
      <c r="AM1084" s="118">
        <v>19152</v>
      </c>
      <c r="AN1084" s="118">
        <v>351905</v>
      </c>
      <c r="AO1084" s="118">
        <v>2926</v>
      </c>
      <c r="AP1084" s="118">
        <f t="shared" si="16"/>
        <v>24</v>
      </c>
    </row>
    <row r="1085" spans="1:42" ht="12.75">
      <c r="A1085" s="106">
        <v>2018</v>
      </c>
      <c r="B1085" s="106">
        <v>-117715</v>
      </c>
      <c r="C1085" s="106">
        <v>0</v>
      </c>
      <c r="D1085" s="106">
        <v>117715</v>
      </c>
      <c r="E1085" s="106" t="s">
        <v>4136</v>
      </c>
      <c r="F1085" s="106" t="s">
        <v>152</v>
      </c>
      <c r="G1085" s="106" t="s">
        <v>121</v>
      </c>
      <c r="H1085" s="106">
        <v>4</v>
      </c>
      <c r="I1085" s="106" t="s">
        <v>24</v>
      </c>
      <c r="J1085" s="106">
        <v>1244</v>
      </c>
      <c r="K1085" s="106">
        <v>8731</v>
      </c>
      <c r="L1085" s="106">
        <v>7150</v>
      </c>
      <c r="M1085" s="106">
        <v>0.59</v>
      </c>
      <c r="N1085" s="106">
        <v>0.01</v>
      </c>
      <c r="O1085" s="106">
        <v>0</v>
      </c>
      <c r="P1085" s="106"/>
      <c r="Q1085" s="106"/>
      <c r="R1085" s="106"/>
      <c r="S1085" s="106">
        <v>16944.386855001441</v>
      </c>
      <c r="T1085" s="106">
        <v>22705.492649178439</v>
      </c>
      <c r="U1085" s="106">
        <v>19077.260017296052</v>
      </c>
      <c r="V1085" s="106">
        <v>8.7218720314891363E-2</v>
      </c>
      <c r="W1085" s="106">
        <v>139808.21709006929</v>
      </c>
      <c r="X1085" s="110">
        <v>0.51238228422105481</v>
      </c>
      <c r="Y1085" s="106">
        <v>645.1301652892563</v>
      </c>
      <c r="Z1085" s="106">
        <v>21.502066115702483</v>
      </c>
      <c r="AA1085" s="106">
        <v>60994.483870967742</v>
      </c>
      <c r="AB1085" s="106">
        <v>635.84146001671775</v>
      </c>
      <c r="AC1085" s="106">
        <v>1.6394925188898626</v>
      </c>
      <c r="AD1085" s="106">
        <v>37.595287595287594</v>
      </c>
      <c r="AE1085" s="106">
        <v>95.927188940092165</v>
      </c>
      <c r="AF1085" s="106"/>
      <c r="AG1085" s="106">
        <v>1220</v>
      </c>
      <c r="AH1085" s="106">
        <v>15905.834246180455</v>
      </c>
      <c r="AI1085" s="106">
        <v>15905.834246180455</v>
      </c>
      <c r="AJ1085" s="106">
        <v>17087.950706255404</v>
      </c>
      <c r="AK1085" s="104">
        <v>21722.970884981263</v>
      </c>
      <c r="AL1085" s="119">
        <v>35515189</v>
      </c>
      <c r="AM1085" s="118">
        <v>6268</v>
      </c>
      <c r="AN1085" s="118">
        <v>104081</v>
      </c>
      <c r="AO1085" s="118">
        <v>728</v>
      </c>
      <c r="AP1085" s="118">
        <f t="shared" si="16"/>
        <v>24</v>
      </c>
    </row>
    <row r="1086" spans="1:42" ht="12.75">
      <c r="A1086" s="106">
        <v>2018</v>
      </c>
      <c r="B1086" s="106">
        <v>-117724</v>
      </c>
      <c r="C1086" s="106">
        <v>0</v>
      </c>
      <c r="D1086" s="106">
        <v>117724</v>
      </c>
      <c r="E1086" s="106" t="s">
        <v>4137</v>
      </c>
      <c r="F1086" s="106" t="s">
        <v>152</v>
      </c>
      <c r="G1086" s="106" t="s">
        <v>121</v>
      </c>
      <c r="H1086" s="106">
        <v>4</v>
      </c>
      <c r="I1086" s="106" t="s">
        <v>24</v>
      </c>
      <c r="J1086" s="106">
        <v>1244</v>
      </c>
      <c r="K1086" s="106">
        <v>9016</v>
      </c>
      <c r="L1086" s="106">
        <v>7259</v>
      </c>
      <c r="M1086" s="106">
        <v>0.5</v>
      </c>
      <c r="N1086" s="106">
        <v>0.02</v>
      </c>
      <c r="O1086" s="106">
        <v>0</v>
      </c>
      <c r="P1086" s="106"/>
      <c r="Q1086" s="106"/>
      <c r="R1086" s="106"/>
      <c r="S1086" s="106">
        <v>18579.961571800057</v>
      </c>
      <c r="T1086" s="106">
        <v>20690.363912164114</v>
      </c>
      <c r="U1086" s="106">
        <v>16872.699413440125</v>
      </c>
      <c r="V1086" s="106">
        <v>0.10194758081547299</v>
      </c>
      <c r="W1086" s="106">
        <v>137386.4049043062</v>
      </c>
      <c r="X1086" s="110">
        <v>0.53463705182798793</v>
      </c>
      <c r="Y1086" s="106">
        <v>661.31210191082801</v>
      </c>
      <c r="Z1086" s="106">
        <v>22.044585987261147</v>
      </c>
      <c r="AA1086" s="106">
        <v>57590.150562047609</v>
      </c>
      <c r="AB1086" s="106">
        <v>562.4449816993457</v>
      </c>
      <c r="AC1086" s="106">
        <v>1.7364080319995003</v>
      </c>
      <c r="AD1086" s="106">
        <v>32.048040455120102</v>
      </c>
      <c r="AE1086" s="106">
        <v>102.39250493096647</v>
      </c>
      <c r="AF1086" s="106"/>
      <c r="AG1086" s="106">
        <v>1220</v>
      </c>
      <c r="AH1086" s="106">
        <v>17387.309881537127</v>
      </c>
      <c r="AI1086" s="106">
        <v>17387.309881537127</v>
      </c>
      <c r="AJ1086" s="106">
        <v>18738.053163825483</v>
      </c>
      <c r="AK1086" s="104">
        <v>19880.568910719445</v>
      </c>
      <c r="AL1086" s="119">
        <v>78037758</v>
      </c>
      <c r="AM1086" s="118">
        <v>13587</v>
      </c>
      <c r="AN1086" s="118">
        <v>207652</v>
      </c>
      <c r="AO1086" s="118">
        <v>656</v>
      </c>
      <c r="AP1086" s="118">
        <f t="shared" si="16"/>
        <v>24</v>
      </c>
    </row>
    <row r="1087" spans="1:42" ht="12.75">
      <c r="A1087" s="106">
        <v>2018</v>
      </c>
      <c r="B1087" s="106">
        <v>-117733</v>
      </c>
      <c r="C1087" s="106">
        <v>0</v>
      </c>
      <c r="D1087" s="106">
        <v>117733</v>
      </c>
      <c r="E1087" s="106" t="s">
        <v>4138</v>
      </c>
      <c r="F1087" s="106" t="s">
        <v>4139</v>
      </c>
      <c r="G1087" s="106" t="s">
        <v>121</v>
      </c>
      <c r="H1087" s="106">
        <v>4</v>
      </c>
      <c r="I1087" s="106" t="s">
        <v>24</v>
      </c>
      <c r="J1087" s="106">
        <v>1244</v>
      </c>
      <c r="K1087" s="106">
        <v>10331</v>
      </c>
      <c r="L1087" s="106">
        <v>8294</v>
      </c>
      <c r="M1087" s="106">
        <v>0.57999999999999996</v>
      </c>
      <c r="N1087" s="106">
        <v>0.01</v>
      </c>
      <c r="O1087" s="106">
        <v>0</v>
      </c>
      <c r="P1087" s="106"/>
      <c r="Q1087" s="106">
        <v>1.0019036168720569E-4</v>
      </c>
      <c r="R1087" s="106">
        <v>5.7175895008590103E-8</v>
      </c>
      <c r="S1087" s="106">
        <v>14370.115719867748</v>
      </c>
      <c r="T1087" s="106">
        <v>14282.901713255185</v>
      </c>
      <c r="U1087" s="106">
        <v>10868.32080566299</v>
      </c>
      <c r="V1087" s="106">
        <v>0.1612317243603357</v>
      </c>
      <c r="W1087" s="106">
        <v>136505.29119905492</v>
      </c>
      <c r="X1087" s="110">
        <v>0.54037429996211639</v>
      </c>
      <c r="Y1087" s="106">
        <v>874.68549172346627</v>
      </c>
      <c r="Z1087" s="106">
        <v>29.155793573515091</v>
      </c>
      <c r="AA1087" s="106">
        <v>41403.324412718437</v>
      </c>
      <c r="AB1087" s="106">
        <v>362.27252069344934</v>
      </c>
      <c r="AC1087" s="106">
        <v>2.415264991844027</v>
      </c>
      <c r="AD1087" s="106">
        <v>32.123589995095635</v>
      </c>
      <c r="AE1087" s="106">
        <v>114.28778625954199</v>
      </c>
      <c r="AF1087" s="106"/>
      <c r="AG1087" s="106">
        <v>1220</v>
      </c>
      <c r="AH1087" s="106">
        <v>13238.991283438534</v>
      </c>
      <c r="AI1087" s="106">
        <v>13238.991283438534</v>
      </c>
      <c r="AJ1087" s="106">
        <v>14490.459973950507</v>
      </c>
      <c r="AK1087" s="104">
        <v>13647.985772968641</v>
      </c>
      <c r="AL1087" s="118">
        <v>85657203</v>
      </c>
      <c r="AM1087" s="118">
        <v>17226</v>
      </c>
      <c r="AN1087" s="118">
        <v>299434</v>
      </c>
      <c r="AO1087" s="118">
        <v>1375</v>
      </c>
      <c r="AP1087" s="118">
        <f t="shared" si="16"/>
        <v>24</v>
      </c>
    </row>
    <row r="1088" spans="1:42" ht="12.75">
      <c r="A1088" s="106">
        <v>2018</v>
      </c>
      <c r="B1088" s="106">
        <v>-117894</v>
      </c>
      <c r="C1088" s="106">
        <v>0</v>
      </c>
      <c r="D1088" s="106">
        <v>117894</v>
      </c>
      <c r="E1088" s="106" t="s">
        <v>4140</v>
      </c>
      <c r="F1088" s="106" t="s">
        <v>1829</v>
      </c>
      <c r="G1088" s="106" t="s">
        <v>121</v>
      </c>
      <c r="H1088" s="106">
        <v>4</v>
      </c>
      <c r="I1088" s="106" t="s">
        <v>24</v>
      </c>
      <c r="J1088" s="106">
        <v>1312</v>
      </c>
      <c r="K1088" s="106">
        <v>6798</v>
      </c>
      <c r="L1088" s="106">
        <v>4463</v>
      </c>
      <c r="M1088" s="106">
        <v>0.37</v>
      </c>
      <c r="N1088" s="106">
        <v>0.01</v>
      </c>
      <c r="O1088" s="106">
        <v>0</v>
      </c>
      <c r="P1088" s="106">
        <v>5000</v>
      </c>
      <c r="Q1088" s="106">
        <v>12.326487252124647</v>
      </c>
      <c r="R1088" s="106">
        <v>8.2729783399357534E-3</v>
      </c>
      <c r="S1088" s="106">
        <v>13142.361543909348</v>
      </c>
      <c r="T1088" s="106">
        <v>13989.515403682719</v>
      </c>
      <c r="U1088" s="106">
        <v>10195.134667797909</v>
      </c>
      <c r="V1088" s="106">
        <v>0.14493611753959026</v>
      </c>
      <c r="W1088" s="106">
        <v>126537.47219604146</v>
      </c>
      <c r="X1088" s="110">
        <v>0.56639045355483808</v>
      </c>
      <c r="Y1088" s="106">
        <v>771.37784522003028</v>
      </c>
      <c r="Z1088" s="106">
        <v>25.711684370257963</v>
      </c>
      <c r="AA1088" s="106">
        <v>20225.542888557284</v>
      </c>
      <c r="AB1088" s="106">
        <v>339.82578876882656</v>
      </c>
      <c r="AC1088" s="106">
        <v>4.9442430569601949</v>
      </c>
      <c r="AD1088" s="106">
        <v>57.608255766895986</v>
      </c>
      <c r="AE1088" s="106">
        <v>59.517386722866178</v>
      </c>
      <c r="AF1088" s="106"/>
      <c r="AG1088" s="106">
        <v>1288</v>
      </c>
      <c r="AH1088" s="106">
        <v>12141.965297450424</v>
      </c>
      <c r="AI1088" s="106">
        <v>12149.076310198301</v>
      </c>
      <c r="AJ1088" s="106">
        <v>13142.361543909348</v>
      </c>
      <c r="AK1088" s="104">
        <v>12777.370219546743</v>
      </c>
      <c r="AL1088" s="119">
        <v>43427930</v>
      </c>
      <c r="AM1088" s="118">
        <v>9048</v>
      </c>
      <c r="AN1088" s="118">
        <v>169446</v>
      </c>
      <c r="AO1088" s="118">
        <v>1530</v>
      </c>
      <c r="AP1088" s="118">
        <f t="shared" si="16"/>
        <v>24</v>
      </c>
    </row>
    <row r="1089" spans="1:42" ht="12.75">
      <c r="A1089" s="106">
        <v>2018</v>
      </c>
      <c r="B1089" s="106">
        <v>-159568</v>
      </c>
      <c r="C1089" s="106">
        <v>0</v>
      </c>
      <c r="D1089" s="106">
        <v>159568</v>
      </c>
      <c r="E1089" s="106" t="s">
        <v>1830</v>
      </c>
      <c r="F1089" s="106" t="s">
        <v>1831</v>
      </c>
      <c r="G1089" s="106" t="s">
        <v>306</v>
      </c>
      <c r="H1089" s="106">
        <v>6</v>
      </c>
      <c r="I1089" s="106" t="s">
        <v>3640</v>
      </c>
      <c r="J1089" s="106">
        <v>16000</v>
      </c>
      <c r="K1089" s="106">
        <v>12572</v>
      </c>
      <c r="L1089" s="106">
        <v>11995</v>
      </c>
      <c r="M1089" s="106">
        <v>0.49</v>
      </c>
      <c r="N1089" s="106">
        <v>0.69</v>
      </c>
      <c r="O1089" s="106">
        <v>0.94</v>
      </c>
      <c r="P1089" s="106">
        <v>6876</v>
      </c>
      <c r="Q1089" s="106">
        <v>4481.5108108108107</v>
      </c>
      <c r="R1089" s="106">
        <v>0.31057492369823431</v>
      </c>
      <c r="S1089" s="106">
        <v>21309.085585585584</v>
      </c>
      <c r="T1089" s="106">
        <v>20167.316216216215</v>
      </c>
      <c r="U1089" s="106">
        <v>16617.780306149023</v>
      </c>
      <c r="V1089" s="106">
        <v>0.59864881055945296</v>
      </c>
      <c r="W1089" s="106">
        <v>49671.96350364964</v>
      </c>
      <c r="X1089" s="110">
        <v>0.40532141001846667</v>
      </c>
      <c r="Y1089" s="106">
        <v>361.07865168539325</v>
      </c>
      <c r="Z1089" s="106">
        <v>12.47191011235955</v>
      </c>
      <c r="AA1089" s="106">
        <v>86195.028690772961</v>
      </c>
      <c r="AB1089" s="106">
        <v>573.98979772919517</v>
      </c>
      <c r="AC1089" s="106">
        <v>1.1601597159246011</v>
      </c>
      <c r="AD1089" s="106">
        <v>20.939334637964773</v>
      </c>
      <c r="AE1089" s="106">
        <v>150.16822429906543</v>
      </c>
      <c r="AF1089" s="106">
        <v>7.5459578396931223E-2</v>
      </c>
      <c r="AG1089" s="106">
        <v>16000</v>
      </c>
      <c r="AH1089" s="106">
        <v>17030.481981981982</v>
      </c>
      <c r="AI1089" s="106">
        <v>21014.688288288289</v>
      </c>
      <c r="AJ1089" s="106">
        <v>23903.477477477478</v>
      </c>
      <c r="AK1089" s="104">
        <v>16647.359459459458</v>
      </c>
      <c r="AL1089" s="118"/>
      <c r="AM1089" s="118">
        <v>987</v>
      </c>
      <c r="AN1089" s="118">
        <v>32136</v>
      </c>
      <c r="AO1089" s="118">
        <v>159</v>
      </c>
      <c r="AP1089" s="118">
        <f t="shared" si="16"/>
        <v>0</v>
      </c>
    </row>
    <row r="1090" spans="1:42" ht="12.75">
      <c r="A1090" s="106">
        <v>2018</v>
      </c>
      <c r="B1090" s="106">
        <v>-483212</v>
      </c>
      <c r="C1090" s="106">
        <v>0</v>
      </c>
      <c r="D1090" s="106">
        <v>483212</v>
      </c>
      <c r="E1090" s="106" t="s">
        <v>1832</v>
      </c>
      <c r="F1090" s="106" t="s">
        <v>1833</v>
      </c>
      <c r="G1090" s="106" t="s">
        <v>306</v>
      </c>
      <c r="H1090" s="106">
        <v>4</v>
      </c>
      <c r="I1090" s="106" t="s">
        <v>24</v>
      </c>
      <c r="J1090" s="106">
        <v>4158</v>
      </c>
      <c r="K1090" s="106">
        <v>10030</v>
      </c>
      <c r="L1090" s="106">
        <v>10131</v>
      </c>
      <c r="M1090" s="106">
        <v>0.77</v>
      </c>
      <c r="N1090" s="106">
        <v>0.42</v>
      </c>
      <c r="O1090" s="106">
        <v>0.06</v>
      </c>
      <c r="P1090" s="106">
        <v>670</v>
      </c>
      <c r="Q1090" s="106">
        <v>104.69807616804083</v>
      </c>
      <c r="R1090" s="106">
        <v>1.9892958210882546E-2</v>
      </c>
      <c r="S1090" s="106">
        <v>11921.115429917551</v>
      </c>
      <c r="T1090" s="106">
        <v>10930.619159795839</v>
      </c>
      <c r="U1090" s="106">
        <v>8962.2237926972903</v>
      </c>
      <c r="V1090" s="106">
        <v>0.57556855139996943</v>
      </c>
      <c r="W1090" s="106">
        <v>66681.258928571435</v>
      </c>
      <c r="X1090" s="110">
        <v>0.53651034560096311</v>
      </c>
      <c r="Y1090" s="106">
        <v>688.38738738738743</v>
      </c>
      <c r="Z1090" s="106">
        <v>22.945945945945947</v>
      </c>
      <c r="AA1090" s="106">
        <v>11957.456259821896</v>
      </c>
      <c r="AB1090" s="106">
        <v>298.73688343301359</v>
      </c>
      <c r="AC1090" s="106">
        <v>8.3629827136402568</v>
      </c>
      <c r="AD1090" s="106">
        <v>77.069035123132821</v>
      </c>
      <c r="AE1090" s="106">
        <v>40.026715557883712</v>
      </c>
      <c r="AF1090" s="106">
        <v>-9.8196428390037907E-2</v>
      </c>
      <c r="AG1090" s="106">
        <v>3214</v>
      </c>
      <c r="AH1090" s="106">
        <v>11701.685119748723</v>
      </c>
      <c r="AI1090" s="106">
        <v>11701.685119748723</v>
      </c>
      <c r="AJ1090" s="106">
        <v>11924.406360424029</v>
      </c>
      <c r="AK1090" s="104">
        <v>9324.145661562623</v>
      </c>
      <c r="AL1090" s="118">
        <v>7747124</v>
      </c>
      <c r="AM1090" s="118">
        <v>3666</v>
      </c>
      <c r="AN1090" s="118">
        <v>76411</v>
      </c>
      <c r="AO1090" s="118">
        <v>186</v>
      </c>
      <c r="AP1090" s="118">
        <f t="shared" si="16"/>
        <v>944</v>
      </c>
    </row>
    <row r="1091" spans="1:42" ht="12.75">
      <c r="A1091" s="106">
        <v>2018</v>
      </c>
      <c r="B1091" s="106">
        <v>-159391</v>
      </c>
      <c r="C1091" s="106">
        <v>0</v>
      </c>
      <c r="D1091" s="106">
        <v>159391</v>
      </c>
      <c r="E1091" s="106" t="s">
        <v>3694</v>
      </c>
      <c r="F1091" s="106" t="s">
        <v>305</v>
      </c>
      <c r="G1091" s="106" t="s">
        <v>306</v>
      </c>
      <c r="H1091" s="106">
        <v>1</v>
      </c>
      <c r="I1091" s="106" t="s">
        <v>23</v>
      </c>
      <c r="J1091" s="106">
        <v>11374</v>
      </c>
      <c r="K1091" s="106">
        <v>17437</v>
      </c>
      <c r="L1091" s="106">
        <v>7809</v>
      </c>
      <c r="M1091" s="106">
        <v>0.24</v>
      </c>
      <c r="N1091" s="106">
        <v>0.36</v>
      </c>
      <c r="O1091" s="106">
        <v>0.61</v>
      </c>
      <c r="P1091" s="106">
        <v>6481</v>
      </c>
      <c r="Q1091" s="106">
        <v>3944.2138465365888</v>
      </c>
      <c r="R1091" s="106">
        <v>0.2624315946169819</v>
      </c>
      <c r="S1091" s="106">
        <v>39232.124817855496</v>
      </c>
      <c r="T1091" s="106">
        <v>40902.795678288378</v>
      </c>
      <c r="U1091" s="106">
        <v>17359.274611906567</v>
      </c>
      <c r="V1091" s="106">
        <v>0.63857963677781415</v>
      </c>
      <c r="W1091" s="106">
        <v>105639.29860769861</v>
      </c>
      <c r="X1091" s="110">
        <v>0.56037711884826635</v>
      </c>
      <c r="Y1091" s="106">
        <v>418.49225840896958</v>
      </c>
      <c r="Z1091" s="106">
        <v>15.022423918846769</v>
      </c>
      <c r="AA1091" s="106">
        <v>72190.054649011974</v>
      </c>
      <c r="AB1091" s="106">
        <v>623.13788822561742</v>
      </c>
      <c r="AC1091" s="106">
        <v>1.3852323631863137</v>
      </c>
      <c r="AD1091" s="106">
        <v>24.092009685230025</v>
      </c>
      <c r="AE1091" s="106">
        <v>115.84924623115577</v>
      </c>
      <c r="AF1091" s="106">
        <v>-0.26994006158064487</v>
      </c>
      <c r="AG1091" s="106">
        <v>8038</v>
      </c>
      <c r="AH1091" s="106">
        <v>35366.105057397734</v>
      </c>
      <c r="AI1091" s="106">
        <v>37882.566371681416</v>
      </c>
      <c r="AJ1091" s="106">
        <v>39278.693499662368</v>
      </c>
      <c r="AK1091" s="104">
        <v>33953.37551977823</v>
      </c>
      <c r="AL1091" s="119">
        <v>226491001</v>
      </c>
      <c r="AM1091" s="118">
        <v>25444</v>
      </c>
      <c r="AN1091" s="118">
        <v>783836</v>
      </c>
      <c r="AO1091" s="118">
        <v>4852</v>
      </c>
      <c r="AP1091" s="118">
        <f t="shared" si="16"/>
        <v>3336</v>
      </c>
    </row>
    <row r="1092" spans="1:42" ht="12.75">
      <c r="A1092" s="106">
        <v>2018</v>
      </c>
      <c r="B1092" s="106">
        <v>-159382</v>
      </c>
      <c r="C1092" s="106">
        <v>0</v>
      </c>
      <c r="D1092" s="106">
        <v>159382</v>
      </c>
      <c r="E1092" s="106" t="s">
        <v>1834</v>
      </c>
      <c r="F1092" s="106" t="s">
        <v>112</v>
      </c>
      <c r="G1092" s="106" t="s">
        <v>306</v>
      </c>
      <c r="H1092" s="106">
        <v>3</v>
      </c>
      <c r="I1092" s="104" t="s">
        <v>26</v>
      </c>
      <c r="J1092" s="106">
        <v>6668</v>
      </c>
      <c r="K1092" s="106">
        <v>7682</v>
      </c>
      <c r="L1092" s="106">
        <v>7360</v>
      </c>
      <c r="M1092" s="106">
        <v>0.87</v>
      </c>
      <c r="N1092" s="106">
        <v>0.59</v>
      </c>
      <c r="O1092" s="106">
        <v>0.05</v>
      </c>
      <c r="P1092" s="106">
        <v>1160</v>
      </c>
      <c r="Q1092" s="106">
        <v>765.78823996821609</v>
      </c>
      <c r="R1092" s="106">
        <v>0.11184885028590529</v>
      </c>
      <c r="S1092" s="106">
        <v>11567.426698450536</v>
      </c>
      <c r="T1092" s="106">
        <v>11843.342073897496</v>
      </c>
      <c r="U1092" s="106">
        <v>9114.3251185516601</v>
      </c>
      <c r="V1092" s="106">
        <v>0.66717464691396255</v>
      </c>
      <c r="W1092" s="106">
        <v>64162.59651474531</v>
      </c>
      <c r="X1092" s="110">
        <v>0.5352319306083404</v>
      </c>
      <c r="Y1092" s="106">
        <v>703.61180124223608</v>
      </c>
      <c r="Z1092" s="106">
        <v>23.450310559006212</v>
      </c>
      <c r="AA1092" s="106">
        <v>50641.846188508898</v>
      </c>
      <c r="AB1092" s="106">
        <v>303.76658576282796</v>
      </c>
      <c r="AC1092" s="106">
        <v>1.9746515485979841</v>
      </c>
      <c r="AD1092" s="106">
        <v>18.407151564404714</v>
      </c>
      <c r="AE1092" s="106">
        <v>166.7130242825607</v>
      </c>
      <c r="AF1092" s="106">
        <v>0.11361325864501269</v>
      </c>
      <c r="AG1092" s="106">
        <v>4894</v>
      </c>
      <c r="AH1092" s="106">
        <v>9610.8232022248703</v>
      </c>
      <c r="AI1092" s="106">
        <v>9756.5423122765205</v>
      </c>
      <c r="AJ1092" s="106">
        <v>11644.51688518077</v>
      </c>
      <c r="AK1092" s="104">
        <v>10973.327771156139</v>
      </c>
      <c r="AL1092" s="118">
        <v>5115368</v>
      </c>
      <c r="AM1092" s="118">
        <v>3372</v>
      </c>
      <c r="AN1092" s="118">
        <v>75521</v>
      </c>
      <c r="AO1092" s="118">
        <v>428</v>
      </c>
      <c r="AP1092" s="118">
        <f t="shared" si="16"/>
        <v>1774</v>
      </c>
    </row>
    <row r="1093" spans="1:42" ht="12.75">
      <c r="A1093" s="106">
        <v>2018</v>
      </c>
      <c r="B1093" s="106">
        <v>-159407</v>
      </c>
      <c r="C1093" s="106">
        <v>0</v>
      </c>
      <c r="D1093" s="106">
        <v>159407</v>
      </c>
      <c r="E1093" s="106" t="s">
        <v>1835</v>
      </c>
      <c r="F1093" s="106" t="s">
        <v>1836</v>
      </c>
      <c r="G1093" s="106" t="s">
        <v>306</v>
      </c>
      <c r="H1093" s="106">
        <v>4</v>
      </c>
      <c r="I1093" s="106" t="s">
        <v>24</v>
      </c>
      <c r="J1093" s="106">
        <v>4392</v>
      </c>
      <c r="K1093" s="106">
        <v>7634</v>
      </c>
      <c r="L1093" s="106">
        <v>6402</v>
      </c>
      <c r="M1093" s="106">
        <v>0.5</v>
      </c>
      <c r="N1093" s="106">
        <v>0.56000000000000005</v>
      </c>
      <c r="O1093" s="106">
        <v>0.2</v>
      </c>
      <c r="P1093" s="106">
        <v>2687</v>
      </c>
      <c r="Q1093" s="106">
        <v>549.71428571428567</v>
      </c>
      <c r="R1093" s="106">
        <v>0.11378306702367141</v>
      </c>
      <c r="S1093" s="106">
        <v>10033.098746867168</v>
      </c>
      <c r="T1093" s="106">
        <v>10673.822055137845</v>
      </c>
      <c r="U1093" s="106">
        <v>7986.1252780882833</v>
      </c>
      <c r="V1093" s="106">
        <v>0.53612160925986774</v>
      </c>
      <c r="W1093" s="106">
        <v>58273.69723183391</v>
      </c>
      <c r="X1093" s="110">
        <v>0.52724964808616404</v>
      </c>
      <c r="Y1093" s="106">
        <v>600.40133779264215</v>
      </c>
      <c r="Z1093" s="106">
        <v>20.016722408026755</v>
      </c>
      <c r="AA1093" s="106">
        <v>51229.324533074359</v>
      </c>
      <c r="AB1093" s="106">
        <v>266.24866192824408</v>
      </c>
      <c r="AC1093" s="106">
        <v>1.9520069981683756</v>
      </c>
      <c r="AD1093" s="106">
        <v>15.778792491121257</v>
      </c>
      <c r="AE1093" s="106">
        <v>192.41157556270096</v>
      </c>
      <c r="AF1093" s="106">
        <v>0.27201217478910511</v>
      </c>
      <c r="AG1093" s="106">
        <v>2868</v>
      </c>
      <c r="AH1093" s="106">
        <v>8171.1007518796996</v>
      </c>
      <c r="AI1093" s="106">
        <v>8386.900250626566</v>
      </c>
      <c r="AJ1093" s="106">
        <v>10047.165914786967</v>
      </c>
      <c r="AK1093" s="104">
        <v>9675.971428571429</v>
      </c>
      <c r="AL1093" s="118">
        <v>4870045</v>
      </c>
      <c r="AM1093" s="118">
        <v>3044</v>
      </c>
      <c r="AN1093" s="118">
        <v>59840</v>
      </c>
      <c r="AO1093" s="118">
        <v>298</v>
      </c>
      <c r="AP1093" s="118">
        <f t="shared" si="16"/>
        <v>1524</v>
      </c>
    </row>
    <row r="1094" spans="1:42" ht="12.75">
      <c r="A1094" s="106">
        <v>2018</v>
      </c>
      <c r="B1094" s="106">
        <v>-159416</v>
      </c>
      <c r="C1094" s="106">
        <v>0</v>
      </c>
      <c r="D1094" s="106">
        <v>159416</v>
      </c>
      <c r="E1094" s="106" t="s">
        <v>1837</v>
      </c>
      <c r="F1094" s="106" t="s">
        <v>645</v>
      </c>
      <c r="G1094" s="106" t="s">
        <v>306</v>
      </c>
      <c r="H1094" s="106">
        <v>2</v>
      </c>
      <c r="I1094" s="106" t="s">
        <v>25</v>
      </c>
      <c r="J1094" s="106">
        <v>7166</v>
      </c>
      <c r="K1094" s="106">
        <v>8622</v>
      </c>
      <c r="L1094" s="106">
        <v>7747</v>
      </c>
      <c r="M1094" s="106">
        <v>0.46</v>
      </c>
      <c r="N1094" s="106">
        <v>0.36</v>
      </c>
      <c r="O1094" s="106">
        <v>0.61</v>
      </c>
      <c r="P1094" s="106">
        <v>3206</v>
      </c>
      <c r="Q1094" s="106">
        <v>508.49779531213738</v>
      </c>
      <c r="R1094" s="106">
        <v>5.7038004597991264E-2</v>
      </c>
      <c r="S1094" s="106">
        <v>12179.456486423764</v>
      </c>
      <c r="T1094" s="106">
        <v>11474.127407751219</v>
      </c>
      <c r="U1094" s="106">
        <v>9855.2408459077051</v>
      </c>
      <c r="V1094" s="106">
        <v>0.85300523751004986</v>
      </c>
      <c r="W1094" s="106">
        <v>83570.34962805525</v>
      </c>
      <c r="X1094" s="110">
        <v>0.53018132452732758</v>
      </c>
      <c r="Y1094" s="106">
        <v>869.39698492462321</v>
      </c>
      <c r="Z1094" s="106">
        <v>32.479899497487438</v>
      </c>
      <c r="AA1094" s="106">
        <v>32244.671833725362</v>
      </c>
      <c r="AB1094" s="106">
        <v>368.18304842219788</v>
      </c>
      <c r="AC1094" s="106">
        <v>3.1012875713440491</v>
      </c>
      <c r="AD1094" s="106">
        <v>35.213903743315505</v>
      </c>
      <c r="AE1094" s="106">
        <v>87.577828397873958</v>
      </c>
      <c r="AF1094" s="106">
        <v>-0.23221049315747044</v>
      </c>
      <c r="AG1094" s="106">
        <v>5656</v>
      </c>
      <c r="AH1094" s="106">
        <v>11574.950800649804</v>
      </c>
      <c r="AI1094" s="106">
        <v>11841.981202135066</v>
      </c>
      <c r="AJ1094" s="106">
        <v>12300.082617776747</v>
      </c>
      <c r="AK1094" s="104">
        <v>10749.022975168253</v>
      </c>
      <c r="AL1094" s="118">
        <v>8245429</v>
      </c>
      <c r="AM1094" s="118">
        <v>2638</v>
      </c>
      <c r="AN1094" s="118">
        <v>115340</v>
      </c>
      <c r="AO1094" s="118">
        <v>398</v>
      </c>
      <c r="AP1094" s="118">
        <f t="shared" ref="AP1094:AP1157" si="17">J1094-AG1094</f>
        <v>1510</v>
      </c>
    </row>
    <row r="1095" spans="1:42" ht="12.75">
      <c r="A1095" s="106">
        <v>2018</v>
      </c>
      <c r="B1095" s="106">
        <v>-159647</v>
      </c>
      <c r="C1095" s="106">
        <v>0</v>
      </c>
      <c r="D1095" s="106">
        <v>159647</v>
      </c>
      <c r="E1095" s="106" t="s">
        <v>1838</v>
      </c>
      <c r="F1095" s="106" t="s">
        <v>1839</v>
      </c>
      <c r="G1095" s="106" t="s">
        <v>306</v>
      </c>
      <c r="H1095" s="106">
        <v>1</v>
      </c>
      <c r="I1095" s="106" t="s">
        <v>23</v>
      </c>
      <c r="J1095" s="106">
        <v>9645</v>
      </c>
      <c r="K1095" s="106">
        <v>9795</v>
      </c>
      <c r="L1095" s="106">
        <v>7499</v>
      </c>
      <c r="M1095" s="106">
        <v>0.31</v>
      </c>
      <c r="N1095" s="106">
        <v>0.44</v>
      </c>
      <c r="O1095" s="106">
        <v>0.79</v>
      </c>
      <c r="P1095" s="106">
        <v>5821</v>
      </c>
      <c r="Q1095" s="106">
        <v>3755.8623626101594</v>
      </c>
      <c r="R1095" s="106">
        <v>0.33200232600163743</v>
      </c>
      <c r="S1095" s="106">
        <v>17564.319041489256</v>
      </c>
      <c r="T1095" s="106">
        <v>18767.569660362413</v>
      </c>
      <c r="U1095" s="106">
        <v>8769.7789845919524</v>
      </c>
      <c r="V1095" s="106">
        <v>0.86169752222314255</v>
      </c>
      <c r="W1095" s="106">
        <v>96319.495091623045</v>
      </c>
      <c r="X1095" s="110">
        <v>0.51767820840037904</v>
      </c>
      <c r="Y1095" s="106">
        <v>697.48116169544733</v>
      </c>
      <c r="Z1095" s="106">
        <v>23.781004709576138</v>
      </c>
      <c r="AA1095" s="106">
        <v>43888.00692041334</v>
      </c>
      <c r="AB1095" s="106">
        <v>299.01044900992963</v>
      </c>
      <c r="AC1095" s="106">
        <v>2.2785268007576724</v>
      </c>
      <c r="AD1095" s="106">
        <v>19.279640775771473</v>
      </c>
      <c r="AE1095" s="106">
        <v>146.77750247770069</v>
      </c>
      <c r="AF1095" s="106">
        <v>0.18942180416357338</v>
      </c>
      <c r="AG1095" s="106">
        <v>6400</v>
      </c>
      <c r="AH1095" s="106">
        <v>15136.801366471927</v>
      </c>
      <c r="AI1095" s="106">
        <v>16688.621348648379</v>
      </c>
      <c r="AJ1095" s="106">
        <v>17787.386473908307</v>
      </c>
      <c r="AK1095" s="104">
        <v>13427.154272700267</v>
      </c>
      <c r="AL1095" s="118">
        <v>29099750</v>
      </c>
      <c r="AM1095" s="118">
        <v>10809</v>
      </c>
      <c r="AN1095" s="118">
        <v>296197</v>
      </c>
      <c r="AO1095" s="118">
        <v>1506</v>
      </c>
      <c r="AP1095" s="118">
        <f t="shared" si="17"/>
        <v>3245</v>
      </c>
    </row>
    <row r="1096" spans="1:42" ht="12.75">
      <c r="A1096" s="106">
        <v>2018</v>
      </c>
      <c r="B1096" s="106">
        <v>-203757</v>
      </c>
      <c r="C1096" s="106">
        <v>0</v>
      </c>
      <c r="D1096" s="106">
        <v>203757</v>
      </c>
      <c r="E1096" s="106" t="s">
        <v>1840</v>
      </c>
      <c r="F1096" s="106" t="s">
        <v>1841</v>
      </c>
      <c r="G1096" s="106" t="s">
        <v>82</v>
      </c>
      <c r="H1096" s="106">
        <v>6</v>
      </c>
      <c r="I1096" s="106" t="s">
        <v>3640</v>
      </c>
      <c r="J1096" s="106">
        <v>21540</v>
      </c>
      <c r="K1096" s="106">
        <v>17644</v>
      </c>
      <c r="L1096" s="106">
        <v>13108</v>
      </c>
      <c r="M1096" s="106">
        <v>0.53</v>
      </c>
      <c r="N1096" s="106">
        <v>0.81</v>
      </c>
      <c r="O1096" s="106">
        <v>0.99</v>
      </c>
      <c r="P1096" s="106">
        <v>12128</v>
      </c>
      <c r="Q1096" s="106">
        <v>6156.3988627132412</v>
      </c>
      <c r="R1096" s="106">
        <v>0.3271110728592051</v>
      </c>
      <c r="S1096" s="106">
        <v>22024.805848903332</v>
      </c>
      <c r="T1096" s="106">
        <v>23175.648253452477</v>
      </c>
      <c r="U1096" s="106">
        <v>20928.060113728676</v>
      </c>
      <c r="V1096" s="106">
        <v>0.60512613672259796</v>
      </c>
      <c r="W1096" s="106">
        <v>70155.816326530607</v>
      </c>
      <c r="X1096" s="110">
        <v>0.4819808797456559</v>
      </c>
      <c r="Y1096" s="106">
        <v>395.90874524714826</v>
      </c>
      <c r="Z1096" s="106">
        <v>14.041825095057034</v>
      </c>
      <c r="AA1096" s="106">
        <v>84190.986928104569</v>
      </c>
      <c r="AB1096" s="106">
        <v>742.26236026276365</v>
      </c>
      <c r="AC1096" s="106">
        <v>1.1877755998441453</v>
      </c>
      <c r="AD1096" s="106">
        <v>26.516464471403811</v>
      </c>
      <c r="AE1096" s="106">
        <v>113.42483660130719</v>
      </c>
      <c r="AF1096" s="106">
        <v>-1.5156230524239641E-2</v>
      </c>
      <c r="AG1096" s="106">
        <v>20800</v>
      </c>
      <c r="AH1096" s="106">
        <v>17668.527213647441</v>
      </c>
      <c r="AI1096" s="106">
        <v>22023.992688870836</v>
      </c>
      <c r="AJ1096" s="106">
        <v>22477.108042242078</v>
      </c>
      <c r="AK1096" s="104">
        <v>20928.060113728676</v>
      </c>
      <c r="AM1096" s="118">
        <v>1044</v>
      </c>
      <c r="AN1096" s="118">
        <v>34708</v>
      </c>
      <c r="AO1096" s="118">
        <v>226</v>
      </c>
      <c r="AP1096" s="118">
        <f t="shared" si="17"/>
        <v>740</v>
      </c>
    </row>
    <row r="1097" spans="1:42" ht="12.75">
      <c r="A1097" s="106">
        <v>2018</v>
      </c>
      <c r="B1097" s="106">
        <v>-235750</v>
      </c>
      <c r="C1097" s="106">
        <v>0</v>
      </c>
      <c r="D1097" s="106">
        <v>235750</v>
      </c>
      <c r="E1097" s="106" t="s">
        <v>1842</v>
      </c>
      <c r="F1097" s="106" t="s">
        <v>1775</v>
      </c>
      <c r="G1097" s="106" t="s">
        <v>182</v>
      </c>
      <c r="H1097" s="106">
        <v>4</v>
      </c>
      <c r="I1097" s="106" t="s">
        <v>24</v>
      </c>
      <c r="J1097" s="106">
        <v>4275</v>
      </c>
      <c r="K1097" s="106">
        <v>6910</v>
      </c>
      <c r="L1097" s="106">
        <v>6634</v>
      </c>
      <c r="M1097" s="106">
        <v>0.56999999999999995</v>
      </c>
      <c r="N1097" s="106">
        <v>0.19</v>
      </c>
      <c r="O1097" s="106">
        <v>7.0000000000000007E-2</v>
      </c>
      <c r="P1097" s="106">
        <v>981</v>
      </c>
      <c r="Q1097" s="106">
        <v>3685.2596613113328</v>
      </c>
      <c r="R1097" s="106">
        <v>0.50724070513255348</v>
      </c>
      <c r="S1097" s="106">
        <v>20257.206686930091</v>
      </c>
      <c r="T1097" s="106">
        <v>20842.211463308729</v>
      </c>
      <c r="U1097" s="106">
        <v>17098.103343465045</v>
      </c>
      <c r="V1097" s="106">
        <v>0.20938274215980057</v>
      </c>
      <c r="W1097" s="106">
        <v>79707.67477203648</v>
      </c>
      <c r="X1097" s="110">
        <v>0.54633409231861929</v>
      </c>
      <c r="Y1097" s="106">
        <v>996.49038461538464</v>
      </c>
      <c r="Z1097" s="106">
        <v>22.14423076923077</v>
      </c>
      <c r="AA1097" s="106">
        <v>48915.443478260866</v>
      </c>
      <c r="AB1097" s="106">
        <v>379.95785207700101</v>
      </c>
      <c r="AC1097" s="106">
        <v>2.044344135292206</v>
      </c>
      <c r="AD1097" s="106">
        <v>39.153696498054472</v>
      </c>
      <c r="AE1097" s="106">
        <v>128.7391304347826</v>
      </c>
      <c r="AF1097" s="106">
        <v>3.7959577627250862E-3</v>
      </c>
      <c r="AG1097" s="106">
        <v>3922</v>
      </c>
      <c r="AH1097" s="106">
        <v>19368.116804168476</v>
      </c>
      <c r="AI1097" s="106">
        <v>19691.975249674339</v>
      </c>
      <c r="AJ1097" s="106">
        <v>20308.907077724707</v>
      </c>
      <c r="AK1097" s="104">
        <v>18918.665653495442</v>
      </c>
      <c r="AL1097" s="119">
        <v>17452993</v>
      </c>
      <c r="AM1097" s="118">
        <v>2935</v>
      </c>
      <c r="AN1097" s="118">
        <v>103635</v>
      </c>
      <c r="AO1097" s="118">
        <v>552</v>
      </c>
      <c r="AP1097" s="118">
        <f t="shared" si="17"/>
        <v>353</v>
      </c>
    </row>
    <row r="1098" spans="1:42" ht="12.75">
      <c r="A1098" s="106">
        <v>2018</v>
      </c>
      <c r="B1098" s="106">
        <v>-117946</v>
      </c>
      <c r="C1098" s="106">
        <v>0</v>
      </c>
      <c r="D1098" s="106">
        <v>117946</v>
      </c>
      <c r="E1098" s="106" t="s">
        <v>1843</v>
      </c>
      <c r="F1098" s="106" t="s">
        <v>152</v>
      </c>
      <c r="G1098" s="106" t="s">
        <v>121</v>
      </c>
      <c r="H1098" s="106">
        <v>6</v>
      </c>
      <c r="I1098" s="106" t="s">
        <v>3640</v>
      </c>
      <c r="J1098" s="106">
        <v>46136</v>
      </c>
      <c r="K1098" s="106">
        <v>43779</v>
      </c>
      <c r="L1098" s="106">
        <v>30629</v>
      </c>
      <c r="M1098" s="106">
        <v>0.14000000000000001</v>
      </c>
      <c r="N1098" s="106">
        <v>0.4</v>
      </c>
      <c r="O1098" s="106">
        <v>0.87</v>
      </c>
      <c r="P1098" s="106">
        <v>18628</v>
      </c>
      <c r="Q1098" s="106">
        <v>13447.093712930013</v>
      </c>
      <c r="R1098" s="106">
        <v>0.28641922280054577</v>
      </c>
      <c r="S1098" s="106">
        <v>45152.906287069985</v>
      </c>
      <c r="T1098" s="106">
        <v>43988.493475682088</v>
      </c>
      <c r="U1098" s="106">
        <v>38325.777300840564</v>
      </c>
      <c r="V1098" s="106">
        <v>0.87413486021216003</v>
      </c>
      <c r="W1098" s="106">
        <v>107555.50098231828</v>
      </c>
      <c r="X1098" s="110">
        <v>0.59053241034132187</v>
      </c>
      <c r="Y1098" s="106">
        <v>308.5680525164114</v>
      </c>
      <c r="Z1098" s="106">
        <v>11.067833698030634</v>
      </c>
      <c r="AA1098" s="106">
        <v>117571.43473292794</v>
      </c>
      <c r="AB1098" s="106">
        <v>1374.6832377953333</v>
      </c>
      <c r="AC1098" s="106">
        <v>0.85054673549878212</v>
      </c>
      <c r="AD1098" s="106">
        <v>30.959891843172599</v>
      </c>
      <c r="AE1098" s="106">
        <v>85.526200873362441</v>
      </c>
      <c r="AF1098" s="106">
        <v>5.3599390689308697E-2</v>
      </c>
      <c r="AG1098" s="106">
        <v>45460</v>
      </c>
      <c r="AH1098" s="106">
        <v>41476.156583629891</v>
      </c>
      <c r="AI1098" s="106">
        <v>45560.73546856465</v>
      </c>
      <c r="AJ1098" s="106">
        <v>49921.470937129299</v>
      </c>
      <c r="AK1098" s="104">
        <v>39783.867141162518</v>
      </c>
      <c r="AM1098" s="118">
        <v>6391</v>
      </c>
      <c r="AN1098" s="118">
        <v>235026</v>
      </c>
      <c r="AO1098" s="118">
        <v>1601</v>
      </c>
      <c r="AP1098" s="118">
        <f t="shared" si="17"/>
        <v>676</v>
      </c>
    </row>
    <row r="1099" spans="1:42" ht="12.75">
      <c r="A1099" s="106">
        <v>2018</v>
      </c>
      <c r="B1099" s="106">
        <v>-146719</v>
      </c>
      <c r="C1099" s="106">
        <v>0</v>
      </c>
      <c r="D1099" s="106">
        <v>146719</v>
      </c>
      <c r="E1099" s="106" t="s">
        <v>1844</v>
      </c>
      <c r="F1099" s="106" t="s">
        <v>725</v>
      </c>
      <c r="G1099" s="106" t="s">
        <v>243</v>
      </c>
      <c r="H1099" s="106">
        <v>5</v>
      </c>
      <c r="I1099" s="106" t="s">
        <v>3639</v>
      </c>
      <c r="J1099" s="106">
        <v>42828</v>
      </c>
      <c r="K1099" s="106">
        <v>35033</v>
      </c>
      <c r="L1099" s="106">
        <v>28591</v>
      </c>
      <c r="M1099" s="106">
        <v>0.24</v>
      </c>
      <c r="N1099" s="106">
        <v>0.65</v>
      </c>
      <c r="O1099" s="106">
        <v>0.97</v>
      </c>
      <c r="P1099" s="106">
        <v>20513</v>
      </c>
      <c r="Q1099" s="106">
        <v>13198.587761365816</v>
      </c>
      <c r="R1099" s="106">
        <v>0.34773835244846807</v>
      </c>
      <c r="S1099" s="106">
        <v>38165.12014834708</v>
      </c>
      <c r="T1099" s="106">
        <v>35301.017967900763</v>
      </c>
      <c r="U1099" s="106">
        <v>27027.153696868794</v>
      </c>
      <c r="V1099" s="106">
        <v>0.91600196247552634</v>
      </c>
      <c r="W1099" s="106">
        <v>119891.95866861742</v>
      </c>
      <c r="X1099" s="110">
        <v>0.59373459781432381</v>
      </c>
      <c r="Y1099" s="106">
        <v>335.07356507679873</v>
      </c>
      <c r="Z1099" s="106">
        <v>12.642683912691997</v>
      </c>
      <c r="AA1099" s="106">
        <v>81346.739158069875</v>
      </c>
      <c r="AB1099" s="106">
        <v>1019.7634097782098</v>
      </c>
      <c r="AC1099" s="106">
        <v>1.2293055755521292</v>
      </c>
      <c r="AD1099" s="106">
        <v>33.740259740259745</v>
      </c>
      <c r="AE1099" s="106">
        <v>79.770207852193991</v>
      </c>
      <c r="AF1099" s="106">
        <v>7.4002555687369437E-2</v>
      </c>
      <c r="AG1099" s="106">
        <v>41470</v>
      </c>
      <c r="AH1099" s="106">
        <v>35376.056781124113</v>
      </c>
      <c r="AI1099" s="106">
        <v>38332.253852548114</v>
      </c>
      <c r="AJ1099" s="106">
        <v>41547.851141377323</v>
      </c>
      <c r="AK1099" s="104">
        <v>31457.342285312359</v>
      </c>
      <c r="AM1099" s="118">
        <v>11420</v>
      </c>
      <c r="AN1099" s="118">
        <v>414486</v>
      </c>
      <c r="AO1099" s="118">
        <v>2889</v>
      </c>
      <c r="AP1099" s="118">
        <f t="shared" si="17"/>
        <v>1358</v>
      </c>
    </row>
    <row r="1100" spans="1:42" ht="12.75">
      <c r="A1100" s="106">
        <v>2018</v>
      </c>
      <c r="B1100" s="106">
        <v>-163046</v>
      </c>
      <c r="C1100" s="106">
        <v>0</v>
      </c>
      <c r="D1100" s="106">
        <v>163046</v>
      </c>
      <c r="E1100" s="106" t="s">
        <v>1845</v>
      </c>
      <c r="F1100" s="106" t="s">
        <v>284</v>
      </c>
      <c r="G1100" s="106" t="s">
        <v>124</v>
      </c>
      <c r="H1100" s="106">
        <v>6</v>
      </c>
      <c r="I1100" s="106" t="s">
        <v>3640</v>
      </c>
      <c r="J1100" s="106">
        <v>47560</v>
      </c>
      <c r="K1100" s="106">
        <v>39027</v>
      </c>
      <c r="L1100" s="106">
        <v>29831</v>
      </c>
      <c r="M1100" s="106">
        <v>0.14000000000000001</v>
      </c>
      <c r="N1100" s="106">
        <v>0.56000000000000005</v>
      </c>
      <c r="O1100" s="106">
        <v>0.89</v>
      </c>
      <c r="P1100" s="106">
        <v>23981</v>
      </c>
      <c r="Q1100" s="106">
        <v>16418.951392891449</v>
      </c>
      <c r="R1100" s="106">
        <v>0.40549879759074597</v>
      </c>
      <c r="S1100" s="106">
        <v>40829.137175792508</v>
      </c>
      <c r="T1100" s="106">
        <v>39087.338904899138</v>
      </c>
      <c r="U1100" s="106">
        <v>30777.905107204955</v>
      </c>
      <c r="V1100" s="106">
        <v>0.78211304105228729</v>
      </c>
      <c r="W1100" s="106">
        <v>101557.12831453825</v>
      </c>
      <c r="X1100" s="110">
        <v>0.54593199763446076</v>
      </c>
      <c r="Y1100" s="106">
        <v>356.41114701130857</v>
      </c>
      <c r="Z1100" s="106">
        <v>12.613085621970921</v>
      </c>
      <c r="AA1100" s="106">
        <v>94013.495353874285</v>
      </c>
      <c r="AB1100" s="106">
        <v>1089.2037346120235</v>
      </c>
      <c r="AC1100" s="106">
        <v>1.0636770776747744</v>
      </c>
      <c r="AD1100" s="106">
        <v>34.839501124514413</v>
      </c>
      <c r="AE1100" s="106">
        <v>86.313967136150239</v>
      </c>
      <c r="AF1100" s="106">
        <v>5.9246389593400839E-2</v>
      </c>
      <c r="AG1100" s="106">
        <v>46160</v>
      </c>
      <c r="AH1100" s="106">
        <v>37299.220749279542</v>
      </c>
      <c r="AI1100" s="106">
        <v>40088.258981748317</v>
      </c>
      <c r="AJ1100" s="106">
        <v>44480.702785782902</v>
      </c>
      <c r="AK1100" s="104">
        <v>31831.710470701248</v>
      </c>
      <c r="AL1100" s="118">
        <v>5803650</v>
      </c>
      <c r="AM1100" s="118">
        <v>3924</v>
      </c>
      <c r="AN1100" s="118">
        <v>147079</v>
      </c>
      <c r="AO1100" s="118">
        <v>967</v>
      </c>
      <c r="AP1100" s="118">
        <f t="shared" si="17"/>
        <v>1400</v>
      </c>
    </row>
    <row r="1101" spans="1:42" ht="12.75">
      <c r="A1101" s="106">
        <v>2018</v>
      </c>
      <c r="B1101" s="106">
        <v>-159656</v>
      </c>
      <c r="C1101" s="106">
        <v>0</v>
      </c>
      <c r="D1101" s="106">
        <v>159656</v>
      </c>
      <c r="E1101" s="106" t="s">
        <v>1846</v>
      </c>
      <c r="F1101" s="106" t="s">
        <v>1031</v>
      </c>
      <c r="G1101" s="106" t="s">
        <v>306</v>
      </c>
      <c r="H1101" s="106">
        <v>6</v>
      </c>
      <c r="I1101" s="106" t="s">
        <v>3640</v>
      </c>
      <c r="J1101" s="106">
        <v>39242</v>
      </c>
      <c r="K1101" s="106">
        <v>22804</v>
      </c>
      <c r="L1101" s="106">
        <v>16816</v>
      </c>
      <c r="M1101" s="106">
        <v>0.35</v>
      </c>
      <c r="N1101" s="106">
        <v>0.67</v>
      </c>
      <c r="O1101" s="106">
        <v>0.99</v>
      </c>
      <c r="P1101" s="106">
        <v>25909</v>
      </c>
      <c r="Q1101" s="106">
        <v>17260.708639956392</v>
      </c>
      <c r="R1101" s="106">
        <v>0.52983016531691318</v>
      </c>
      <c r="S1101" s="106">
        <v>26834.287271736168</v>
      </c>
      <c r="T1101" s="106">
        <v>29510.220768601797</v>
      </c>
      <c r="U1101" s="106">
        <v>25125.415605947961</v>
      </c>
      <c r="V1101" s="106">
        <v>0.60962595479240311</v>
      </c>
      <c r="W1101" s="106">
        <v>83281.429201588006</v>
      </c>
      <c r="X1101" s="110">
        <v>0.58124370803432068</v>
      </c>
      <c r="Y1101" s="106">
        <v>288.20021528525297</v>
      </c>
      <c r="Z1101" s="106">
        <v>11.848223896663077</v>
      </c>
      <c r="AA1101" s="106">
        <v>112558.1805350709</v>
      </c>
      <c r="AB1101" s="106">
        <v>1032.9331270670177</v>
      </c>
      <c r="AC1101" s="106">
        <v>0.8884294284487122</v>
      </c>
      <c r="AD1101" s="106">
        <v>25.053533190578158</v>
      </c>
      <c r="AE1101" s="106">
        <v>108.96947496947497</v>
      </c>
      <c r="AF1101" s="106">
        <v>-8.3659130918480543E-3</v>
      </c>
      <c r="AG1101" s="106">
        <v>37676</v>
      </c>
      <c r="AH1101" s="106">
        <v>19552.864540746796</v>
      </c>
      <c r="AI1101" s="106">
        <v>26960.059961842464</v>
      </c>
      <c r="AJ1101" s="106">
        <v>31992.913600436084</v>
      </c>
      <c r="AK1101" s="104">
        <v>26663.12346688471</v>
      </c>
      <c r="AL1101" s="118"/>
      <c r="AM1101" s="118">
        <v>2602</v>
      </c>
      <c r="AN1101" s="118">
        <v>89246</v>
      </c>
      <c r="AO1101" s="118">
        <v>466</v>
      </c>
      <c r="AP1101" s="118">
        <f t="shared" si="17"/>
        <v>1566</v>
      </c>
    </row>
    <row r="1102" spans="1:42" ht="12.75">
      <c r="A1102" s="106">
        <v>2018</v>
      </c>
      <c r="B1102" s="106">
        <v>-226383</v>
      </c>
      <c r="C1102" s="106">
        <v>0</v>
      </c>
      <c r="D1102" s="106">
        <v>226383</v>
      </c>
      <c r="E1102" s="106" t="s">
        <v>1847</v>
      </c>
      <c r="F1102" s="106" t="s">
        <v>1848</v>
      </c>
      <c r="G1102" s="106" t="s">
        <v>60</v>
      </c>
      <c r="H1102" s="106">
        <v>6</v>
      </c>
      <c r="I1102" s="106" t="s">
        <v>3640</v>
      </c>
      <c r="J1102" s="106">
        <v>21794</v>
      </c>
      <c r="K1102" s="106">
        <v>23407</v>
      </c>
      <c r="L1102" s="106">
        <v>20867</v>
      </c>
      <c r="M1102" s="106">
        <v>0.37</v>
      </c>
      <c r="N1102" s="106">
        <v>0.91</v>
      </c>
      <c r="O1102" s="106">
        <v>0.93</v>
      </c>
      <c r="P1102" s="106">
        <v>7789</v>
      </c>
      <c r="Q1102" s="106">
        <v>6479.3656473649971</v>
      </c>
      <c r="R1102" s="106">
        <v>0.32353216648072669</v>
      </c>
      <c r="S1102" s="106">
        <v>21032.260247234874</v>
      </c>
      <c r="T1102" s="106">
        <v>22329.813923227066</v>
      </c>
      <c r="U1102" s="106">
        <v>18326.320323211028</v>
      </c>
      <c r="V1102" s="106">
        <v>0.73924245431610291</v>
      </c>
      <c r="W1102" s="106">
        <v>59163.6591796875</v>
      </c>
      <c r="X1102" s="110">
        <v>0.58840283554137407</v>
      </c>
      <c r="Y1102" s="106">
        <v>361.26954177897574</v>
      </c>
      <c r="Z1102" s="106">
        <v>12.428571428571429</v>
      </c>
      <c r="AA1102" s="106">
        <v>56675.159631338734</v>
      </c>
      <c r="AB1102" s="106">
        <v>630.47103289780762</v>
      </c>
      <c r="AC1102" s="106">
        <v>1.764441435198087</v>
      </c>
      <c r="AD1102" s="106">
        <v>31.961414790996784</v>
      </c>
      <c r="AE1102" s="106">
        <v>89.893360160965798</v>
      </c>
      <c r="AF1102" s="106">
        <v>2.6303784434733118E-2</v>
      </c>
      <c r="AG1102" s="106">
        <v>21594</v>
      </c>
      <c r="AH1102" s="106">
        <v>17122.94469746259</v>
      </c>
      <c r="AI1102" s="106">
        <v>20591.761873780091</v>
      </c>
      <c r="AJ1102" s="106">
        <v>21557.525048796357</v>
      </c>
      <c r="AK1102" s="104">
        <v>18372.329863370203</v>
      </c>
      <c r="AL1102" s="118"/>
      <c r="AM1102" s="118">
        <v>1484</v>
      </c>
      <c r="AN1102" s="118">
        <v>44677</v>
      </c>
      <c r="AO1102" s="118">
        <v>356</v>
      </c>
      <c r="AP1102" s="118">
        <f t="shared" si="17"/>
        <v>200</v>
      </c>
    </row>
    <row r="1103" spans="1:42" ht="12.75">
      <c r="A1103" s="106">
        <v>2018</v>
      </c>
      <c r="B1103" s="106">
        <v>-363633</v>
      </c>
      <c r="C1103" s="106">
        <v>0</v>
      </c>
      <c r="D1103" s="106">
        <v>363633</v>
      </c>
      <c r="E1103" s="106" t="s">
        <v>1849</v>
      </c>
      <c r="F1103" s="106" t="s">
        <v>843</v>
      </c>
      <c r="G1103" s="106" t="s">
        <v>674</v>
      </c>
      <c r="H1103" s="106">
        <v>4</v>
      </c>
      <c r="I1103" s="106" t="s">
        <v>24</v>
      </c>
      <c r="J1103" s="106">
        <v>962</v>
      </c>
      <c r="K1103" s="106">
        <v>3508</v>
      </c>
      <c r="L1103" s="106">
        <v>2470</v>
      </c>
      <c r="M1103" s="106">
        <v>0.64</v>
      </c>
      <c r="N1103" s="106">
        <v>0.05</v>
      </c>
      <c r="O1103" s="106">
        <v>0.14000000000000001</v>
      </c>
      <c r="P1103" s="106">
        <v>2745</v>
      </c>
      <c r="Q1103" s="107">
        <v>79.942947702060223</v>
      </c>
      <c r="R1103" s="106">
        <v>6.150424728501739E-2</v>
      </c>
      <c r="S1103" s="106">
        <v>21283.110935023771</v>
      </c>
      <c r="T1103" s="106">
        <v>27035.110935023771</v>
      </c>
      <c r="U1103" s="106">
        <v>14754.279161866087</v>
      </c>
      <c r="V1103" s="106">
        <v>8.2677886294155276E-2</v>
      </c>
      <c r="W1103" s="106">
        <v>75917.326683291772</v>
      </c>
      <c r="X1103" s="110">
        <v>0.59484868975045946</v>
      </c>
      <c r="Y1103" s="106">
        <v>476.99999999999994</v>
      </c>
      <c r="Z1103" s="106">
        <v>15.907563025210083</v>
      </c>
      <c r="AA1103" s="106">
        <v>60454.221760633125</v>
      </c>
      <c r="AB1103" s="106">
        <v>492.04324037511236</v>
      </c>
      <c r="AC1103" s="106">
        <v>1.6541441951886724</v>
      </c>
      <c r="AD1103" s="106">
        <v>23.511450381679388</v>
      </c>
      <c r="AE1103" s="106">
        <v>122.86363636363636</v>
      </c>
      <c r="AF1103" s="106">
        <v>-2.9310473070515493E-2</v>
      </c>
      <c r="AG1103" s="106">
        <v>912</v>
      </c>
      <c r="AH1103" s="106">
        <v>19649.144215530905</v>
      </c>
      <c r="AI1103" s="106">
        <v>19649.144215530905</v>
      </c>
      <c r="AJ1103" s="106">
        <v>21295.748019017432</v>
      </c>
      <c r="AK1103" s="104">
        <v>17695.278922345482</v>
      </c>
      <c r="AL1103" s="119">
        <v>9876255</v>
      </c>
      <c r="AM1103" s="118">
        <v>1356</v>
      </c>
      <c r="AN1103" s="118">
        <v>18921</v>
      </c>
      <c r="AO1103" s="118">
        <v>85</v>
      </c>
      <c r="AP1103" s="118">
        <f t="shared" si="17"/>
        <v>50</v>
      </c>
    </row>
    <row r="1104" spans="1:42" ht="12.75">
      <c r="A1104" s="106">
        <v>2018</v>
      </c>
      <c r="B1104" s="106">
        <v>-101602</v>
      </c>
      <c r="C1104" s="106">
        <v>0</v>
      </c>
      <c r="D1104" s="106">
        <v>101602</v>
      </c>
      <c r="E1104" s="106" t="s">
        <v>1850</v>
      </c>
      <c r="F1104" s="106" t="s">
        <v>1851</v>
      </c>
      <c r="G1104" s="106" t="s">
        <v>85</v>
      </c>
      <c r="H1104" s="106">
        <v>4</v>
      </c>
      <c r="I1104" s="106" t="s">
        <v>24</v>
      </c>
      <c r="J1104" s="106">
        <v>4440</v>
      </c>
      <c r="K1104" s="106">
        <v>8053</v>
      </c>
      <c r="L1104" s="106">
        <v>7503</v>
      </c>
      <c r="M1104" s="106">
        <v>0.7</v>
      </c>
      <c r="N1104" s="106">
        <v>0.04</v>
      </c>
      <c r="O1104" s="106">
        <v>0.38</v>
      </c>
      <c r="P1104" s="106">
        <v>3695</v>
      </c>
      <c r="Q1104" s="106">
        <v>692.87547456340167</v>
      </c>
      <c r="R1104" s="106">
        <v>0.1452219602705582</v>
      </c>
      <c r="S1104" s="106">
        <v>13800.917995444192</v>
      </c>
      <c r="T1104" s="106">
        <v>13885.734244495065</v>
      </c>
      <c r="U1104" s="106">
        <v>11781.950645406227</v>
      </c>
      <c r="V1104" s="106">
        <v>0.34614578790550571</v>
      </c>
      <c r="W1104" s="106">
        <v>70790.377593361001</v>
      </c>
      <c r="X1104" s="110">
        <v>0.62193555908534737</v>
      </c>
      <c r="Y1104" s="106">
        <v>583.74384236453193</v>
      </c>
      <c r="Z1104" s="106">
        <v>19.463054187192117</v>
      </c>
      <c r="AA1104" s="106">
        <v>34947.813063063062</v>
      </c>
      <c r="AB1104" s="106">
        <v>392.83111392405061</v>
      </c>
      <c r="AC1104" s="106">
        <v>2.8614093768771958</v>
      </c>
      <c r="AD1104" s="106">
        <v>35.434956105347162</v>
      </c>
      <c r="AE1104" s="106">
        <v>88.963963963963963</v>
      </c>
      <c r="AF1104" s="106">
        <v>-2.3768680205126905E-2</v>
      </c>
      <c r="AG1104" s="106">
        <v>3570</v>
      </c>
      <c r="AH1104" s="106">
        <v>12348.334851936219</v>
      </c>
      <c r="AI1104" s="106">
        <v>12584.768413059985</v>
      </c>
      <c r="AJ1104" s="106">
        <v>13805.542141230068</v>
      </c>
      <c r="AK1104" s="104">
        <v>13466.912680334093</v>
      </c>
      <c r="AL1104" s="119">
        <v>7652216</v>
      </c>
      <c r="AM1104" s="118">
        <v>1838</v>
      </c>
      <c r="AN1104" s="118">
        <v>39500</v>
      </c>
      <c r="AO1104" s="118">
        <v>210</v>
      </c>
      <c r="AP1104" s="118">
        <f t="shared" si="17"/>
        <v>870</v>
      </c>
    </row>
    <row r="1105" spans="1:42" ht="12.75">
      <c r="A1105" s="106">
        <v>2018</v>
      </c>
      <c r="B1105" s="106">
        <v>-153834</v>
      </c>
      <c r="C1105" s="106">
        <v>0</v>
      </c>
      <c r="D1105" s="106">
        <v>153834</v>
      </c>
      <c r="E1105" s="106" t="s">
        <v>1852</v>
      </c>
      <c r="F1105" s="106" t="s">
        <v>1853</v>
      </c>
      <c r="G1105" s="106" t="s">
        <v>447</v>
      </c>
      <c r="H1105" s="106">
        <v>7</v>
      </c>
      <c r="I1105" s="106" t="s">
        <v>3641</v>
      </c>
      <c r="J1105" s="106">
        <v>41020</v>
      </c>
      <c r="K1105" s="106">
        <v>24688</v>
      </c>
      <c r="L1105" s="106">
        <v>17555</v>
      </c>
      <c r="M1105" s="106">
        <v>0.22</v>
      </c>
      <c r="N1105" s="106">
        <v>0.65</v>
      </c>
      <c r="O1105" s="106">
        <v>1</v>
      </c>
      <c r="P1105" s="106">
        <v>27303</v>
      </c>
      <c r="Q1105" s="106">
        <v>23603.020750988144</v>
      </c>
      <c r="R1105" s="106">
        <v>0.5817476743495047</v>
      </c>
      <c r="S1105" s="106">
        <v>33599.966403162056</v>
      </c>
      <c r="T1105" s="106">
        <v>37282.452075098816</v>
      </c>
      <c r="U1105" s="106">
        <v>29143.469436124604</v>
      </c>
      <c r="V1105" s="106">
        <v>0.58227754872690229</v>
      </c>
      <c r="W1105" s="106">
        <v>86427.800291545194</v>
      </c>
      <c r="X1105" s="110">
        <v>0.52380705071342537</v>
      </c>
      <c r="Y1105" s="106">
        <v>358.77818181818179</v>
      </c>
      <c r="Z1105" s="106">
        <v>11.04</v>
      </c>
      <c r="AA1105" s="106">
        <v>124443.84417450675</v>
      </c>
      <c r="AB1105" s="106">
        <v>896.77666837016841</v>
      </c>
      <c r="AC1105" s="106">
        <v>0.80357530469543104</v>
      </c>
      <c r="AD1105" s="106">
        <v>23.361261705273535</v>
      </c>
      <c r="AE1105" s="106">
        <v>138.76793248945148</v>
      </c>
      <c r="AF1105" s="106">
        <v>2.3704812900679457E-2</v>
      </c>
      <c r="AG1105" s="106">
        <v>40710</v>
      </c>
      <c r="AH1105" s="106">
        <v>28479.743083003952</v>
      </c>
      <c r="AI1105" s="106">
        <v>33790.946640316208</v>
      </c>
      <c r="AJ1105" s="106">
        <v>40115.075592885376</v>
      </c>
      <c r="AK1105" s="104">
        <v>29870.985177865612</v>
      </c>
      <c r="AM1105" s="118">
        <v>2053</v>
      </c>
      <c r="AN1105" s="118">
        <v>65776</v>
      </c>
      <c r="AO1105" s="118">
        <v>474</v>
      </c>
      <c r="AP1105" s="118">
        <f t="shared" si="17"/>
        <v>310</v>
      </c>
    </row>
    <row r="1106" spans="1:42" ht="12.75">
      <c r="A1106" s="106">
        <v>2018</v>
      </c>
      <c r="B1106" s="106">
        <v>-213659</v>
      </c>
      <c r="C1106" s="106">
        <v>0</v>
      </c>
      <c r="D1106" s="106">
        <v>213659</v>
      </c>
      <c r="E1106" s="106" t="s">
        <v>1854</v>
      </c>
      <c r="F1106" s="106" t="s">
        <v>1855</v>
      </c>
      <c r="G1106" s="106" t="s">
        <v>104</v>
      </c>
      <c r="H1106" s="106">
        <v>4</v>
      </c>
      <c r="I1106" s="106" t="s">
        <v>24</v>
      </c>
      <c r="J1106" s="106">
        <v>5160</v>
      </c>
      <c r="K1106" s="106">
        <v>7026</v>
      </c>
      <c r="L1106" s="106">
        <v>6362</v>
      </c>
      <c r="M1106" s="106">
        <v>0.56999999999999995</v>
      </c>
      <c r="N1106" s="106">
        <v>0.38</v>
      </c>
      <c r="O1106" s="106">
        <v>0.02</v>
      </c>
      <c r="P1106" s="106">
        <v>3855</v>
      </c>
      <c r="Q1106" s="106">
        <v>0.13892747985551543</v>
      </c>
      <c r="R1106" s="106">
        <v>1.4352331246293869E-5</v>
      </c>
      <c r="S1106" s="106">
        <v>18522.44373437066</v>
      </c>
      <c r="T1106" s="106">
        <v>19846.982217282577</v>
      </c>
      <c r="U1106" s="106">
        <v>9544.4684634620735</v>
      </c>
      <c r="V1106" s="106">
        <v>1.0141629206316454</v>
      </c>
      <c r="W1106" s="106">
        <v>63785.362240982344</v>
      </c>
      <c r="X1106" s="110">
        <v>0.3878536296224368</v>
      </c>
      <c r="Y1106" s="106">
        <v>493.76067073170725</v>
      </c>
      <c r="Z1106" s="106">
        <v>16.458841463414632</v>
      </c>
      <c r="AA1106" s="106">
        <v>43870.424010217117</v>
      </c>
      <c r="AB1106" s="106">
        <v>318.15189545147217</v>
      </c>
      <c r="AC1106" s="106">
        <v>2.279440015822749</v>
      </c>
      <c r="AD1106" s="106">
        <v>23.380113466706479</v>
      </c>
      <c r="AE1106" s="106">
        <v>137.89144316730523</v>
      </c>
      <c r="AF1106" s="106">
        <v>-5.7494068135634839E-2</v>
      </c>
      <c r="AG1106" s="106">
        <v>3810</v>
      </c>
      <c r="AH1106" s="106">
        <v>19008.82661850514</v>
      </c>
      <c r="AI1106" s="106">
        <v>19008.82661850514</v>
      </c>
      <c r="AJ1106" s="106">
        <v>18580.517365934982</v>
      </c>
      <c r="AK1106" s="104">
        <v>9544.4684634620735</v>
      </c>
      <c r="AL1106" s="118">
        <v>17901560</v>
      </c>
      <c r="AM1106" s="118">
        <v>5360</v>
      </c>
      <c r="AN1106" s="118">
        <v>107969</v>
      </c>
      <c r="AO1106" s="118">
        <v>690</v>
      </c>
      <c r="AP1106" s="118">
        <f t="shared" si="17"/>
        <v>1350</v>
      </c>
    </row>
    <row r="1107" spans="1:42" ht="12.75">
      <c r="A1107" s="106">
        <v>2018</v>
      </c>
      <c r="B1107" s="106">
        <v>-213668</v>
      </c>
      <c r="C1107" s="106">
        <v>0</v>
      </c>
      <c r="D1107" s="106">
        <v>213668</v>
      </c>
      <c r="E1107" s="106" t="s">
        <v>1856</v>
      </c>
      <c r="F1107" s="106" t="s">
        <v>1857</v>
      </c>
      <c r="G1107" s="106" t="s">
        <v>104</v>
      </c>
      <c r="H1107" s="106">
        <v>7</v>
      </c>
      <c r="I1107" s="106" t="s">
        <v>3641</v>
      </c>
      <c r="J1107" s="106">
        <v>38618</v>
      </c>
      <c r="K1107" s="106">
        <v>19954</v>
      </c>
      <c r="L1107" s="106">
        <v>14257</v>
      </c>
      <c r="M1107" s="106">
        <v>0.45</v>
      </c>
      <c r="N1107" s="106">
        <v>0.8</v>
      </c>
      <c r="O1107" s="106">
        <v>1</v>
      </c>
      <c r="P1107" s="106">
        <v>29547</v>
      </c>
      <c r="Q1107" s="106">
        <v>24658.3544</v>
      </c>
      <c r="R1107" s="106">
        <v>0.69865993182301334</v>
      </c>
      <c r="S1107" s="106">
        <v>30263.1728</v>
      </c>
      <c r="T1107" s="106">
        <v>35162.813600000001</v>
      </c>
      <c r="U1107" s="106">
        <v>27141.009600000001</v>
      </c>
      <c r="V1107" s="106">
        <v>0.39185837803174428</v>
      </c>
      <c r="W1107" s="106">
        <v>75760.094983991468</v>
      </c>
      <c r="X1107" s="110">
        <v>0.53835061708486265</v>
      </c>
      <c r="Y1107" s="106">
        <v>380.00675675675672</v>
      </c>
      <c r="Z1107" s="106">
        <v>12.668918918918918</v>
      </c>
      <c r="AA1107" s="106">
        <v>128997.1939163498</v>
      </c>
      <c r="AB1107" s="106">
        <v>904.84509521523444</v>
      </c>
      <c r="AC1107" s="106">
        <v>0.77521066128652782</v>
      </c>
      <c r="AD1107" s="106">
        <v>21.807628524046436</v>
      </c>
      <c r="AE1107" s="106">
        <v>142.56273764258555</v>
      </c>
      <c r="AF1107" s="106">
        <v>3.2407267827623695E-2</v>
      </c>
      <c r="AG1107" s="106">
        <v>37888</v>
      </c>
      <c r="AH1107" s="106">
        <v>22523.5432</v>
      </c>
      <c r="AI1107" s="106">
        <v>30338.463199999998</v>
      </c>
      <c r="AJ1107" s="106">
        <v>41090.216</v>
      </c>
      <c r="AK1107" s="104">
        <v>27141.009600000001</v>
      </c>
      <c r="AL1107" s="118"/>
      <c r="AM1107" s="118">
        <v>1217</v>
      </c>
      <c r="AN1107" s="118">
        <v>37494</v>
      </c>
      <c r="AO1107" s="118">
        <v>263</v>
      </c>
      <c r="AP1107" s="118">
        <f t="shared" si="17"/>
        <v>730</v>
      </c>
    </row>
    <row r="1108" spans="1:42" ht="12.75">
      <c r="A1108" s="106">
        <v>2018</v>
      </c>
      <c r="B1108" s="106">
        <v>-132657</v>
      </c>
      <c r="C1108" s="106">
        <v>0</v>
      </c>
      <c r="D1108" s="106">
        <v>132657</v>
      </c>
      <c r="E1108" s="106" t="s">
        <v>1858</v>
      </c>
      <c r="F1108" s="106" t="s">
        <v>1202</v>
      </c>
      <c r="G1108" s="106" t="s">
        <v>258</v>
      </c>
      <c r="H1108" s="106">
        <v>6</v>
      </c>
      <c r="I1108" s="106" t="s">
        <v>3640</v>
      </c>
      <c r="J1108" s="106">
        <v>37510</v>
      </c>
      <c r="K1108" s="106">
        <v>39401</v>
      </c>
      <c r="L1108" s="106">
        <v>32467</v>
      </c>
      <c r="M1108" s="106">
        <v>0.23</v>
      </c>
      <c r="N1108" s="106">
        <v>0.3</v>
      </c>
      <c r="O1108" s="106">
        <v>0.92</v>
      </c>
      <c r="P1108" s="106">
        <v>12812</v>
      </c>
      <c r="Q1108" s="106">
        <v>7491.2661691542289</v>
      </c>
      <c r="R1108" s="106">
        <v>0.27307505075573785</v>
      </c>
      <c r="S1108" s="106">
        <v>27384.1815920398</v>
      </c>
      <c r="T1108" s="106">
        <v>28588.897699004974</v>
      </c>
      <c r="U1108" s="106">
        <v>23280.830223880595</v>
      </c>
      <c r="V1108" s="106">
        <v>0.85657287219443001</v>
      </c>
      <c r="W1108" s="106">
        <v>86033.713740458013</v>
      </c>
      <c r="X1108" s="110">
        <v>0.5720490860015448</v>
      </c>
      <c r="Y1108" s="106">
        <v>618.04072398190044</v>
      </c>
      <c r="Z1108" s="106">
        <v>21.828054298642531</v>
      </c>
      <c r="AA1108" s="106">
        <v>84984.279228149826</v>
      </c>
      <c r="AB1108" s="106">
        <v>822.23582771420411</v>
      </c>
      <c r="AC1108" s="106">
        <v>1.1766882170235129</v>
      </c>
      <c r="AD1108" s="106">
        <v>34.4140625</v>
      </c>
      <c r="AE1108" s="106">
        <v>103.35754824063564</v>
      </c>
      <c r="AF1108" s="106">
        <v>-5.2039742903580181E-3</v>
      </c>
      <c r="AG1108" s="106">
        <v>35260</v>
      </c>
      <c r="AH1108" s="106">
        <v>25581.815609452737</v>
      </c>
      <c r="AI1108" s="106">
        <v>27384.1815920398</v>
      </c>
      <c r="AJ1108" s="106">
        <v>28012.965174129353</v>
      </c>
      <c r="AK1108" s="104">
        <v>23280.830223880595</v>
      </c>
      <c r="AL1108" s="118"/>
      <c r="AM1108" s="118">
        <v>2204</v>
      </c>
      <c r="AN1108" s="118">
        <v>91058</v>
      </c>
      <c r="AO1108" s="118">
        <v>502</v>
      </c>
      <c r="AP1108" s="118">
        <f t="shared" si="17"/>
        <v>2250</v>
      </c>
    </row>
    <row r="1109" spans="1:42" ht="12.75">
      <c r="A1109" s="106">
        <v>2018</v>
      </c>
      <c r="B1109" s="106">
        <v>-106342</v>
      </c>
      <c r="C1109" s="106">
        <v>0</v>
      </c>
      <c r="D1109" s="106">
        <v>106342</v>
      </c>
      <c r="E1109" s="106" t="s">
        <v>1859</v>
      </c>
      <c r="F1109" s="106" t="s">
        <v>1860</v>
      </c>
      <c r="G1109" s="106" t="s">
        <v>200</v>
      </c>
      <c r="H1109" s="106">
        <v>7</v>
      </c>
      <c r="I1109" s="106" t="s">
        <v>3641</v>
      </c>
      <c r="J1109" s="106">
        <v>27340</v>
      </c>
      <c r="K1109" s="106">
        <v>15176</v>
      </c>
      <c r="L1109" s="106">
        <v>12983</v>
      </c>
      <c r="M1109" s="106">
        <v>0.45</v>
      </c>
      <c r="N1109" s="106">
        <v>0.65</v>
      </c>
      <c r="O1109" s="106">
        <v>1</v>
      </c>
      <c r="P1109" s="106">
        <v>19487</v>
      </c>
      <c r="Q1109" s="106">
        <v>18959.390492359933</v>
      </c>
      <c r="R1109" s="106">
        <v>0.65557923706910581</v>
      </c>
      <c r="S1109" s="106">
        <v>27045.005093378608</v>
      </c>
      <c r="T1109" s="106">
        <v>42797.655348047541</v>
      </c>
      <c r="U1109" s="106">
        <v>35932.804753820034</v>
      </c>
      <c r="V1109" s="106">
        <v>0.27720265642028874</v>
      </c>
      <c r="W1109" s="106">
        <v>58848.084677419349</v>
      </c>
      <c r="X1109" s="110">
        <v>0.38597349496995359</v>
      </c>
      <c r="Y1109" s="106">
        <v>351.19867549668874</v>
      </c>
      <c r="Z1109" s="106">
        <v>11.701986754966887</v>
      </c>
      <c r="AA1109" s="106">
        <v>143975.65986394559</v>
      </c>
      <c r="AB1109" s="106">
        <v>1197.2858516716637</v>
      </c>
      <c r="AC1109" s="106">
        <v>0.69456184534593013</v>
      </c>
      <c r="AD1109" s="106">
        <v>22.272727272727273</v>
      </c>
      <c r="AE1109" s="106">
        <v>120.25170068027211</v>
      </c>
      <c r="AF1109" s="106">
        <v>-0.12460642872257653</v>
      </c>
      <c r="AG1109" s="106">
        <v>27100</v>
      </c>
      <c r="AH1109" s="106">
        <v>23861.504244482174</v>
      </c>
      <c r="AI1109" s="106">
        <v>27045.005093378608</v>
      </c>
      <c r="AJ1109" s="106">
        <v>30006.753820033955</v>
      </c>
      <c r="AK1109" s="104">
        <v>35932.804753820034</v>
      </c>
      <c r="AM1109" s="118">
        <v>672</v>
      </c>
      <c r="AN1109" s="118">
        <v>17677</v>
      </c>
      <c r="AO1109" s="118">
        <v>147</v>
      </c>
      <c r="AP1109" s="118">
        <f t="shared" si="17"/>
        <v>240</v>
      </c>
    </row>
    <row r="1110" spans="1:42" ht="12.75">
      <c r="A1110" s="106">
        <v>2018</v>
      </c>
      <c r="B1110" s="106">
        <v>-173902</v>
      </c>
      <c r="C1110" s="106">
        <v>0</v>
      </c>
      <c r="D1110" s="106">
        <v>173902</v>
      </c>
      <c r="E1110" s="106" t="s">
        <v>1862</v>
      </c>
      <c r="F1110" s="106" t="s">
        <v>366</v>
      </c>
      <c r="G1110" s="106" t="s">
        <v>113</v>
      </c>
      <c r="H1110" s="106">
        <v>7</v>
      </c>
      <c r="I1110" s="106" t="s">
        <v>3641</v>
      </c>
      <c r="J1110" s="106">
        <v>52464</v>
      </c>
      <c r="K1110" s="106">
        <v>29013</v>
      </c>
      <c r="L1110" s="106">
        <v>11466</v>
      </c>
      <c r="M1110" s="106">
        <v>0.23</v>
      </c>
      <c r="N1110" s="106">
        <v>0.56999999999999995</v>
      </c>
      <c r="O1110" s="106">
        <v>0.81</v>
      </c>
      <c r="P1110" s="106">
        <v>35488</v>
      </c>
      <c r="Q1110" s="106">
        <v>25684.402000909504</v>
      </c>
      <c r="R1110" s="106">
        <v>0.52404015661823378</v>
      </c>
      <c r="S1110" s="106">
        <v>39723.055934515687</v>
      </c>
      <c r="T1110" s="106">
        <v>52518.872214643023</v>
      </c>
      <c r="U1110" s="106">
        <v>45762.295799296422</v>
      </c>
      <c r="V1110" s="106">
        <v>0.50976193173794215</v>
      </c>
      <c r="W1110" s="106">
        <v>99193.850964043784</v>
      </c>
      <c r="X1110" s="110">
        <v>0.54941163227666701</v>
      </c>
      <c r="Y1110" s="106">
        <v>306.88837209302324</v>
      </c>
      <c r="Z1110" s="106">
        <v>10.227906976744187</v>
      </c>
      <c r="AA1110" s="106">
        <v>195400.56012165599</v>
      </c>
      <c r="AB1110" s="106">
        <v>1525.1555517899521</v>
      </c>
      <c r="AC1110" s="106">
        <v>0.5117692597080592</v>
      </c>
      <c r="AD1110" s="106">
        <v>24.407582938388625</v>
      </c>
      <c r="AE1110" s="106">
        <v>128.11844660194174</v>
      </c>
      <c r="AF1110" s="106">
        <v>3.4436622132334664E-2</v>
      </c>
      <c r="AG1110" s="106">
        <v>52234</v>
      </c>
      <c r="AH1110" s="106">
        <v>32068.667576170988</v>
      </c>
      <c r="AI1110" s="106">
        <v>39826.284674852206</v>
      </c>
      <c r="AJ1110" s="106">
        <v>67769.89540700319</v>
      </c>
      <c r="AK1110" s="104">
        <v>47201.00045475216</v>
      </c>
      <c r="AM1110" s="118">
        <v>2136</v>
      </c>
      <c r="AN1110" s="118">
        <v>65981</v>
      </c>
      <c r="AO1110" s="118">
        <v>515</v>
      </c>
      <c r="AP1110" s="118">
        <f t="shared" si="17"/>
        <v>230</v>
      </c>
    </row>
    <row r="1111" spans="1:42" ht="12.75">
      <c r="A1111" s="106">
        <v>2018</v>
      </c>
      <c r="B1111" s="106">
        <v>-146825</v>
      </c>
      <c r="C1111" s="106">
        <v>0</v>
      </c>
      <c r="D1111" s="106">
        <v>146825</v>
      </c>
      <c r="E1111" s="106" t="s">
        <v>1861</v>
      </c>
      <c r="F1111" s="106" t="s">
        <v>792</v>
      </c>
      <c r="G1111" s="106" t="s">
        <v>243</v>
      </c>
      <c r="H1111" s="106">
        <v>7</v>
      </c>
      <c r="I1111" s="106" t="s">
        <v>3641</v>
      </c>
      <c r="J1111" s="106">
        <v>26100</v>
      </c>
      <c r="K1111" s="106">
        <v>16623</v>
      </c>
      <c r="L1111" s="106">
        <v>14719</v>
      </c>
      <c r="M1111" s="106">
        <v>0.5</v>
      </c>
      <c r="N1111" s="106">
        <v>0.92</v>
      </c>
      <c r="O1111" s="106">
        <v>0.97</v>
      </c>
      <c r="P1111" s="106">
        <v>15706</v>
      </c>
      <c r="Q1111" s="106">
        <v>11978.813819577736</v>
      </c>
      <c r="R1111" s="106">
        <v>0.50238410521392707</v>
      </c>
      <c r="S1111" s="106">
        <v>20985.550863723609</v>
      </c>
      <c r="T1111" s="106">
        <v>27326.587332053743</v>
      </c>
      <c r="U1111" s="106">
        <v>25183.337811900194</v>
      </c>
      <c r="V1111" s="106">
        <v>0.47114965497934952</v>
      </c>
      <c r="W1111" s="106">
        <v>62502.112903225803</v>
      </c>
      <c r="X1111" s="110">
        <v>0.54436884567924826</v>
      </c>
      <c r="Y1111" s="106">
        <v>357.6870229007634</v>
      </c>
      <c r="Z1111" s="106">
        <v>11.931297709923665</v>
      </c>
      <c r="AA1111" s="106">
        <v>115092.27192982456</v>
      </c>
      <c r="AB1111" s="106">
        <v>840.03578974326138</v>
      </c>
      <c r="AC1111" s="106">
        <v>0.86886806840491604</v>
      </c>
      <c r="AD1111" s="106">
        <v>22.440944881889763</v>
      </c>
      <c r="AE1111" s="106">
        <v>137.00877192982455</v>
      </c>
      <c r="AF1111" s="106">
        <v>-8.0332724543565451E-2</v>
      </c>
      <c r="AG1111" s="106">
        <v>25340</v>
      </c>
      <c r="AH1111" s="106">
        <v>17632.869481765836</v>
      </c>
      <c r="AI1111" s="106">
        <v>21481.3339731286</v>
      </c>
      <c r="AJ1111" s="106">
        <v>23539.746641074857</v>
      </c>
      <c r="AK1111" s="104">
        <v>25183.337811900194</v>
      </c>
      <c r="AL1111" s="118"/>
      <c r="AM1111" s="118">
        <v>521</v>
      </c>
      <c r="AN1111" s="118">
        <v>15619</v>
      </c>
      <c r="AO1111" s="118">
        <v>114</v>
      </c>
      <c r="AP1111" s="118">
        <f t="shared" si="17"/>
        <v>760</v>
      </c>
    </row>
    <row r="1112" spans="1:42" ht="12.75">
      <c r="A1112" s="106">
        <v>2018</v>
      </c>
      <c r="B1112" s="106">
        <v>-170790</v>
      </c>
      <c r="C1112" s="106">
        <v>0</v>
      </c>
      <c r="D1112" s="106">
        <v>170790</v>
      </c>
      <c r="E1112" s="106" t="s">
        <v>1863</v>
      </c>
      <c r="F1112" s="106" t="s">
        <v>1671</v>
      </c>
      <c r="G1112" s="106" t="s">
        <v>74</v>
      </c>
      <c r="H1112" s="106">
        <v>4</v>
      </c>
      <c r="I1112" s="106" t="s">
        <v>24</v>
      </c>
      <c r="J1112" s="106">
        <v>3375</v>
      </c>
      <c r="K1112" s="106">
        <v>8161</v>
      </c>
      <c r="L1112" s="106">
        <v>8164</v>
      </c>
      <c r="M1112" s="106">
        <v>0.27</v>
      </c>
      <c r="N1112" s="106">
        <v>7.0000000000000007E-2</v>
      </c>
      <c r="O1112" s="106">
        <v>0.06</v>
      </c>
      <c r="P1112" s="106">
        <v>2543</v>
      </c>
      <c r="Q1112" s="106">
        <v>52.376450203405156</v>
      </c>
      <c r="R1112" s="106">
        <v>1.176512057740395E-2</v>
      </c>
      <c r="S1112" s="106">
        <v>11885.935362362514</v>
      </c>
      <c r="T1112" s="106">
        <v>12119.126487871026</v>
      </c>
      <c r="U1112" s="106">
        <v>10123.495443881438</v>
      </c>
      <c r="V1112" s="106">
        <v>0.43457962895970992</v>
      </c>
      <c r="W1112" s="106">
        <v>91612.901173563936</v>
      </c>
      <c r="X1112" s="110">
        <v>0.61466586365445708</v>
      </c>
      <c r="Y1112" s="106">
        <v>907.120728929385</v>
      </c>
      <c r="Z1112" s="106">
        <v>30.236902050113894</v>
      </c>
      <c r="AA1112" s="106">
        <v>45003.107341621639</v>
      </c>
      <c r="AB1112" s="106">
        <v>337.44476383280403</v>
      </c>
      <c r="AC1112" s="106">
        <v>2.2220687838484845</v>
      </c>
      <c r="AD1112" s="106">
        <v>26.857348443964739</v>
      </c>
      <c r="AE1112" s="106">
        <v>133.36436704621568</v>
      </c>
      <c r="AF1112" s="106">
        <v>-1.6440220306351037E-2</v>
      </c>
      <c r="AG1112" s="106">
        <v>3100</v>
      </c>
      <c r="AH1112" s="106">
        <v>10974.219526894682</v>
      </c>
      <c r="AI1112" s="106">
        <v>11067.222540304354</v>
      </c>
      <c r="AJ1112" s="106">
        <v>11854.057782130481</v>
      </c>
      <c r="AK1112" s="104">
        <v>11577.82183215308</v>
      </c>
      <c r="AL1112" s="119">
        <v>72247344</v>
      </c>
      <c r="AM1112" s="118">
        <v>21014</v>
      </c>
      <c r="AN1112" s="118">
        <v>398226</v>
      </c>
      <c r="AO1112" s="118">
        <v>2505</v>
      </c>
      <c r="AP1112" s="118">
        <f t="shared" si="17"/>
        <v>275</v>
      </c>
    </row>
    <row r="1113" spans="1:42" ht="12.75">
      <c r="A1113" s="106">
        <v>2018</v>
      </c>
      <c r="B1113" s="106">
        <v>-238263</v>
      </c>
      <c r="C1113" s="106">
        <v>0</v>
      </c>
      <c r="D1113" s="106">
        <v>238263</v>
      </c>
      <c r="E1113" s="106" t="s">
        <v>1864</v>
      </c>
      <c r="F1113" s="106" t="s">
        <v>988</v>
      </c>
      <c r="G1113" s="106" t="s">
        <v>139</v>
      </c>
      <c r="H1113" s="106">
        <v>4</v>
      </c>
      <c r="I1113" s="106" t="s">
        <v>24</v>
      </c>
      <c r="J1113" s="106">
        <v>4341</v>
      </c>
      <c r="K1113" s="106">
        <v>9679</v>
      </c>
      <c r="L1113" s="106">
        <v>8259</v>
      </c>
      <c r="M1113" s="106">
        <v>0.32</v>
      </c>
      <c r="N1113" s="106">
        <v>0.34</v>
      </c>
      <c r="O1113" s="106">
        <v>0.2</v>
      </c>
      <c r="P1113" s="106">
        <v>1258</v>
      </c>
      <c r="Q1113" s="106"/>
      <c r="R1113" s="106"/>
      <c r="S1113" s="106">
        <v>26087.574266264925</v>
      </c>
      <c r="T1113" s="106">
        <v>23983.667782613549</v>
      </c>
      <c r="U1113" s="106">
        <v>21297.383130413502</v>
      </c>
      <c r="V1113" s="106">
        <v>0.20888662735718103</v>
      </c>
      <c r="W1113" s="106">
        <v>101585.34339905165</v>
      </c>
      <c r="X1113" s="110">
        <v>0.63133092556145476</v>
      </c>
      <c r="Y1113" s="106">
        <v>356.25729442970822</v>
      </c>
      <c r="Z1113" s="106">
        <v>11.884615384615385</v>
      </c>
      <c r="AA1113" s="106">
        <v>50474.967001225967</v>
      </c>
      <c r="AB1113" s="106">
        <v>710.4730518119984</v>
      </c>
      <c r="AC1113" s="106">
        <v>1.9811800966124682</v>
      </c>
      <c r="AD1113" s="106">
        <v>43.98045829940677</v>
      </c>
      <c r="AE1113" s="106">
        <v>71.044168209468396</v>
      </c>
      <c r="AF1113" s="106">
        <v>0.12684093567565316</v>
      </c>
      <c r="AG1113" s="106">
        <v>3966</v>
      </c>
      <c r="AH1113" s="106">
        <v>23583.128110701931</v>
      </c>
      <c r="AI1113" s="106">
        <v>25333.848566008259</v>
      </c>
      <c r="AJ1113" s="106">
        <v>26214.917085146746</v>
      </c>
      <c r="AK1113" s="104">
        <v>22467.32641446267</v>
      </c>
      <c r="AL1113" s="119">
        <v>147576788</v>
      </c>
      <c r="AM1113" s="118">
        <v>15366</v>
      </c>
      <c r="AN1113" s="118">
        <v>268618</v>
      </c>
      <c r="AO1113" s="118">
        <v>1482</v>
      </c>
      <c r="AP1113" s="118">
        <f t="shared" si="17"/>
        <v>375</v>
      </c>
    </row>
    <row r="1114" spans="1:42" ht="12.75">
      <c r="A1114" s="106">
        <v>2018</v>
      </c>
      <c r="B1114" s="106">
        <v>-157304</v>
      </c>
      <c r="C1114" s="106">
        <v>0</v>
      </c>
      <c r="D1114" s="106">
        <v>157304</v>
      </c>
      <c r="E1114" s="106" t="s">
        <v>4141</v>
      </c>
      <c r="F1114" s="106" t="s">
        <v>1487</v>
      </c>
      <c r="G1114" s="106" t="s">
        <v>118</v>
      </c>
      <c r="H1114" s="106">
        <v>4</v>
      </c>
      <c r="I1114" s="106" t="s">
        <v>24</v>
      </c>
      <c r="J1114" s="106">
        <v>4080</v>
      </c>
      <c r="K1114" s="106">
        <v>5304</v>
      </c>
      <c r="L1114" s="106">
        <v>3524</v>
      </c>
      <c r="M1114" s="106">
        <v>0.59</v>
      </c>
      <c r="N1114" s="106">
        <v>0.18</v>
      </c>
      <c r="O1114" s="106">
        <v>0.28999999999999998</v>
      </c>
      <c r="P1114" s="106">
        <v>1878</v>
      </c>
      <c r="Q1114" s="106">
        <v>3466.4969879518071</v>
      </c>
      <c r="R1114" s="106">
        <v>0.67188967361587315</v>
      </c>
      <c r="S1114" s="106">
        <v>14351.215662650602</v>
      </c>
      <c r="T1114" s="106">
        <v>13421.069277108434</v>
      </c>
      <c r="U1114" s="106">
        <v>10712.787801791988</v>
      </c>
      <c r="V1114" s="106">
        <v>0.15801934493281056</v>
      </c>
      <c r="W1114" s="106">
        <v>59475.101694915254</v>
      </c>
      <c r="X1114" s="110">
        <v>0.57751521333454525</v>
      </c>
      <c r="Y1114" s="106">
        <v>468.22570532915364</v>
      </c>
      <c r="Z1114" s="106">
        <v>15.611285266457681</v>
      </c>
      <c r="AA1114" s="106">
        <v>13785.447868972635</v>
      </c>
      <c r="AB1114" s="106">
        <v>357.17899395385837</v>
      </c>
      <c r="AC1114" s="106">
        <v>7.2540261985302141</v>
      </c>
      <c r="AD1114" s="106">
        <v>70.146818923327885</v>
      </c>
      <c r="AE1114" s="106">
        <v>38.595348837209301</v>
      </c>
      <c r="AF1114" s="106"/>
      <c r="AG1114" s="106">
        <v>3888</v>
      </c>
      <c r="AH1114" s="106">
        <v>13357.530120481928</v>
      </c>
      <c r="AI1114" s="106">
        <v>13667.147590361446</v>
      </c>
      <c r="AJ1114" s="106">
        <v>14615.077710843374</v>
      </c>
      <c r="AK1114" s="104">
        <v>12461.603012048192</v>
      </c>
      <c r="AL1114" s="119">
        <v>9520571</v>
      </c>
      <c r="AM1114" s="118">
        <v>3404</v>
      </c>
      <c r="AN1114" s="118">
        <v>49788</v>
      </c>
      <c r="AO1114" s="118">
        <v>416</v>
      </c>
      <c r="AP1114" s="118">
        <f t="shared" si="17"/>
        <v>192</v>
      </c>
    </row>
    <row r="1115" spans="1:42" ht="12.75">
      <c r="A1115" s="106">
        <v>2018</v>
      </c>
      <c r="B1115" s="106">
        <v>-170806</v>
      </c>
      <c r="C1115" s="106">
        <v>0</v>
      </c>
      <c r="D1115" s="106">
        <v>170806</v>
      </c>
      <c r="E1115" s="106" t="s">
        <v>1865</v>
      </c>
      <c r="F1115" s="106" t="s">
        <v>1866</v>
      </c>
      <c r="G1115" s="106" t="s">
        <v>74</v>
      </c>
      <c r="H1115" s="106">
        <v>6</v>
      </c>
      <c r="I1115" s="106" t="s">
        <v>3640</v>
      </c>
      <c r="J1115" s="106">
        <v>20700</v>
      </c>
      <c r="K1115" s="106">
        <v>16415</v>
      </c>
      <c r="L1115" s="106">
        <v>12250</v>
      </c>
      <c r="M1115" s="106">
        <v>0.35</v>
      </c>
      <c r="N1115" s="106">
        <v>0.67</v>
      </c>
      <c r="O1115" s="106">
        <v>0.99</v>
      </c>
      <c r="P1115" s="106">
        <v>11091</v>
      </c>
      <c r="Q1115" s="106">
        <v>4176.0940386230059</v>
      </c>
      <c r="R1115" s="106">
        <v>0.22381847733821986</v>
      </c>
      <c r="S1115" s="106">
        <v>17037.918555835433</v>
      </c>
      <c r="T1115" s="106">
        <v>18354.469353484466</v>
      </c>
      <c r="U1115" s="106">
        <v>17011.577034815014</v>
      </c>
      <c r="V1115" s="106">
        <v>0.85132043178562156</v>
      </c>
      <c r="W1115" s="106">
        <v>65514.655956112852</v>
      </c>
      <c r="X1115" s="110">
        <v>0.63735925145697614</v>
      </c>
      <c r="Y1115" s="106">
        <v>334.04854368932041</v>
      </c>
      <c r="Z1115" s="106">
        <v>11.563106796116505</v>
      </c>
      <c r="AA1115" s="106">
        <v>35859.802209672001</v>
      </c>
      <c r="AB1115" s="106">
        <v>588.85657710537623</v>
      </c>
      <c r="AC1115" s="106">
        <v>2.7886378016058408</v>
      </c>
      <c r="AD1115" s="106">
        <v>53.732762719923919</v>
      </c>
      <c r="AE1115" s="106">
        <v>60.897345132743361</v>
      </c>
      <c r="AF1115" s="106">
        <v>2.7088140830633333E-2</v>
      </c>
      <c r="AG1115" s="106">
        <v>20700</v>
      </c>
      <c r="AH1115" s="106">
        <v>16273.789252728799</v>
      </c>
      <c r="AI1115" s="106">
        <v>17341.478169605372</v>
      </c>
      <c r="AJ1115" s="106">
        <v>19156.525188916876</v>
      </c>
      <c r="AK1115" s="104">
        <v>17128.821578505456</v>
      </c>
      <c r="AM1115" s="118">
        <v>2456</v>
      </c>
      <c r="AN1115" s="118">
        <v>68814</v>
      </c>
      <c r="AO1115" s="118">
        <v>679</v>
      </c>
      <c r="AP1115" s="118">
        <f t="shared" si="17"/>
        <v>0</v>
      </c>
    </row>
    <row r="1116" spans="1:42" ht="12.75">
      <c r="A1116" s="106">
        <v>2018</v>
      </c>
      <c r="B1116" s="106">
        <v>-153861</v>
      </c>
      <c r="C1116" s="106">
        <v>0</v>
      </c>
      <c r="D1116" s="106">
        <v>153861</v>
      </c>
      <c r="E1116" s="106" t="s">
        <v>1867</v>
      </c>
      <c r="F1116" s="106" t="s">
        <v>1206</v>
      </c>
      <c r="G1116" s="106" t="s">
        <v>447</v>
      </c>
      <c r="H1116" s="106">
        <v>6</v>
      </c>
      <c r="I1116" s="106" t="s">
        <v>3640</v>
      </c>
      <c r="J1116" s="106">
        <v>27530</v>
      </c>
      <c r="K1116" s="106">
        <v>16690</v>
      </c>
      <c r="L1116" s="106">
        <v>14747</v>
      </c>
      <c r="M1116" s="106">
        <v>0.76</v>
      </c>
      <c r="N1116" s="106">
        <v>0.76</v>
      </c>
      <c r="O1116" s="106">
        <v>1</v>
      </c>
      <c r="P1116" s="106">
        <v>18064</v>
      </c>
      <c r="Q1116" s="106">
        <v>2633.8729763387296</v>
      </c>
      <c r="R1116" s="106">
        <v>0.22036988799166449</v>
      </c>
      <c r="S1116" s="106">
        <v>19745.952677459525</v>
      </c>
      <c r="T1116" s="106">
        <v>19950.809464508096</v>
      </c>
      <c r="U1116" s="106">
        <v>13706.541699761128</v>
      </c>
      <c r="V1116" s="106">
        <v>0.67983463825482771</v>
      </c>
      <c r="W1116" s="106">
        <v>39808.673469387752</v>
      </c>
      <c r="X1116" s="110">
        <v>0.48703223994257355</v>
      </c>
      <c r="Y1116" s="106">
        <v>318.54830287206266</v>
      </c>
      <c r="Z1116" s="106">
        <v>12.579634464751958</v>
      </c>
      <c r="AA1116" s="106">
        <v>40169.1714777671</v>
      </c>
      <c r="AB1116" s="106">
        <v>541.2783016085466</v>
      </c>
      <c r="AC1116" s="106">
        <v>2.4894713114844342</v>
      </c>
      <c r="AD1116" s="106">
        <v>43.700159489633172</v>
      </c>
      <c r="AE1116" s="106">
        <v>74.211678832116789</v>
      </c>
      <c r="AF1116" s="106">
        <v>1.016958248363207E-2</v>
      </c>
      <c r="AG1116" s="106">
        <v>27000</v>
      </c>
      <c r="AH1116" s="106">
        <v>15787.048567870486</v>
      </c>
      <c r="AI1116" s="106">
        <v>19650.68493150685</v>
      </c>
      <c r="AJ1116" s="106">
        <v>20186.799501867994</v>
      </c>
      <c r="AK1116" s="104">
        <v>14777.708592777086</v>
      </c>
      <c r="AM1116" s="118">
        <v>324</v>
      </c>
      <c r="AN1116" s="118">
        <v>40668</v>
      </c>
      <c r="AO1116" s="118">
        <v>96</v>
      </c>
      <c r="AP1116" s="118">
        <f t="shared" si="17"/>
        <v>530</v>
      </c>
    </row>
    <row r="1117" spans="1:42" ht="12.75">
      <c r="A1117" s="106">
        <v>2018</v>
      </c>
      <c r="B1117" s="106">
        <v>-161299</v>
      </c>
      <c r="C1117" s="106">
        <v>0</v>
      </c>
      <c r="D1117" s="106">
        <v>161299</v>
      </c>
      <c r="E1117" s="106" t="s">
        <v>1868</v>
      </c>
      <c r="F1117" s="106" t="s">
        <v>1869</v>
      </c>
      <c r="G1117" s="106" t="s">
        <v>301</v>
      </c>
      <c r="H1117" s="106">
        <v>3</v>
      </c>
      <c r="I1117" s="104" t="s">
        <v>26</v>
      </c>
      <c r="J1117" s="106">
        <v>13278</v>
      </c>
      <c r="K1117" s="106">
        <v>20875</v>
      </c>
      <c r="L1117" s="106">
        <v>17909</v>
      </c>
      <c r="M1117" s="106">
        <v>0.3</v>
      </c>
      <c r="N1117" s="106">
        <v>0.83</v>
      </c>
      <c r="O1117" s="106">
        <v>0.33</v>
      </c>
      <c r="P1117" s="106">
        <v>4890</v>
      </c>
      <c r="Q1117" s="106">
        <v>2002.1102661596958</v>
      </c>
      <c r="R1117" s="106">
        <v>9.6530777658438177E-2</v>
      </c>
      <c r="S1117" s="106">
        <v>42447.119771863116</v>
      </c>
      <c r="T1117" s="106">
        <v>41248.100760456276</v>
      </c>
      <c r="U1117" s="106">
        <v>30017.222129300761</v>
      </c>
      <c r="V1117" s="106">
        <v>0.62425934312322717</v>
      </c>
      <c r="W1117" s="106">
        <v>87232.70075757576</v>
      </c>
      <c r="X1117" s="110">
        <v>0.53071767194166475</v>
      </c>
      <c r="Y1117" s="106">
        <v>340.93862815884478</v>
      </c>
      <c r="Z1117" s="106">
        <v>11.393501805054152</v>
      </c>
      <c r="AA1117" s="106">
        <v>122872.05322966693</v>
      </c>
      <c r="AB1117" s="106">
        <v>1003.116825921995</v>
      </c>
      <c r="AC1117" s="106">
        <v>0.81385471611745985</v>
      </c>
      <c r="AD1117" s="106">
        <v>25.320197044334975</v>
      </c>
      <c r="AE1117" s="106">
        <v>122.49027237354086</v>
      </c>
      <c r="AF1117" s="106">
        <v>0.14148933886168644</v>
      </c>
      <c r="AG1117" s="106">
        <v>10250</v>
      </c>
      <c r="AH1117" s="106">
        <v>38425.416349809886</v>
      </c>
      <c r="AI1117" s="106">
        <v>40289.585551330798</v>
      </c>
      <c r="AJ1117" s="106">
        <v>45356.615969581748</v>
      </c>
      <c r="AK1117" s="104">
        <v>34347.512357414445</v>
      </c>
      <c r="AL1117" s="119">
        <v>9696100</v>
      </c>
      <c r="AM1117" s="118">
        <v>1018</v>
      </c>
      <c r="AN1117" s="118">
        <v>31480</v>
      </c>
      <c r="AO1117" s="118">
        <v>247</v>
      </c>
      <c r="AP1117" s="118">
        <f t="shared" si="17"/>
        <v>3028</v>
      </c>
    </row>
    <row r="1118" spans="1:42" ht="12.75">
      <c r="A1118" s="106">
        <v>2018</v>
      </c>
      <c r="B1118" s="106">
        <v>-203775</v>
      </c>
      <c r="C1118" s="106">
        <v>0</v>
      </c>
      <c r="D1118" s="106">
        <v>203775</v>
      </c>
      <c r="E1118" s="106" t="s">
        <v>1870</v>
      </c>
      <c r="F1118" s="106" t="s">
        <v>969</v>
      </c>
      <c r="G1118" s="106" t="s">
        <v>82</v>
      </c>
      <c r="H1118" s="106">
        <v>6</v>
      </c>
      <c r="I1118" s="106" t="s">
        <v>3640</v>
      </c>
      <c r="J1118" s="106">
        <v>29900</v>
      </c>
      <c r="K1118" s="106">
        <v>19128</v>
      </c>
      <c r="L1118" s="106">
        <v>15889</v>
      </c>
      <c r="M1118" s="106">
        <v>0.46</v>
      </c>
      <c r="N1118" s="106">
        <v>0.79</v>
      </c>
      <c r="O1118" s="106">
        <v>1</v>
      </c>
      <c r="P1118" s="106">
        <v>19497</v>
      </c>
      <c r="Q1118" s="106">
        <v>12164.384010484928</v>
      </c>
      <c r="R1118" s="106">
        <v>0.51306156172137896</v>
      </c>
      <c r="S1118" s="106">
        <v>19804.599606815202</v>
      </c>
      <c r="T1118" s="106">
        <v>20973.741153342071</v>
      </c>
      <c r="U1118" s="106">
        <v>16859.879167808765</v>
      </c>
      <c r="V1118" s="106">
        <v>0.68476293333057825</v>
      </c>
      <c r="W1118" s="106">
        <v>54810.211883408076</v>
      </c>
      <c r="X1118" s="110">
        <v>0.50918387652487762</v>
      </c>
      <c r="Y1118" s="106">
        <v>388.35398230088498</v>
      </c>
      <c r="Z1118" s="106">
        <v>13.504424778761061</v>
      </c>
      <c r="AA1118" s="106">
        <v>61846.575985760035</v>
      </c>
      <c r="AB1118" s="106">
        <v>586.27690297320601</v>
      </c>
      <c r="AC1118" s="106">
        <v>1.6169043864776713</v>
      </c>
      <c r="AD1118" s="106">
        <v>29.971181556195965</v>
      </c>
      <c r="AE1118" s="106">
        <v>105.49038461538461</v>
      </c>
      <c r="AF1118" s="106">
        <v>-8.8990764559446142E-3</v>
      </c>
      <c r="AG1118" s="106">
        <v>29000</v>
      </c>
      <c r="AH1118" s="106">
        <v>16655.888597640893</v>
      </c>
      <c r="AI1118" s="106">
        <v>19864.974442988205</v>
      </c>
      <c r="AJ1118" s="106">
        <v>20690.606159895149</v>
      </c>
      <c r="AK1118" s="104">
        <v>16974.486893840105</v>
      </c>
      <c r="AM1118" s="118">
        <v>1333</v>
      </c>
      <c r="AN1118" s="118">
        <v>43884</v>
      </c>
      <c r="AO1118" s="118">
        <v>305</v>
      </c>
      <c r="AP1118" s="118">
        <f t="shared" si="17"/>
        <v>900</v>
      </c>
    </row>
    <row r="1119" spans="1:42" ht="12.75">
      <c r="A1119" s="106">
        <v>2018</v>
      </c>
      <c r="B1119" s="106">
        <v>-129695</v>
      </c>
      <c r="C1119" s="106">
        <v>0</v>
      </c>
      <c r="D1119" s="106">
        <v>129695</v>
      </c>
      <c r="E1119" s="106" t="s">
        <v>3933</v>
      </c>
      <c r="F1119" s="106" t="s">
        <v>1871</v>
      </c>
      <c r="G1119" s="106" t="s">
        <v>99</v>
      </c>
      <c r="H1119" s="106">
        <v>4</v>
      </c>
      <c r="I1119" s="106" t="s">
        <v>24</v>
      </c>
      <c r="J1119" s="106">
        <v>4276</v>
      </c>
      <c r="K1119" s="106">
        <v>6666</v>
      </c>
      <c r="L1119" s="106">
        <v>6148</v>
      </c>
      <c r="M1119" s="106">
        <v>0.56999999999999995</v>
      </c>
      <c r="N1119" s="106">
        <v>0.03</v>
      </c>
      <c r="O1119" s="106">
        <v>0.47</v>
      </c>
      <c r="P1119" s="106">
        <v>915</v>
      </c>
      <c r="Q1119" s="106">
        <v>763.38590425531913</v>
      </c>
      <c r="R1119" s="106">
        <v>0.12322092931008015</v>
      </c>
      <c r="S1119" s="106">
        <v>15522.208776595744</v>
      </c>
      <c r="T1119" s="106">
        <v>16696.926861702126</v>
      </c>
      <c r="U1119" s="106">
        <v>12650.798425769683</v>
      </c>
      <c r="V1119" s="106">
        <v>0.42937019586112496</v>
      </c>
      <c r="W1119" s="106">
        <v>110344.0059574468</v>
      </c>
      <c r="X1119" s="110">
        <v>0.68840016982995267</v>
      </c>
      <c r="Y1119" s="106">
        <v>517.48623853211006</v>
      </c>
      <c r="Z1119" s="106">
        <v>17.24770642201835</v>
      </c>
      <c r="AA1119" s="106">
        <v>61456.075039914736</v>
      </c>
      <c r="AB1119" s="106">
        <v>421.6484246436018</v>
      </c>
      <c r="AC1119" s="106">
        <v>1.6271784349236686</v>
      </c>
      <c r="AD1119" s="106">
        <v>22.565597667638485</v>
      </c>
      <c r="AE1119" s="106">
        <v>145.75193798449612</v>
      </c>
      <c r="AF1119" s="106">
        <v>-5.217039231653163E-2</v>
      </c>
      <c r="AG1119" s="106">
        <v>3816</v>
      </c>
      <c r="AH1119" s="106">
        <v>15009.252393617022</v>
      </c>
      <c r="AI1119" s="106">
        <v>15009.465159574467</v>
      </c>
      <c r="AJ1119" s="106">
        <v>15565.627127659574</v>
      </c>
      <c r="AK1119" s="104">
        <v>13543.852127659575</v>
      </c>
      <c r="AL1119" s="119">
        <v>29136485</v>
      </c>
      <c r="AM1119" s="118">
        <v>6321</v>
      </c>
      <c r="AN1119" s="118">
        <v>112812</v>
      </c>
      <c r="AO1119" s="118">
        <v>640</v>
      </c>
      <c r="AP1119" s="118">
        <f t="shared" si="17"/>
        <v>460</v>
      </c>
    </row>
    <row r="1120" spans="1:42" ht="12.75">
      <c r="A1120" s="106">
        <v>2018</v>
      </c>
      <c r="B1120" s="106">
        <v>-183132</v>
      </c>
      <c r="C1120" s="106">
        <v>0</v>
      </c>
      <c r="D1120" s="106">
        <v>183132</v>
      </c>
      <c r="E1120" s="106" t="s">
        <v>3934</v>
      </c>
      <c r="F1120" s="106" t="s">
        <v>1871</v>
      </c>
      <c r="G1120" s="106" t="s">
        <v>179</v>
      </c>
      <c r="H1120" s="106">
        <v>4</v>
      </c>
      <c r="I1120" s="106" t="s">
        <v>24</v>
      </c>
      <c r="J1120" s="106">
        <v>7232</v>
      </c>
      <c r="K1120" s="106">
        <v>13734</v>
      </c>
      <c r="L1120" s="106">
        <v>13276</v>
      </c>
      <c r="M1120" s="106">
        <v>0.39</v>
      </c>
      <c r="N1120" s="106">
        <v>0.55000000000000004</v>
      </c>
      <c r="O1120" s="106">
        <v>0.01</v>
      </c>
      <c r="P1120" s="106">
        <v>330</v>
      </c>
      <c r="Q1120" s="107">
        <v>92.936748562467329</v>
      </c>
      <c r="R1120" s="106">
        <v>1.3845945130532151E-2</v>
      </c>
      <c r="S1120" s="106">
        <v>13270.578149503397</v>
      </c>
      <c r="T1120" s="106">
        <v>15147.604809200209</v>
      </c>
      <c r="U1120" s="106">
        <v>9947.8631818053473</v>
      </c>
      <c r="V1120" s="106">
        <v>0.66539545396047262</v>
      </c>
      <c r="W1120" s="106">
        <v>78324</v>
      </c>
      <c r="X1120" s="110">
        <v>0.55950795807265863</v>
      </c>
      <c r="Y1120" s="106">
        <v>445.91968911917093</v>
      </c>
      <c r="Z1120" s="106">
        <v>14.867875647668392</v>
      </c>
      <c r="AA1120" s="106">
        <v>33982.611190702912</v>
      </c>
      <c r="AB1120" s="106">
        <v>331.68213101165372</v>
      </c>
      <c r="AC1120" s="106">
        <v>2.942681462552188</v>
      </c>
      <c r="AD1120" s="106">
        <v>38.888888888888893</v>
      </c>
      <c r="AE1120" s="106">
        <v>102.45535714285714</v>
      </c>
      <c r="AF1120" s="106">
        <v>3.6657522713921337E-2</v>
      </c>
      <c r="AG1120" s="106">
        <v>6720</v>
      </c>
      <c r="AH1120" s="106">
        <v>11600.822791427077</v>
      </c>
      <c r="AI1120" s="106">
        <v>11600.822791427077</v>
      </c>
      <c r="AJ1120" s="106">
        <v>13436.567694720334</v>
      </c>
      <c r="AK1120" s="104">
        <v>11935.000522739154</v>
      </c>
      <c r="AL1120" s="118">
        <v>6750929</v>
      </c>
      <c r="AM1120" s="118">
        <v>2766</v>
      </c>
      <c r="AN1120" s="118">
        <v>57375</v>
      </c>
      <c r="AO1120" s="118">
        <v>382</v>
      </c>
      <c r="AP1120" s="118">
        <f t="shared" si="17"/>
        <v>512</v>
      </c>
    </row>
    <row r="1121" spans="1:42" ht="12.75">
      <c r="A1121" s="106">
        <v>2018</v>
      </c>
      <c r="B1121" s="106">
        <v>-151777</v>
      </c>
      <c r="C1121" s="106">
        <v>0</v>
      </c>
      <c r="D1121" s="106">
        <v>151777</v>
      </c>
      <c r="E1121" s="106" t="s">
        <v>1872</v>
      </c>
      <c r="F1121" s="106" t="s">
        <v>1873</v>
      </c>
      <c r="G1121" s="106" t="s">
        <v>161</v>
      </c>
      <c r="H1121" s="106">
        <v>7</v>
      </c>
      <c r="I1121" s="106" t="s">
        <v>3641</v>
      </c>
      <c r="J1121" s="106">
        <v>31660</v>
      </c>
      <c r="K1121" s="106">
        <v>18308</v>
      </c>
      <c r="L1121" s="106">
        <v>19575</v>
      </c>
      <c r="M1121" s="106">
        <v>0.5</v>
      </c>
      <c r="N1121" s="106">
        <v>0.95</v>
      </c>
      <c r="O1121" s="106">
        <v>1</v>
      </c>
      <c r="P1121" s="106">
        <v>19205</v>
      </c>
      <c r="Q1121" s="106">
        <v>13751.330018645122</v>
      </c>
      <c r="R1121" s="106">
        <v>0.45956721040817938</v>
      </c>
      <c r="S1121" s="106">
        <v>25832.809819763828</v>
      </c>
      <c r="T1121" s="106">
        <v>27489.343070229956</v>
      </c>
      <c r="U1121" s="106">
        <v>22806.076261117738</v>
      </c>
      <c r="V1121" s="106">
        <v>0.70906620842916546</v>
      </c>
      <c r="W1121" s="106">
        <v>73842.615992102656</v>
      </c>
      <c r="X1121" s="110">
        <v>0.56373481803321801</v>
      </c>
      <c r="Y1121" s="106">
        <v>326.90909090909093</v>
      </c>
      <c r="Z1121" s="106">
        <v>13.297520661157025</v>
      </c>
      <c r="AA1121" s="106">
        <v>107295.25352087263</v>
      </c>
      <c r="AB1121" s="106">
        <v>927.67157205325213</v>
      </c>
      <c r="AC1121" s="106">
        <v>0.93200767712009303</v>
      </c>
      <c r="AD1121" s="106">
        <v>22.021893110109467</v>
      </c>
      <c r="AE1121" s="106">
        <v>115.6608187134503</v>
      </c>
      <c r="AF1121" s="106">
        <v>6.7221064608687956E-3</v>
      </c>
      <c r="AG1121" s="106">
        <v>30450</v>
      </c>
      <c r="AH1121" s="106">
        <v>23391.460534493475</v>
      </c>
      <c r="AI1121" s="106">
        <v>25877.766314481043</v>
      </c>
      <c r="AJ1121" s="106">
        <v>28034.613424487259</v>
      </c>
      <c r="AK1121" s="104">
        <v>23382.791796146674</v>
      </c>
      <c r="AL1121" s="118"/>
      <c r="AM1121" s="118">
        <v>1266</v>
      </c>
      <c r="AN1121" s="118">
        <v>39556</v>
      </c>
      <c r="AO1121" s="118">
        <v>253</v>
      </c>
      <c r="AP1121" s="118">
        <f t="shared" si="17"/>
        <v>1210</v>
      </c>
    </row>
    <row r="1122" spans="1:42" ht="12.75">
      <c r="A1122" s="106">
        <v>2018</v>
      </c>
      <c r="B1122" s="106">
        <v>-155487</v>
      </c>
      <c r="C1122" s="106">
        <v>0</v>
      </c>
      <c r="D1122" s="106">
        <v>155487</v>
      </c>
      <c r="E1122" s="106" t="s">
        <v>1874</v>
      </c>
      <c r="F1122" s="106" t="s">
        <v>1655</v>
      </c>
      <c r="G1122" s="106" t="s">
        <v>129</v>
      </c>
      <c r="H1122" s="106">
        <v>4</v>
      </c>
      <c r="I1122" s="106" t="s">
        <v>24</v>
      </c>
      <c r="J1122" s="106">
        <v>6030</v>
      </c>
      <c r="K1122" s="106">
        <v>12285</v>
      </c>
      <c r="L1122" s="106">
        <v>12674</v>
      </c>
      <c r="M1122" s="106">
        <v>0.42</v>
      </c>
      <c r="N1122" s="106">
        <v>0.44</v>
      </c>
      <c r="O1122" s="106">
        <v>0.02</v>
      </c>
      <c r="P1122" s="106">
        <v>250</v>
      </c>
      <c r="Q1122" s="106">
        <v>29.914529914529915</v>
      </c>
      <c r="R1122" s="106">
        <v>5.4619566913651149E-3</v>
      </c>
      <c r="S1122" s="106">
        <v>11781.651282051282</v>
      </c>
      <c r="T1122" s="106">
        <v>11675.936752136751</v>
      </c>
      <c r="U1122" s="106">
        <v>10181.191452991454</v>
      </c>
      <c r="V1122" s="106">
        <v>0.53500362743634688</v>
      </c>
      <c r="W1122" s="106">
        <v>55634.400000000001</v>
      </c>
      <c r="X1122" s="110">
        <v>0.65160708202112816</v>
      </c>
      <c r="Y1122" s="106">
        <v>398.97727272727275</v>
      </c>
      <c r="Z1122" s="106">
        <v>13.295454545454545</v>
      </c>
      <c r="AA1122" s="106">
        <v>15040.396464646465</v>
      </c>
      <c r="AB1122" s="106">
        <v>339.27638849330674</v>
      </c>
      <c r="AC1122" s="106">
        <v>6.6487609043456537</v>
      </c>
      <c r="AD1122" s="106">
        <v>74.858223062381853</v>
      </c>
      <c r="AE1122" s="106">
        <v>44.330808080808083</v>
      </c>
      <c r="AF1122" s="106">
        <v>2.3712112802784832E-2</v>
      </c>
      <c r="AG1122" s="106">
        <v>4530</v>
      </c>
      <c r="AH1122" s="106">
        <v>12139.28376068376</v>
      </c>
      <c r="AI1122" s="106">
        <v>12139.28376068376</v>
      </c>
      <c r="AJ1122" s="106">
        <v>11813.965811965812</v>
      </c>
      <c r="AK1122" s="104">
        <v>10205.711111111112</v>
      </c>
      <c r="AL1122" s="119">
        <v>2244129</v>
      </c>
      <c r="AM1122" s="118">
        <v>922</v>
      </c>
      <c r="AN1122" s="118">
        <v>17555</v>
      </c>
      <c r="AO1122" s="118">
        <v>137</v>
      </c>
      <c r="AP1122" s="118">
        <f t="shared" si="17"/>
        <v>1500</v>
      </c>
    </row>
    <row r="1123" spans="1:42" ht="12.75">
      <c r="A1123" s="106">
        <v>2018</v>
      </c>
      <c r="B1123" s="106">
        <v>-192703</v>
      </c>
      <c r="C1123" s="106">
        <v>0</v>
      </c>
      <c r="D1123" s="106">
        <v>192703</v>
      </c>
      <c r="E1123" s="106" t="s">
        <v>1875</v>
      </c>
      <c r="F1123" s="106" t="s">
        <v>1876</v>
      </c>
      <c r="G1123" s="106" t="s">
        <v>69</v>
      </c>
      <c r="H1123" s="106">
        <v>6</v>
      </c>
      <c r="I1123" s="106" t="s">
        <v>3640</v>
      </c>
      <c r="J1123" s="106">
        <v>41412</v>
      </c>
      <c r="K1123" s="106">
        <v>34143</v>
      </c>
      <c r="L1123" s="106">
        <v>25195</v>
      </c>
      <c r="M1123" s="106">
        <v>0.32</v>
      </c>
      <c r="N1123" s="106">
        <v>0.73</v>
      </c>
      <c r="O1123" s="106">
        <v>0.96</v>
      </c>
      <c r="P1123" s="106">
        <v>20230</v>
      </c>
      <c r="Q1123" s="106">
        <v>16645.350333162482</v>
      </c>
      <c r="R1123" s="106">
        <v>0.4126517579557733</v>
      </c>
      <c r="S1123" s="106">
        <v>42085.720143516148</v>
      </c>
      <c r="T1123" s="106">
        <v>34917.870835468988</v>
      </c>
      <c r="U1123" s="106">
        <v>26691.855542059839</v>
      </c>
      <c r="V1123" s="106">
        <v>0.88761809668846092</v>
      </c>
      <c r="W1123" s="106">
        <v>105463.61081794195</v>
      </c>
      <c r="X1123" s="110">
        <v>0.5867280116602529</v>
      </c>
      <c r="Y1123" s="106">
        <v>373.12864864864866</v>
      </c>
      <c r="Z1123" s="106">
        <v>12.655135135135136</v>
      </c>
      <c r="AA1123" s="106">
        <v>103427.62693656156</v>
      </c>
      <c r="AB1123" s="106">
        <v>905.2884041888384</v>
      </c>
      <c r="AC1123" s="106">
        <v>0.96685965792617545</v>
      </c>
      <c r="AD1123" s="106">
        <v>24.778543307086615</v>
      </c>
      <c r="AE1123" s="106">
        <v>114.24826216484608</v>
      </c>
      <c r="AF1123" s="106">
        <v>0.1436741624604734</v>
      </c>
      <c r="AG1123" s="106">
        <v>38200</v>
      </c>
      <c r="AH1123" s="106">
        <v>34133.341619682215</v>
      </c>
      <c r="AI1123" s="106">
        <v>42376.771143003585</v>
      </c>
      <c r="AJ1123" s="106">
        <v>43777.231163505894</v>
      </c>
      <c r="AK1123" s="104">
        <v>27192.125576627372</v>
      </c>
      <c r="AL1123" s="118">
        <v>254083</v>
      </c>
      <c r="AM1123" s="118">
        <v>3664</v>
      </c>
      <c r="AN1123" s="118">
        <v>115048</v>
      </c>
      <c r="AO1123" s="118">
        <v>766</v>
      </c>
      <c r="AP1123" s="118">
        <f t="shared" si="17"/>
        <v>3212</v>
      </c>
    </row>
    <row r="1124" spans="1:42" ht="12.75">
      <c r="A1124" s="106">
        <v>2018</v>
      </c>
      <c r="B1124" s="106">
        <v>-192749</v>
      </c>
      <c r="C1124" s="106">
        <v>0</v>
      </c>
      <c r="D1124" s="106">
        <v>192749</v>
      </c>
      <c r="E1124" s="106" t="s">
        <v>1877</v>
      </c>
      <c r="F1124" s="106" t="s">
        <v>1878</v>
      </c>
      <c r="G1124" s="106" t="s">
        <v>69</v>
      </c>
      <c r="H1124" s="106">
        <v>6</v>
      </c>
      <c r="I1124" s="106" t="s">
        <v>3640</v>
      </c>
      <c r="J1124" s="106">
        <v>37910</v>
      </c>
      <c r="K1124" s="106">
        <v>24541</v>
      </c>
      <c r="L1124" s="106">
        <v>18700</v>
      </c>
      <c r="M1124" s="106">
        <v>0.39</v>
      </c>
      <c r="N1124" s="106">
        <v>0.56000000000000005</v>
      </c>
      <c r="O1124" s="106">
        <v>0.99</v>
      </c>
      <c r="P1124" s="106">
        <v>23230</v>
      </c>
      <c r="Q1124" s="106">
        <v>16128.432717678101</v>
      </c>
      <c r="R1124" s="106">
        <v>0.48007417708034406</v>
      </c>
      <c r="S1124" s="106">
        <v>26053.278803869835</v>
      </c>
      <c r="T1124" s="106">
        <v>26665.48504837291</v>
      </c>
      <c r="U1124" s="106">
        <v>22472.473614775725</v>
      </c>
      <c r="V1124" s="106">
        <v>0.77727433767549692</v>
      </c>
      <c r="W1124" s="106">
        <v>78670.809105431312</v>
      </c>
      <c r="X1124" s="110">
        <v>0.54144798599502586</v>
      </c>
      <c r="Y1124" s="106">
        <v>314.10876623376629</v>
      </c>
      <c r="Z1124" s="106">
        <v>11.074675324675326</v>
      </c>
      <c r="AA1124" s="106">
        <v>71672.37727910238</v>
      </c>
      <c r="AB1124" s="106">
        <v>792.32220103260613</v>
      </c>
      <c r="AC1124" s="106">
        <v>1.3952376605367203</v>
      </c>
      <c r="AD1124" s="106">
        <v>31.660746003552397</v>
      </c>
      <c r="AE1124" s="106">
        <v>90.458625525946701</v>
      </c>
      <c r="AF1124" s="106">
        <v>2.0240878159187084E-2</v>
      </c>
      <c r="AG1124" s="106">
        <v>36460</v>
      </c>
      <c r="AH1124" s="106">
        <v>24984.529023746702</v>
      </c>
      <c r="AI1124" s="106">
        <v>26102.751099384346</v>
      </c>
      <c r="AJ1124" s="106">
        <v>27283.130167106421</v>
      </c>
      <c r="AK1124" s="104">
        <v>22472.473614775725</v>
      </c>
      <c r="AL1124" s="118">
        <v>172514</v>
      </c>
      <c r="AM1124" s="118">
        <v>1725</v>
      </c>
      <c r="AN1124" s="118">
        <v>64497</v>
      </c>
      <c r="AO1124" s="118">
        <v>382</v>
      </c>
      <c r="AP1124" s="118">
        <f t="shared" si="17"/>
        <v>1450</v>
      </c>
    </row>
    <row r="1125" spans="1:42" ht="12.75">
      <c r="A1125" s="106">
        <v>2018</v>
      </c>
      <c r="B1125" s="106">
        <v>-213783</v>
      </c>
      <c r="C1125" s="106">
        <v>0</v>
      </c>
      <c r="D1125" s="106">
        <v>213783</v>
      </c>
      <c r="E1125" s="106" t="s">
        <v>1879</v>
      </c>
      <c r="F1125" s="106" t="s">
        <v>1880</v>
      </c>
      <c r="G1125" s="106" t="s">
        <v>104</v>
      </c>
      <c r="H1125" s="106">
        <v>2</v>
      </c>
      <c r="I1125" s="106" t="s">
        <v>25</v>
      </c>
      <c r="J1125" s="106">
        <v>12316</v>
      </c>
      <c r="K1125" s="106">
        <v>18792</v>
      </c>
      <c r="L1125" s="106">
        <v>15529</v>
      </c>
      <c r="M1125" s="106">
        <v>0.52</v>
      </c>
      <c r="N1125" s="106">
        <v>0.87</v>
      </c>
      <c r="O1125" s="106">
        <v>0.79</v>
      </c>
      <c r="P1125" s="106">
        <v>3277</v>
      </c>
      <c r="Q1125" s="106">
        <v>1206.6596858638743</v>
      </c>
      <c r="R1125" s="106">
        <v>0.10473304446491953</v>
      </c>
      <c r="S1125" s="106">
        <v>29273.258289703317</v>
      </c>
      <c r="T1125" s="106">
        <v>28058.977894124491</v>
      </c>
      <c r="U1125" s="106">
        <v>22403.357425701182</v>
      </c>
      <c r="V1125" s="106">
        <v>0.460405520463887</v>
      </c>
      <c r="W1125" s="106">
        <v>79507.017857142855</v>
      </c>
      <c r="X1125" s="110">
        <v>0.55385619540723485</v>
      </c>
      <c r="Y1125" s="106">
        <v>355.98845265588915</v>
      </c>
      <c r="Z1125" s="106">
        <v>11.909930715935333</v>
      </c>
      <c r="AA1125" s="106">
        <v>72800.324035501573</v>
      </c>
      <c r="AB1125" s="106">
        <v>749.52553307215373</v>
      </c>
      <c r="AC1125" s="106">
        <v>1.3736202595916238</v>
      </c>
      <c r="AD1125" s="106">
        <v>30.315186246418342</v>
      </c>
      <c r="AE1125" s="106">
        <v>97.128544423440459</v>
      </c>
      <c r="AF1125" s="106">
        <v>-7.0610551691344489E-2</v>
      </c>
      <c r="AG1125" s="106">
        <v>9450</v>
      </c>
      <c r="AH1125" s="106">
        <v>29712.248981966259</v>
      </c>
      <c r="AI1125" s="106">
        <v>29997.727748691101</v>
      </c>
      <c r="AJ1125" s="106">
        <v>29526.038976148924</v>
      </c>
      <c r="AK1125" s="104">
        <v>23507.059918557301</v>
      </c>
      <c r="AL1125" s="118">
        <v>16751910</v>
      </c>
      <c r="AM1125" s="118">
        <v>1826</v>
      </c>
      <c r="AN1125" s="118">
        <v>51381</v>
      </c>
      <c r="AO1125" s="118">
        <v>493</v>
      </c>
      <c r="AP1125" s="118">
        <f t="shared" si="17"/>
        <v>2866</v>
      </c>
    </row>
    <row r="1126" spans="1:42" ht="12.75">
      <c r="A1126" s="106">
        <v>2018</v>
      </c>
      <c r="B1126" s="106">
        <v>-239071</v>
      </c>
      <c r="C1126" s="106">
        <v>0</v>
      </c>
      <c r="D1126" s="106">
        <v>239071</v>
      </c>
      <c r="E1126" s="106" t="s">
        <v>1881</v>
      </c>
      <c r="F1126" s="106" t="s">
        <v>1620</v>
      </c>
      <c r="G1126" s="106" t="s">
        <v>139</v>
      </c>
      <c r="H1126" s="106">
        <v>7</v>
      </c>
      <c r="I1126" s="106" t="s">
        <v>3641</v>
      </c>
      <c r="J1126" s="106">
        <v>14910</v>
      </c>
      <c r="K1126" s="106">
        <v>17974</v>
      </c>
      <c r="L1126" s="106">
        <v>15706</v>
      </c>
      <c r="M1126" s="106">
        <v>0.55000000000000004</v>
      </c>
      <c r="N1126" s="106">
        <v>0.43</v>
      </c>
      <c r="O1126" s="106">
        <v>0.85</v>
      </c>
      <c r="P1126" s="106">
        <v>4754</v>
      </c>
      <c r="Q1126" s="106">
        <v>2815.9788182831662</v>
      </c>
      <c r="R1126" s="106">
        <v>0.20741801002678359</v>
      </c>
      <c r="S1126" s="106">
        <v>17663.878483835004</v>
      </c>
      <c r="T1126" s="106">
        <v>17457.975473801562</v>
      </c>
      <c r="U1126" s="106">
        <v>12066.244147157191</v>
      </c>
      <c r="V1126" s="106">
        <v>0.89177442141444929</v>
      </c>
      <c r="W1126" s="106">
        <v>65556.199524940617</v>
      </c>
      <c r="X1126" s="110">
        <v>0.58747350860840919</v>
      </c>
      <c r="Y1126" s="106">
        <v>482.36645962732922</v>
      </c>
      <c r="Z1126" s="106">
        <v>16.714285714285715</v>
      </c>
      <c r="AA1126" s="106">
        <v>45668.443037974685</v>
      </c>
      <c r="AB1126" s="106">
        <v>418.10256113106965</v>
      </c>
      <c r="AC1126" s="106">
        <v>2.1896958457034978</v>
      </c>
      <c r="AD1126" s="106">
        <v>28.762135922330096</v>
      </c>
      <c r="AE1126" s="106">
        <v>109.22784810126582</v>
      </c>
      <c r="AF1126" s="106">
        <v>3.2514845903539612E-2</v>
      </c>
      <c r="AG1126" s="106">
        <v>13750</v>
      </c>
      <c r="AH1126" s="106">
        <v>15641.164994425864</v>
      </c>
      <c r="AI1126" s="106">
        <v>16324.965440356746</v>
      </c>
      <c r="AJ1126" s="106">
        <v>17952.311036789299</v>
      </c>
      <c r="AK1126" s="104">
        <v>12066.244147157191</v>
      </c>
      <c r="AM1126" s="119">
        <v>926</v>
      </c>
      <c r="AN1126" s="118">
        <v>25887</v>
      </c>
      <c r="AO1126" s="119">
        <v>192</v>
      </c>
      <c r="AP1126" s="118">
        <f t="shared" si="17"/>
        <v>1160</v>
      </c>
    </row>
    <row r="1127" spans="1:42" ht="12.75">
      <c r="A1127" s="106">
        <v>2018</v>
      </c>
      <c r="B1127" s="106">
        <v>-151786</v>
      </c>
      <c r="C1127" s="106">
        <v>0</v>
      </c>
      <c r="D1127" s="106">
        <v>151786</v>
      </c>
      <c r="E1127" s="106" t="s">
        <v>3935</v>
      </c>
      <c r="F1127" s="106" t="s">
        <v>493</v>
      </c>
      <c r="G1127" s="106" t="s">
        <v>161</v>
      </c>
      <c r="H1127" s="106">
        <v>6</v>
      </c>
      <c r="I1127" s="106" t="s">
        <v>3640</v>
      </c>
      <c r="J1127" s="106">
        <v>33000</v>
      </c>
      <c r="K1127" s="106">
        <v>20427</v>
      </c>
      <c r="L1127" s="106">
        <v>13979</v>
      </c>
      <c r="M1127" s="106">
        <v>0.4</v>
      </c>
      <c r="N1127" s="106">
        <v>0.75</v>
      </c>
      <c r="O1127" s="106">
        <v>1</v>
      </c>
      <c r="P1127" s="106">
        <v>21073</v>
      </c>
      <c r="Q1127" s="106">
        <v>7722.8696763202724</v>
      </c>
      <c r="R1127" s="106">
        <v>0.25966416289146538</v>
      </c>
      <c r="S1127" s="106">
        <v>28516.003123225441</v>
      </c>
      <c r="T1127" s="106">
        <v>25087.016751845542</v>
      </c>
      <c r="U1127" s="106">
        <v>23220.246122627421</v>
      </c>
      <c r="V1127" s="106">
        <v>0.94826264934809557</v>
      </c>
      <c r="W1127" s="106">
        <v>81829.695563139932</v>
      </c>
      <c r="X1127" s="110">
        <v>0.45226078682429977</v>
      </c>
      <c r="Y1127" s="106">
        <v>426.1758620689655</v>
      </c>
      <c r="Z1127" s="106">
        <v>18.217241379310344</v>
      </c>
      <c r="AA1127" s="106">
        <v>89183.976929000855</v>
      </c>
      <c r="AB1127" s="106">
        <v>992.56871670138332</v>
      </c>
      <c r="AC1127" s="106">
        <v>1.1212776492307555</v>
      </c>
      <c r="AD1127" s="106">
        <v>30.424684804246848</v>
      </c>
      <c r="AE1127" s="106">
        <v>89.851690294438384</v>
      </c>
      <c r="AF1127" s="106">
        <v>0.17829909520394099</v>
      </c>
      <c r="AG1127" s="106">
        <v>33000</v>
      </c>
      <c r="AH1127" s="106">
        <v>25219.103634298695</v>
      </c>
      <c r="AI1127" s="106">
        <v>28518.487791027826</v>
      </c>
      <c r="AJ1127" s="106">
        <v>29104.337308347531</v>
      </c>
      <c r="AK1127" s="104">
        <v>23803.08319136854</v>
      </c>
      <c r="AL1127" s="118"/>
      <c r="AM1127" s="118">
        <v>2303</v>
      </c>
      <c r="AN1127" s="118">
        <v>82394</v>
      </c>
      <c r="AO1127" s="118">
        <v>625</v>
      </c>
      <c r="AP1127" s="118">
        <f t="shared" si="17"/>
        <v>0</v>
      </c>
    </row>
    <row r="1128" spans="1:42" ht="12.75">
      <c r="A1128" s="106">
        <v>2018</v>
      </c>
      <c r="B1128" s="106">
        <v>-239080</v>
      </c>
      <c r="C1128" s="106">
        <v>0</v>
      </c>
      <c r="D1128" s="106">
        <v>239080</v>
      </c>
      <c r="E1128" s="106" t="s">
        <v>3936</v>
      </c>
      <c r="F1128" s="106" t="s">
        <v>1882</v>
      </c>
      <c r="G1128" s="106" t="s">
        <v>139</v>
      </c>
      <c r="H1128" s="106">
        <v>6</v>
      </c>
      <c r="I1128" s="106" t="s">
        <v>3640</v>
      </c>
      <c r="J1128" s="106">
        <v>27400</v>
      </c>
      <c r="K1128" s="106">
        <v>21175</v>
      </c>
      <c r="L1128" s="106">
        <v>16492</v>
      </c>
      <c r="M1128" s="106">
        <v>0.45</v>
      </c>
      <c r="N1128" s="106">
        <v>0.83</v>
      </c>
      <c r="O1128" s="106">
        <v>0.99</v>
      </c>
      <c r="P1128" s="106">
        <v>13652</v>
      </c>
      <c r="Q1128" s="106">
        <v>9282.2716361339226</v>
      </c>
      <c r="R1128" s="106">
        <v>0.38445573735817506</v>
      </c>
      <c r="S1128" s="106">
        <v>20681.757422615286</v>
      </c>
      <c r="T1128" s="106">
        <v>19273.842703727099</v>
      </c>
      <c r="U1128" s="106">
        <v>15904.625394819963</v>
      </c>
      <c r="V1128" s="106">
        <v>0.93442353905080588</v>
      </c>
      <c r="W1128" s="106">
        <v>65875.460772104605</v>
      </c>
      <c r="X1128" s="110">
        <v>0.57792134004521001</v>
      </c>
      <c r="Y1128" s="106">
        <v>337</v>
      </c>
      <c r="Z1128" s="106">
        <v>11.725925925925926</v>
      </c>
      <c r="AA1128" s="106">
        <v>48698.301740812378</v>
      </c>
      <c r="AB1128" s="106">
        <v>553.40195625892954</v>
      </c>
      <c r="AC1128" s="106">
        <v>2.0534596982915612</v>
      </c>
      <c r="AD1128" s="106">
        <v>33.419521654815767</v>
      </c>
      <c r="AE1128" s="106">
        <v>87.99806576402321</v>
      </c>
      <c r="AF1128" s="106">
        <v>8.225861595534803E-2</v>
      </c>
      <c r="AG1128" s="106">
        <v>26950</v>
      </c>
      <c r="AH1128" s="106">
        <v>18374.525584333544</v>
      </c>
      <c r="AI1128" s="106">
        <v>21133.844598862917</v>
      </c>
      <c r="AJ1128" s="106">
        <v>21167.013265950725</v>
      </c>
      <c r="AK1128" s="104">
        <v>15904.625394819963</v>
      </c>
      <c r="AL1128" s="118"/>
      <c r="AM1128" s="118">
        <v>1508</v>
      </c>
      <c r="AN1128" s="118">
        <v>45495</v>
      </c>
      <c r="AO1128" s="118">
        <v>313</v>
      </c>
      <c r="AP1128" s="118">
        <f t="shared" si="17"/>
        <v>450</v>
      </c>
    </row>
    <row r="1129" spans="1:42" ht="12.75">
      <c r="A1129" s="106">
        <v>2018</v>
      </c>
      <c r="B1129" s="106">
        <v>-203845</v>
      </c>
      <c r="C1129" s="106">
        <v>0</v>
      </c>
      <c r="D1129" s="106">
        <v>203845</v>
      </c>
      <c r="E1129" s="106" t="s">
        <v>1883</v>
      </c>
      <c r="F1129" s="106" t="s">
        <v>711</v>
      </c>
      <c r="G1129" s="106" t="s">
        <v>82</v>
      </c>
      <c r="H1129" s="106">
        <v>7</v>
      </c>
      <c r="I1129" s="106" t="s">
        <v>3641</v>
      </c>
      <c r="J1129" s="106">
        <v>36040</v>
      </c>
      <c r="K1129" s="106">
        <v>20453</v>
      </c>
      <c r="L1129" s="106">
        <v>14159</v>
      </c>
      <c r="M1129" s="106">
        <v>0.35</v>
      </c>
      <c r="N1129" s="106">
        <v>0.72</v>
      </c>
      <c r="O1129" s="106">
        <v>0.9</v>
      </c>
      <c r="P1129" s="106">
        <v>25738</v>
      </c>
      <c r="Q1129" s="106">
        <v>16031.040167364017</v>
      </c>
      <c r="R1129" s="106">
        <v>0.52014061458237282</v>
      </c>
      <c r="S1129" s="106">
        <v>35523.569874476991</v>
      </c>
      <c r="T1129" s="106">
        <v>37302.697907949791</v>
      </c>
      <c r="U1129" s="106">
        <v>27455.140585774057</v>
      </c>
      <c r="V1129" s="106">
        <v>0.53868050348422303</v>
      </c>
      <c r="W1129" s="106">
        <v>68872.154081632645</v>
      </c>
      <c r="X1129" s="110">
        <v>0.5047081746069989</v>
      </c>
      <c r="Y1129" s="106">
        <v>316.21450151057405</v>
      </c>
      <c r="Z1129" s="106">
        <v>10.830815709969789</v>
      </c>
      <c r="AA1129" s="106">
        <v>110467.65319865319</v>
      </c>
      <c r="AB1129" s="106">
        <v>940.37928860099169</v>
      </c>
      <c r="AC1129" s="106">
        <v>0.9052423682810633</v>
      </c>
      <c r="AD1129" s="106">
        <v>27.474560592044405</v>
      </c>
      <c r="AE1129" s="106">
        <v>117.47138047138047</v>
      </c>
      <c r="AF1129" s="106">
        <v>2.5999163076720358E-2</v>
      </c>
      <c r="AG1129" s="106">
        <v>35030</v>
      </c>
      <c r="AH1129" s="106">
        <v>23515.746443514643</v>
      </c>
      <c r="AI1129" s="106">
        <v>33769.574058577404</v>
      </c>
      <c r="AJ1129" s="106">
        <v>40957.445188284517</v>
      </c>
      <c r="AK1129" s="104">
        <v>27455.140585774057</v>
      </c>
      <c r="AL1129" s="118"/>
      <c r="AM1129" s="118">
        <v>1065</v>
      </c>
      <c r="AN1129" s="118">
        <v>34889</v>
      </c>
      <c r="AO1129" s="118">
        <v>255</v>
      </c>
      <c r="AP1129" s="118">
        <f t="shared" si="17"/>
        <v>1010</v>
      </c>
    </row>
    <row r="1130" spans="1:42" ht="12.75">
      <c r="A1130" s="106">
        <v>2018</v>
      </c>
      <c r="B1130" s="106">
        <v>-101648</v>
      </c>
      <c r="C1130" s="106">
        <v>0</v>
      </c>
      <c r="D1130" s="106">
        <v>101648</v>
      </c>
      <c r="E1130" s="106" t="s">
        <v>1884</v>
      </c>
      <c r="F1130" s="106" t="s">
        <v>1576</v>
      </c>
      <c r="G1130" s="106" t="s">
        <v>85</v>
      </c>
      <c r="H1130" s="106">
        <v>4</v>
      </c>
      <c r="I1130" s="106" t="s">
        <v>24</v>
      </c>
      <c r="J1130" s="106">
        <v>9418</v>
      </c>
      <c r="K1130" s="106">
        <v>11871</v>
      </c>
      <c r="L1130" s="106">
        <v>9580</v>
      </c>
      <c r="M1130" s="106">
        <v>0.43</v>
      </c>
      <c r="N1130" s="106">
        <v>0.44</v>
      </c>
      <c r="O1130" s="106">
        <v>0.93</v>
      </c>
      <c r="P1130" s="106">
        <v>6985</v>
      </c>
      <c r="Q1130" s="106">
        <v>4781.7167019027484</v>
      </c>
      <c r="R1130" s="106">
        <v>0.56363872428240946</v>
      </c>
      <c r="S1130" s="106">
        <v>33046.279069767443</v>
      </c>
      <c r="T1130" s="106">
        <v>30458.746300211416</v>
      </c>
      <c r="U1130" s="106">
        <v>18508.408033826639</v>
      </c>
      <c r="V1130" s="106">
        <v>0.20001389003592104</v>
      </c>
      <c r="W1130" s="106">
        <v>64998.131964809385</v>
      </c>
      <c r="X1130" s="110">
        <v>0.51281513615581109</v>
      </c>
      <c r="Y1130" s="106">
        <v>655.47692307692307</v>
      </c>
      <c r="Z1130" s="106">
        <v>21.830769230769228</v>
      </c>
      <c r="AA1130" s="106">
        <v>80316.302752293574</v>
      </c>
      <c r="AB1130" s="106">
        <v>616.42564427545415</v>
      </c>
      <c r="AC1130" s="106">
        <v>1.2450772330545845</v>
      </c>
      <c r="AD1130" s="106">
        <v>24.604966139954854</v>
      </c>
      <c r="AE1130" s="106">
        <v>130.29357798165137</v>
      </c>
      <c r="AF1130" s="106">
        <v>9.6899916651831425E-2</v>
      </c>
      <c r="AG1130" s="106">
        <v>6000</v>
      </c>
      <c r="AH1130" s="106">
        <v>28119.340380549682</v>
      </c>
      <c r="AI1130" s="106">
        <v>32965.718816067652</v>
      </c>
      <c r="AJ1130" s="106">
        <v>33056.021141649049</v>
      </c>
      <c r="AK1130" s="104">
        <v>18680.619450317125</v>
      </c>
      <c r="AL1130" s="118">
        <v>7920936</v>
      </c>
      <c r="AM1130" s="118">
        <v>446</v>
      </c>
      <c r="AN1130" s="118">
        <v>14202</v>
      </c>
      <c r="AO1130" s="118">
        <v>109</v>
      </c>
      <c r="AP1130" s="118">
        <f t="shared" si="17"/>
        <v>3418</v>
      </c>
    </row>
    <row r="1131" spans="1:42" ht="12.75">
      <c r="A1131" s="106">
        <v>2018</v>
      </c>
      <c r="B1131" s="106">
        <v>-203881</v>
      </c>
      <c r="C1131" s="106">
        <v>0</v>
      </c>
      <c r="D1131" s="106">
        <v>203881</v>
      </c>
      <c r="E1131" s="106" t="s">
        <v>1885</v>
      </c>
      <c r="F1131" s="106" t="s">
        <v>1576</v>
      </c>
      <c r="G1131" s="106" t="s">
        <v>82</v>
      </c>
      <c r="H1131" s="106">
        <v>4</v>
      </c>
      <c r="I1131" s="106" t="s">
        <v>24</v>
      </c>
      <c r="J1131" s="106">
        <v>4480</v>
      </c>
      <c r="K1131" s="106">
        <v>6251</v>
      </c>
      <c r="L1131" s="106">
        <v>5152</v>
      </c>
      <c r="M1131" s="106">
        <v>0.53</v>
      </c>
      <c r="N1131" s="106">
        <v>0.28999999999999998</v>
      </c>
      <c r="O1131" s="106">
        <v>0.27</v>
      </c>
      <c r="P1131" s="106">
        <v>1621</v>
      </c>
      <c r="Q1131" s="106">
        <v>101.39353988134476</v>
      </c>
      <c r="R1131" s="106">
        <v>2.3546016561844386E-2</v>
      </c>
      <c r="S1131" s="106">
        <v>10878.352669742913</v>
      </c>
      <c r="T1131" s="106">
        <v>10572.106789716547</v>
      </c>
      <c r="U1131" s="106">
        <v>8454.4284772577448</v>
      </c>
      <c r="V1131" s="106">
        <v>0.49734799032667132</v>
      </c>
      <c r="W1131" s="106">
        <v>70192.842857142852</v>
      </c>
      <c r="X1131" s="110">
        <v>0.61273649157999999</v>
      </c>
      <c r="Y1131" s="106">
        <v>593.42608695652166</v>
      </c>
      <c r="Z1131" s="106">
        <v>19.786956521739128</v>
      </c>
      <c r="AA1131" s="106">
        <v>28125.807017543859</v>
      </c>
      <c r="AB1131" s="106">
        <v>281.90100228591524</v>
      </c>
      <c r="AC1131" s="106">
        <v>3.5554535355242827</v>
      </c>
      <c r="AD1131" s="106">
        <v>38.513513513513516</v>
      </c>
      <c r="AE1131" s="106">
        <v>99.771929824561397</v>
      </c>
      <c r="AF1131" s="106">
        <v>-9.6076235368856941E-2</v>
      </c>
      <c r="AG1131" s="106">
        <v>4080</v>
      </c>
      <c r="AH1131" s="106">
        <v>10189.123269611075</v>
      </c>
      <c r="AI1131" s="106">
        <v>10189.123269611075</v>
      </c>
      <c r="AJ1131" s="106">
        <v>10883.025049439684</v>
      </c>
      <c r="AK1131" s="104">
        <v>9143.6578773895853</v>
      </c>
      <c r="AL1131" s="119">
        <v>7330556</v>
      </c>
      <c r="AM1131" s="118">
        <v>2524</v>
      </c>
      <c r="AN1131" s="118">
        <v>45496</v>
      </c>
      <c r="AO1131" s="118">
        <v>307</v>
      </c>
      <c r="AP1131" s="118">
        <f t="shared" si="17"/>
        <v>400</v>
      </c>
    </row>
    <row r="1132" spans="1:42" ht="12.75">
      <c r="A1132" s="106">
        <v>2018</v>
      </c>
      <c r="B1132" s="106">
        <v>-192819</v>
      </c>
      <c r="C1132" s="106">
        <v>0</v>
      </c>
      <c r="D1132" s="106">
        <v>192819</v>
      </c>
      <c r="E1132" s="106" t="s">
        <v>1886</v>
      </c>
      <c r="F1132" s="106" t="s">
        <v>1074</v>
      </c>
      <c r="G1132" s="106" t="s">
        <v>69</v>
      </c>
      <c r="H1132" s="106">
        <v>6</v>
      </c>
      <c r="I1132" s="106" t="s">
        <v>3640</v>
      </c>
      <c r="J1132" s="106">
        <v>36680</v>
      </c>
      <c r="K1132" s="106">
        <v>37421</v>
      </c>
      <c r="L1132" s="106">
        <v>24365</v>
      </c>
      <c r="M1132" s="106">
        <v>0.15</v>
      </c>
      <c r="N1132" s="106">
        <v>0.59</v>
      </c>
      <c r="O1132" s="106">
        <v>0.9</v>
      </c>
      <c r="P1132" s="106">
        <v>15538</v>
      </c>
      <c r="Q1132" s="106">
        <v>10745.426294820718</v>
      </c>
      <c r="R1132" s="106">
        <v>0.31088123423443104</v>
      </c>
      <c r="S1132" s="106">
        <v>35283.665670650727</v>
      </c>
      <c r="T1132" s="106">
        <v>32419.006806108897</v>
      </c>
      <c r="U1132" s="106">
        <v>25695.70181716056</v>
      </c>
      <c r="V1132" s="106">
        <v>0.92696371569133496</v>
      </c>
      <c r="W1132" s="106">
        <v>98793.710790884725</v>
      </c>
      <c r="X1132" s="110">
        <v>0.5031786360510021</v>
      </c>
      <c r="Y1132" s="106">
        <v>503.73142857142858</v>
      </c>
      <c r="Z1132" s="106">
        <v>17.21142857142857</v>
      </c>
      <c r="AA1132" s="106">
        <v>90204.491693808392</v>
      </c>
      <c r="AB1132" s="106">
        <v>877.96732809192656</v>
      </c>
      <c r="AC1132" s="106">
        <v>1.1085922454886352</v>
      </c>
      <c r="AD1132" s="106">
        <v>29.168791432942378</v>
      </c>
      <c r="AE1132" s="106">
        <v>102.74242424242425</v>
      </c>
      <c r="AF1132" s="106">
        <v>9.5028567815151552E-2</v>
      </c>
      <c r="AG1132" s="106">
        <v>36100</v>
      </c>
      <c r="AH1132" s="106">
        <v>34208.451859229746</v>
      </c>
      <c r="AI1132" s="106">
        <v>35350.563745019921</v>
      </c>
      <c r="AJ1132" s="106">
        <v>39612.937250996016</v>
      </c>
      <c r="AK1132" s="104">
        <v>26125.646082337316</v>
      </c>
      <c r="AL1132" s="118">
        <v>428403</v>
      </c>
      <c r="AM1132" s="118">
        <v>5699</v>
      </c>
      <c r="AN1132" s="118">
        <v>176306</v>
      </c>
      <c r="AO1132" s="118">
        <v>1272</v>
      </c>
      <c r="AP1132" s="118">
        <f t="shared" si="17"/>
        <v>580</v>
      </c>
    </row>
    <row r="1133" spans="1:42" ht="12.75">
      <c r="A1133" s="106">
        <v>2018</v>
      </c>
      <c r="B1133" s="106">
        <v>2106</v>
      </c>
      <c r="C1133" s="106">
        <v>1</v>
      </c>
      <c r="D1133" s="106">
        <v>230940</v>
      </c>
      <c r="E1133" s="106" t="s">
        <v>3858</v>
      </c>
      <c r="F1133" s="106" t="s">
        <v>1887</v>
      </c>
      <c r="G1133" s="106" t="s">
        <v>345</v>
      </c>
      <c r="H1133" s="106">
        <v>7</v>
      </c>
      <c r="I1133" s="106" t="s">
        <v>3641</v>
      </c>
      <c r="J1133" s="106">
        <v>40425</v>
      </c>
      <c r="K1133" s="106">
        <v>20160</v>
      </c>
      <c r="L1133" s="106">
        <v>12230</v>
      </c>
      <c r="M1133" s="106">
        <v>0.54</v>
      </c>
      <c r="N1133" s="106">
        <v>0.61</v>
      </c>
      <c r="O1133" s="106">
        <v>1</v>
      </c>
      <c r="P1133" s="106">
        <v>31938</v>
      </c>
      <c r="Q1133" s="106">
        <v>22287.092920353982</v>
      </c>
      <c r="R1133" s="106">
        <v>0.66360459893807611</v>
      </c>
      <c r="S1133" s="106">
        <v>41472.703539823007</v>
      </c>
      <c r="T1133" s="106">
        <v>60041.407079646015</v>
      </c>
      <c r="U1133" s="106">
        <v>49169.481448433558</v>
      </c>
      <c r="V1133" s="106">
        <v>0.22977271626472356</v>
      </c>
      <c r="W1133" s="106">
        <v>63594.839622641506</v>
      </c>
      <c r="X1133" s="110">
        <v>0.49678496211832573</v>
      </c>
      <c r="Y1133" s="106">
        <v>162.25</v>
      </c>
      <c r="Z1133" s="106">
        <v>5.65</v>
      </c>
      <c r="AA1133" s="106">
        <v>130732.9742040704</v>
      </c>
      <c r="AB1133" s="106">
        <v>1712.2192307158682</v>
      </c>
      <c r="AC1133" s="106">
        <v>0.76491796051318217</v>
      </c>
      <c r="AD1133" s="106">
        <v>40.669856459330148</v>
      </c>
      <c r="AE1133" s="106">
        <v>76.352941176470594</v>
      </c>
      <c r="AF1133" s="106">
        <v>-1.1426215561478756E-2</v>
      </c>
      <c r="AG1133" s="106">
        <v>39481</v>
      </c>
      <c r="AH1133" s="106">
        <v>25369.132743362832</v>
      </c>
      <c r="AI1133" s="106">
        <v>41472.703539823007</v>
      </c>
      <c r="AJ1133" s="106">
        <v>57154.150442477876</v>
      </c>
      <c r="AK1133" s="104">
        <v>52058.044247787613</v>
      </c>
      <c r="AM1133" s="118">
        <v>186</v>
      </c>
      <c r="AN1133" s="118">
        <v>6490</v>
      </c>
      <c r="AO1133" s="118">
        <v>55</v>
      </c>
      <c r="AP1133" s="118">
        <f t="shared" si="17"/>
        <v>944</v>
      </c>
    </row>
    <row r="1134" spans="1:42" ht="12.75">
      <c r="A1134" s="106">
        <v>2018</v>
      </c>
      <c r="B1134" s="106">
        <v>-239105</v>
      </c>
      <c r="C1134" s="106">
        <v>0</v>
      </c>
      <c r="D1134" s="106">
        <v>239105</v>
      </c>
      <c r="E1134" s="106" t="s">
        <v>1888</v>
      </c>
      <c r="F1134" s="106" t="s">
        <v>138</v>
      </c>
      <c r="G1134" s="106" t="s">
        <v>139</v>
      </c>
      <c r="H1134" s="106">
        <v>5</v>
      </c>
      <c r="I1134" s="106" t="s">
        <v>3639</v>
      </c>
      <c r="J1134" s="106">
        <v>39870</v>
      </c>
      <c r="K1134" s="106">
        <v>33081</v>
      </c>
      <c r="L1134" s="106">
        <v>19777</v>
      </c>
      <c r="M1134" s="106">
        <v>0.22</v>
      </c>
      <c r="N1134" s="106">
        <v>0.51</v>
      </c>
      <c r="O1134" s="106">
        <v>1</v>
      </c>
      <c r="P1134" s="106">
        <v>20247</v>
      </c>
      <c r="Q1134" s="106">
        <v>13557.826204900986</v>
      </c>
      <c r="R1134" s="106">
        <v>0.37281653823870942</v>
      </c>
      <c r="S1134" s="106">
        <v>38015.010398770231</v>
      </c>
      <c r="T1134" s="106">
        <v>37153.35925490551</v>
      </c>
      <c r="U1134" s="106">
        <v>28038.068931415146</v>
      </c>
      <c r="V1134" s="106">
        <v>0.81346972000753204</v>
      </c>
      <c r="W1134" s="106">
        <v>104282.07612456747</v>
      </c>
      <c r="X1134" s="110">
        <v>0.61124077891544715</v>
      </c>
      <c r="Y1134" s="106">
        <v>332.70092024539878</v>
      </c>
      <c r="Z1134" s="106">
        <v>12.721242331288343</v>
      </c>
      <c r="AA1134" s="106">
        <v>105971.63510339032</v>
      </c>
      <c r="AB1134" s="106">
        <v>1072.071183676961</v>
      </c>
      <c r="AC1134" s="106">
        <v>0.9436487405562427</v>
      </c>
      <c r="AD1134" s="106">
        <v>27.432964560285019</v>
      </c>
      <c r="AE1134" s="106">
        <v>98.84757347915243</v>
      </c>
      <c r="AF1134" s="106">
        <v>5.5332156244176194E-2</v>
      </c>
      <c r="AG1134" s="106">
        <v>39300</v>
      </c>
      <c r="AH1134" s="106">
        <v>32054.254453386384</v>
      </c>
      <c r="AI1134" s="106">
        <v>38428.519757663438</v>
      </c>
      <c r="AJ1134" s="106">
        <v>42361.78677999819</v>
      </c>
      <c r="AK1134" s="104">
        <v>32968.080296591012</v>
      </c>
      <c r="AL1134" s="118"/>
      <c r="AM1134" s="118">
        <v>8335</v>
      </c>
      <c r="AN1134" s="118">
        <v>289228</v>
      </c>
      <c r="AO1134" s="118">
        <v>1883</v>
      </c>
      <c r="AP1134" s="118">
        <f t="shared" si="17"/>
        <v>570</v>
      </c>
    </row>
    <row r="1135" spans="1:42" ht="12.75">
      <c r="A1135" s="106">
        <v>2018</v>
      </c>
      <c r="B1135" s="106">
        <v>-198899</v>
      </c>
      <c r="C1135" s="106">
        <v>0</v>
      </c>
      <c r="D1135" s="106">
        <v>198899</v>
      </c>
      <c r="E1135" s="106" t="s">
        <v>1889</v>
      </c>
      <c r="F1135" s="106" t="s">
        <v>1890</v>
      </c>
      <c r="G1135" s="106" t="s">
        <v>90</v>
      </c>
      <c r="H1135" s="106">
        <v>7</v>
      </c>
      <c r="I1135" s="106" t="s">
        <v>3641</v>
      </c>
      <c r="J1135" s="106">
        <v>31804</v>
      </c>
      <c r="K1135" s="106">
        <v>15976</v>
      </c>
      <c r="L1135" s="106">
        <v>14410</v>
      </c>
      <c r="M1135" s="106">
        <v>0.63</v>
      </c>
      <c r="N1135" s="106">
        <v>0.79</v>
      </c>
      <c r="O1135" s="106">
        <v>0.98</v>
      </c>
      <c r="P1135" s="106">
        <v>21452</v>
      </c>
      <c r="Q1135" s="106">
        <v>17255.668521462638</v>
      </c>
      <c r="R1135" s="106">
        <v>0.65321715972992811</v>
      </c>
      <c r="S1135" s="106">
        <v>22212.113672496027</v>
      </c>
      <c r="T1135" s="106">
        <v>26331.282988871226</v>
      </c>
      <c r="U1135" s="106">
        <v>19204.574932633248</v>
      </c>
      <c r="V1135" s="106">
        <v>0.47700958380188357</v>
      </c>
      <c r="W1135" s="106">
        <v>52720.153094462541</v>
      </c>
      <c r="X1135" s="110">
        <v>0.48861002862089181</v>
      </c>
      <c r="Y1135" s="106">
        <v>326.42774566473992</v>
      </c>
      <c r="Z1135" s="106">
        <v>10.907514450867053</v>
      </c>
      <c r="AA1135" s="106">
        <v>95115.57191044341</v>
      </c>
      <c r="AB1135" s="106">
        <v>641.71683131249006</v>
      </c>
      <c r="AC1135" s="106">
        <v>1.0513525597486344</v>
      </c>
      <c r="AD1135" s="106">
        <v>20.516962843295637</v>
      </c>
      <c r="AE1135" s="106">
        <v>148.22047244094489</v>
      </c>
      <c r="AF1135" s="106">
        <v>-3.7897806310300034E-3</v>
      </c>
      <c r="AG1135" s="106">
        <v>28236</v>
      </c>
      <c r="AH1135" s="106">
        <v>18066.470588235294</v>
      </c>
      <c r="AI1135" s="106">
        <v>20526.282988871226</v>
      </c>
      <c r="AJ1135" s="106">
        <v>26056.384737678854</v>
      </c>
      <c r="AK1135" s="104">
        <v>19766.903020667727</v>
      </c>
      <c r="AM1135" s="118">
        <v>1263</v>
      </c>
      <c r="AN1135" s="118">
        <v>37648</v>
      </c>
      <c r="AO1135" s="118">
        <v>249</v>
      </c>
      <c r="AP1135" s="118">
        <f t="shared" si="17"/>
        <v>3568</v>
      </c>
    </row>
    <row r="1136" spans="1:42" ht="12.75">
      <c r="A1136" s="106">
        <v>2018</v>
      </c>
      <c r="B1136" s="106">
        <v>-237525</v>
      </c>
      <c r="C1136" s="106">
        <v>0</v>
      </c>
      <c r="D1136" s="106">
        <v>237525</v>
      </c>
      <c r="E1136" s="106" t="s">
        <v>1891</v>
      </c>
      <c r="F1136" s="106" t="s">
        <v>1534</v>
      </c>
      <c r="G1136" s="106" t="s">
        <v>110</v>
      </c>
      <c r="H1136" s="106">
        <v>2</v>
      </c>
      <c r="I1136" s="106" t="s">
        <v>25</v>
      </c>
      <c r="J1136" s="106">
        <v>7798</v>
      </c>
      <c r="K1136" s="106">
        <v>8850</v>
      </c>
      <c r="L1136" s="106">
        <v>6026</v>
      </c>
      <c r="M1136" s="106">
        <v>0.49</v>
      </c>
      <c r="N1136" s="106">
        <v>0.57999999999999996</v>
      </c>
      <c r="O1136" s="106">
        <v>0.8</v>
      </c>
      <c r="P1136" s="106">
        <v>4640</v>
      </c>
      <c r="Q1136" s="106">
        <v>3055.1895754518705</v>
      </c>
      <c r="R1136" s="106">
        <v>0.28440772925493085</v>
      </c>
      <c r="S1136" s="106">
        <v>23479.63463640185</v>
      </c>
      <c r="T1136" s="106">
        <v>23966.983522488441</v>
      </c>
      <c r="U1136" s="106">
        <v>13790.890230129233</v>
      </c>
      <c r="V1136" s="106">
        <v>0.5574040346900857</v>
      </c>
      <c r="W1136" s="106">
        <v>93471.197902764543</v>
      </c>
      <c r="X1136" s="110">
        <v>0.57322381168834302</v>
      </c>
      <c r="Y1136" s="106">
        <v>353.32354063334606</v>
      </c>
      <c r="Z1136" s="106">
        <v>13.615032430370089</v>
      </c>
      <c r="AA1136" s="106">
        <v>54974.074828212877</v>
      </c>
      <c r="AB1136" s="106">
        <v>531.42062764997297</v>
      </c>
      <c r="AC1136" s="106">
        <v>1.819039252820307</v>
      </c>
      <c r="AD1136" s="106">
        <v>26.578783290282352</v>
      </c>
      <c r="AE1136" s="106">
        <v>103.44738605898124</v>
      </c>
      <c r="AF1136" s="106">
        <v>1.2076302767336514E-2</v>
      </c>
      <c r="AG1136" s="106">
        <v>6676</v>
      </c>
      <c r="AH1136" s="106">
        <v>22853.993274485078</v>
      </c>
      <c r="AI1136" s="106">
        <v>22999.463976460698</v>
      </c>
      <c r="AJ1136" s="106">
        <v>24105.147877259351</v>
      </c>
      <c r="AK1136" s="104">
        <v>19804.790163934427</v>
      </c>
      <c r="AL1136" s="118">
        <v>62400064</v>
      </c>
      <c r="AM1136" s="118">
        <v>9489</v>
      </c>
      <c r="AN1136" s="118">
        <v>308687</v>
      </c>
      <c r="AO1136" s="118">
        <v>1657</v>
      </c>
      <c r="AP1136" s="118">
        <f t="shared" si="17"/>
        <v>1122</v>
      </c>
    </row>
    <row r="1137" spans="1:42" ht="12.75">
      <c r="A1137" s="106">
        <v>2018</v>
      </c>
      <c r="B1137" s="106">
        <v>-153922</v>
      </c>
      <c r="C1137" s="106">
        <v>0</v>
      </c>
      <c r="D1137" s="106">
        <v>153922</v>
      </c>
      <c r="E1137" s="106" t="s">
        <v>1892</v>
      </c>
      <c r="F1137" s="106" t="s">
        <v>1893</v>
      </c>
      <c r="G1137" s="106" t="s">
        <v>447</v>
      </c>
      <c r="H1137" s="106">
        <v>4</v>
      </c>
      <c r="I1137" s="106" t="s">
        <v>24</v>
      </c>
      <c r="J1137" s="106">
        <v>4656</v>
      </c>
      <c r="K1137" s="106">
        <v>8428</v>
      </c>
      <c r="L1137" s="106">
        <v>5640</v>
      </c>
      <c r="M1137" s="106">
        <v>0.41</v>
      </c>
      <c r="N1137" s="106">
        <v>0.36</v>
      </c>
      <c r="O1137" s="106">
        <v>0.54</v>
      </c>
      <c r="P1137" s="106">
        <v>2308</v>
      </c>
      <c r="Q1137" s="106">
        <v>1335.8345259391772</v>
      </c>
      <c r="R1137" s="106">
        <v>0.29880722245053204</v>
      </c>
      <c r="S1137" s="106">
        <v>23627.02236135957</v>
      </c>
      <c r="T1137" s="106">
        <v>22158.445438282648</v>
      </c>
      <c r="U1137" s="106">
        <v>12114.711091234347</v>
      </c>
      <c r="V1137" s="106">
        <v>0.25875332899643666</v>
      </c>
      <c r="W1137" s="106">
        <v>80171.378619153678</v>
      </c>
      <c r="X1137" s="110">
        <v>0.48435450779719424</v>
      </c>
      <c r="Y1137" s="106">
        <v>792.35433070866134</v>
      </c>
      <c r="Z1137" s="106">
        <v>26.409448818897637</v>
      </c>
      <c r="AA1137" s="106">
        <v>34116.491183879094</v>
      </c>
      <c r="AB1137" s="106">
        <v>403.78758608353456</v>
      </c>
      <c r="AC1137" s="106">
        <v>2.9311337869133665</v>
      </c>
      <c r="AD1137" s="106">
        <v>33.931623931623932</v>
      </c>
      <c r="AE1137" s="106">
        <v>84.491183879093199</v>
      </c>
      <c r="AF1137" s="106">
        <v>5.2322696562319589E-2</v>
      </c>
      <c r="AG1137" s="106">
        <v>4032</v>
      </c>
      <c r="AH1137" s="106">
        <v>19783.724508050091</v>
      </c>
      <c r="AI1137" s="106">
        <v>20788.192307692309</v>
      </c>
      <c r="AJ1137" s="106">
        <v>23679.056350626117</v>
      </c>
      <c r="AK1137" s="104">
        <v>15393.265652951699</v>
      </c>
      <c r="AL1137" s="118">
        <v>10451384</v>
      </c>
      <c r="AM1137" s="118">
        <v>2028</v>
      </c>
      <c r="AN1137" s="118">
        <v>33543</v>
      </c>
      <c r="AO1137" s="118">
        <v>204</v>
      </c>
      <c r="AP1137" s="118">
        <f t="shared" si="17"/>
        <v>624</v>
      </c>
    </row>
    <row r="1138" spans="1:42" ht="12.75">
      <c r="A1138" s="106">
        <v>2018</v>
      </c>
      <c r="B1138" s="106">
        <v>-198905</v>
      </c>
      <c r="C1138" s="106">
        <v>0</v>
      </c>
      <c r="D1138" s="106">
        <v>198905</v>
      </c>
      <c r="E1138" s="106" t="s">
        <v>1894</v>
      </c>
      <c r="F1138" s="106" t="s">
        <v>1895</v>
      </c>
      <c r="G1138" s="106" t="s">
        <v>90</v>
      </c>
      <c r="H1138" s="106">
        <v>4</v>
      </c>
      <c r="I1138" s="106" t="s">
        <v>24</v>
      </c>
      <c r="J1138" s="106">
        <v>1886</v>
      </c>
      <c r="K1138" s="106">
        <v>6568</v>
      </c>
      <c r="L1138" s="106">
        <v>5670</v>
      </c>
      <c r="M1138" s="106">
        <v>0.8</v>
      </c>
      <c r="N1138" s="106">
        <v>0.28999999999999998</v>
      </c>
      <c r="O1138" s="106">
        <v>0.11</v>
      </c>
      <c r="P1138" s="106">
        <v>500</v>
      </c>
      <c r="Q1138" s="107">
        <v>621.52903225806449</v>
      </c>
      <c r="R1138" s="106">
        <v>0.61799053804827198</v>
      </c>
      <c r="S1138" s="106">
        <v>14898.424193548388</v>
      </c>
      <c r="T1138" s="106">
        <v>17769.282258064515</v>
      </c>
      <c r="U1138" s="106">
        <v>13860.269354838711</v>
      </c>
      <c r="V1138" s="106">
        <v>2.7719286282082447E-2</v>
      </c>
      <c r="W1138" s="106">
        <v>45590.865771812081</v>
      </c>
      <c r="X1138" s="110">
        <v>0.61659859734382139</v>
      </c>
      <c r="Y1138" s="106">
        <v>244.30366492146598</v>
      </c>
      <c r="Z1138" s="106">
        <v>9.7382198952879584</v>
      </c>
      <c r="AA1138" s="106">
        <v>40155.920560747662</v>
      </c>
      <c r="AB1138" s="106">
        <v>552.48598431271694</v>
      </c>
      <c r="AC1138" s="106">
        <v>2.4902928037403731</v>
      </c>
      <c r="AD1138" s="106">
        <v>45.922746781115883</v>
      </c>
      <c r="AE1138" s="106">
        <v>72.682242990654203</v>
      </c>
      <c r="AF1138" s="106">
        <v>-0.14070881348096184</v>
      </c>
      <c r="AG1138" s="106">
        <v>1824</v>
      </c>
      <c r="AH1138" s="106">
        <v>13824.579032258065</v>
      </c>
      <c r="AI1138" s="106">
        <v>13828.933870967741</v>
      </c>
      <c r="AJ1138" s="106">
        <v>14917.666129032257</v>
      </c>
      <c r="AK1138" s="104">
        <v>15271.167741935484</v>
      </c>
      <c r="AL1138" s="118">
        <v>7381132</v>
      </c>
      <c r="AM1138" s="118">
        <v>837</v>
      </c>
      <c r="AN1138" s="118">
        <v>15554</v>
      </c>
      <c r="AO1138" s="118">
        <v>119</v>
      </c>
      <c r="AP1138" s="118">
        <f t="shared" si="17"/>
        <v>62</v>
      </c>
    </row>
    <row r="1139" spans="1:42" ht="12.75">
      <c r="A1139" s="106">
        <v>2018</v>
      </c>
      <c r="B1139" s="106">
        <v>-220701</v>
      </c>
      <c r="C1139" s="106">
        <v>0</v>
      </c>
      <c r="D1139" s="106">
        <v>220701</v>
      </c>
      <c r="E1139" s="106" t="s">
        <v>1896</v>
      </c>
      <c r="F1139" s="106" t="s">
        <v>1897</v>
      </c>
      <c r="G1139" s="106" t="s">
        <v>255</v>
      </c>
      <c r="H1139" s="106">
        <v>7</v>
      </c>
      <c r="I1139" s="106" t="s">
        <v>3641</v>
      </c>
      <c r="J1139" s="106">
        <v>23800</v>
      </c>
      <c r="K1139" s="106">
        <v>19241</v>
      </c>
      <c r="L1139" s="106">
        <v>16308</v>
      </c>
      <c r="M1139" s="106">
        <v>0.52</v>
      </c>
      <c r="N1139" s="106">
        <v>0.62</v>
      </c>
      <c r="O1139" s="106">
        <v>0.99</v>
      </c>
      <c r="P1139" s="106">
        <v>13639</v>
      </c>
      <c r="Q1139" s="106">
        <v>12309.250588235294</v>
      </c>
      <c r="R1139" s="106">
        <v>0.55377179740864435</v>
      </c>
      <c r="S1139" s="106">
        <v>20537.498823529411</v>
      </c>
      <c r="T1139" s="106">
        <v>20547.583529411764</v>
      </c>
      <c r="U1139" s="106">
        <v>16981.570588235296</v>
      </c>
      <c r="V1139" s="106">
        <v>0.58409022653277753</v>
      </c>
      <c r="W1139" s="106">
        <v>60479.391509433961</v>
      </c>
      <c r="X1139" s="110">
        <v>0.48940943162859968</v>
      </c>
      <c r="Y1139" s="106">
        <v>431.15254237288133</v>
      </c>
      <c r="Z1139" s="106">
        <v>14.40677966101695</v>
      </c>
      <c r="AA1139" s="106">
        <v>93729.448051948057</v>
      </c>
      <c r="AB1139" s="106">
        <v>567.43199150876637</v>
      </c>
      <c r="AC1139" s="106">
        <v>1.0669005534373424</v>
      </c>
      <c r="AD1139" s="106">
        <v>17.381489841986454</v>
      </c>
      <c r="AE1139" s="106">
        <v>165.18181818181819</v>
      </c>
      <c r="AF1139" s="106">
        <v>4.973678090765251E-2</v>
      </c>
      <c r="AG1139" s="106">
        <v>22300</v>
      </c>
      <c r="AH1139" s="106">
        <v>14186.441176470587</v>
      </c>
      <c r="AI1139" s="106">
        <v>20537.643529411765</v>
      </c>
      <c r="AJ1139" s="106">
        <v>22097.043529411763</v>
      </c>
      <c r="AK1139" s="104">
        <v>16981.570588235296</v>
      </c>
      <c r="AL1139" s="118"/>
      <c r="AM1139" s="118">
        <v>977</v>
      </c>
      <c r="AN1139" s="118">
        <v>25438</v>
      </c>
      <c r="AO1139" s="118">
        <v>145</v>
      </c>
      <c r="AP1139" s="118">
        <f t="shared" si="17"/>
        <v>1500</v>
      </c>
    </row>
    <row r="1140" spans="1:42" ht="12.75">
      <c r="A1140" s="106">
        <v>2018</v>
      </c>
      <c r="B1140" s="106">
        <v>-151810</v>
      </c>
      <c r="C1140" s="106">
        <v>0</v>
      </c>
      <c r="D1140" s="106">
        <v>151810</v>
      </c>
      <c r="E1140" s="106" t="s">
        <v>1898</v>
      </c>
      <c r="F1140" s="106" t="s">
        <v>493</v>
      </c>
      <c r="G1140" s="106" t="s">
        <v>161</v>
      </c>
      <c r="H1140" s="106">
        <v>7</v>
      </c>
      <c r="I1140" s="106" t="s">
        <v>3641</v>
      </c>
      <c r="J1140" s="106">
        <v>13200</v>
      </c>
      <c r="K1140" s="106">
        <v>14095</v>
      </c>
      <c r="L1140" s="106">
        <v>13688</v>
      </c>
      <c r="M1140" s="106">
        <v>0.93</v>
      </c>
      <c r="N1140" s="106">
        <v>1</v>
      </c>
      <c r="O1140" s="106">
        <v>0</v>
      </c>
      <c r="P1140" s="106"/>
      <c r="Q1140" s="106"/>
      <c r="R1140" s="106"/>
      <c r="S1140" s="106">
        <v>21652.073260073259</v>
      </c>
      <c r="T1140" s="106">
        <v>20275.234432234432</v>
      </c>
      <c r="U1140" s="106">
        <v>15457.724352248651</v>
      </c>
      <c r="V1140" s="106">
        <v>1.0899767686120927</v>
      </c>
      <c r="W1140" s="106">
        <v>73607.304635761582</v>
      </c>
      <c r="X1140" s="110">
        <v>0.66934199845749132</v>
      </c>
      <c r="Y1140" s="106">
        <v>544.88372093023258</v>
      </c>
      <c r="Z1140" s="106">
        <v>19.046511627906977</v>
      </c>
      <c r="AA1140" s="106">
        <v>64922.442279444331</v>
      </c>
      <c r="AB1140" s="106">
        <v>540.32762460485037</v>
      </c>
      <c r="AC1140" s="106">
        <v>1.5402994171040585</v>
      </c>
      <c r="AD1140" s="106">
        <v>25.89641434262948</v>
      </c>
      <c r="AE1140" s="106">
        <v>120.15384615384616</v>
      </c>
      <c r="AF1140" s="106">
        <v>4.1305557838120906E-2</v>
      </c>
      <c r="AG1140" s="106">
        <v>12840</v>
      </c>
      <c r="AH1140" s="106">
        <v>19195.45054945055</v>
      </c>
      <c r="AI1140" s="106">
        <v>22034.12454212454</v>
      </c>
      <c r="AJ1140" s="106">
        <v>21658.03663003663</v>
      </c>
      <c r="AK1140" s="104">
        <v>16702.076923076922</v>
      </c>
      <c r="AL1140" s="118"/>
      <c r="AM1140" s="118">
        <v>263</v>
      </c>
      <c r="AN1140" s="118">
        <v>7810</v>
      </c>
      <c r="AO1140" s="118">
        <v>54</v>
      </c>
      <c r="AP1140" s="118">
        <f t="shared" si="17"/>
        <v>360</v>
      </c>
    </row>
    <row r="1141" spans="1:42" ht="12.75">
      <c r="A1141" s="106">
        <v>2018</v>
      </c>
      <c r="B1141" s="106">
        <v>-232672</v>
      </c>
      <c r="C1141" s="106">
        <v>0</v>
      </c>
      <c r="D1141" s="106">
        <v>232672</v>
      </c>
      <c r="E1141" s="106" t="s">
        <v>4142</v>
      </c>
      <c r="F1141" s="106" t="s">
        <v>1899</v>
      </c>
      <c r="G1141" s="106" t="s">
        <v>261</v>
      </c>
      <c r="H1141" s="106">
        <v>6</v>
      </c>
      <c r="I1141" s="106" t="s">
        <v>3640</v>
      </c>
      <c r="J1141" s="106">
        <v>31110</v>
      </c>
      <c r="K1141" s="106">
        <v>16556</v>
      </c>
      <c r="L1141" s="106">
        <v>15933</v>
      </c>
      <c r="M1141" s="106">
        <v>0.69</v>
      </c>
      <c r="N1141" s="106">
        <v>0.83</v>
      </c>
      <c r="O1141" s="106">
        <v>0.97</v>
      </c>
      <c r="P1141" s="106">
        <v>22446</v>
      </c>
      <c r="Q1141" s="106">
        <v>6568.3927927927925</v>
      </c>
      <c r="R1141" s="106">
        <v>0.32917408093185585</v>
      </c>
      <c r="S1141" s="106">
        <v>19424.831831831831</v>
      </c>
      <c r="T1141" s="106">
        <v>22469.333933933933</v>
      </c>
      <c r="U1141" s="106">
        <v>19704.721618965264</v>
      </c>
      <c r="V1141" s="106">
        <v>0.67931783191929629</v>
      </c>
      <c r="W1141" s="106">
        <v>53457.120603015079</v>
      </c>
      <c r="X1141" s="110">
        <v>0.56870126975328217</v>
      </c>
      <c r="Y1141" s="106">
        <v>229.81624758220505</v>
      </c>
      <c r="Z1141" s="106">
        <v>9.6615087040618963</v>
      </c>
      <c r="AA1141" s="106">
        <v>71948.161174511319</v>
      </c>
      <c r="AB1141" s="106">
        <v>828.38938254203163</v>
      </c>
      <c r="AC1141" s="106">
        <v>1.3898895867185337</v>
      </c>
      <c r="AD1141" s="106">
        <v>34.835752482811309</v>
      </c>
      <c r="AE1141" s="106">
        <v>86.853070175438603</v>
      </c>
      <c r="AF1141" s="106">
        <v>-3.472345625936242E-2</v>
      </c>
      <c r="AG1141" s="106">
        <v>30690</v>
      </c>
      <c r="AH1141" s="106">
        <v>16332.371771771772</v>
      </c>
      <c r="AI1141" s="106">
        <v>19550.545945945945</v>
      </c>
      <c r="AJ1141" s="106">
        <v>21271.446246246247</v>
      </c>
      <c r="AK1141" s="104">
        <v>19711.255855855856</v>
      </c>
      <c r="AL1141" s="118">
        <v>307899</v>
      </c>
      <c r="AM1141" s="118">
        <v>1136</v>
      </c>
      <c r="AN1141" s="118">
        <v>39605</v>
      </c>
      <c r="AO1141" s="118">
        <v>276</v>
      </c>
      <c r="AP1141" s="118">
        <f t="shared" si="17"/>
        <v>420</v>
      </c>
    </row>
    <row r="1142" spans="1:42" ht="12.75">
      <c r="A1142" s="106">
        <v>2018</v>
      </c>
      <c r="B1142" s="106">
        <v>-170842</v>
      </c>
      <c r="C1142" s="106">
        <v>0</v>
      </c>
      <c r="D1142" s="106">
        <v>170842</v>
      </c>
      <c r="E1142" s="106" t="s">
        <v>1900</v>
      </c>
      <c r="F1142" s="106" t="s">
        <v>1901</v>
      </c>
      <c r="G1142" s="106" t="s">
        <v>74</v>
      </c>
      <c r="H1142" s="106">
        <v>6</v>
      </c>
      <c r="I1142" s="106" t="s">
        <v>3640</v>
      </c>
      <c r="J1142" s="106">
        <v>22750</v>
      </c>
      <c r="K1142" s="106"/>
      <c r="L1142" s="106"/>
      <c r="M1142" s="106">
        <v>0.76</v>
      </c>
      <c r="N1142" s="106">
        <v>0.65</v>
      </c>
      <c r="O1142" s="106">
        <v>1</v>
      </c>
      <c r="P1142" s="106">
        <v>5788</v>
      </c>
      <c r="Q1142" s="106">
        <v>1719.9074074074074</v>
      </c>
      <c r="R1142" s="106">
        <v>8.8429750155096368E-2</v>
      </c>
      <c r="S1142" s="106">
        <v>37161.835978835981</v>
      </c>
      <c r="T1142" s="106">
        <v>35952.814814814818</v>
      </c>
      <c r="U1142" s="106">
        <v>28792.409777282512</v>
      </c>
      <c r="V1142" s="106">
        <v>0.61577038409275431</v>
      </c>
      <c r="W1142" s="106">
        <v>54585.156593406595</v>
      </c>
      <c r="X1142" s="110">
        <v>0.48733768039885317</v>
      </c>
      <c r="Y1142" s="106">
        <v>163.50837988826814</v>
      </c>
      <c r="Z1142" s="106">
        <v>6.3351955307262564</v>
      </c>
      <c r="AA1142" s="106">
        <v>18895.018916341647</v>
      </c>
      <c r="AB1142" s="106">
        <v>1115.5730725515364</v>
      </c>
      <c r="AC1142" s="106">
        <v>5.2924000998757119</v>
      </c>
      <c r="AD1142" s="106">
        <v>140.83129584352079</v>
      </c>
      <c r="AE1142" s="106">
        <v>16.9375</v>
      </c>
      <c r="AF1142" s="106">
        <v>-2.440575659931421</v>
      </c>
      <c r="AG1142" s="106">
        <v>22200</v>
      </c>
      <c r="AH1142" s="106">
        <v>21914.243386243386</v>
      </c>
      <c r="AI1142" s="106">
        <v>40408.661375661373</v>
      </c>
      <c r="AJ1142" s="106">
        <v>37267.846560846563</v>
      </c>
      <c r="AK1142" s="104">
        <v>30563.637566137568</v>
      </c>
      <c r="AM1142" s="118">
        <v>285</v>
      </c>
      <c r="AN1142" s="118">
        <v>9756</v>
      </c>
      <c r="AO1142" s="118">
        <v>337</v>
      </c>
      <c r="AP1142" s="118">
        <f t="shared" si="17"/>
        <v>550</v>
      </c>
    </row>
    <row r="1143" spans="1:42" ht="12.75">
      <c r="A1143" s="106">
        <v>2018</v>
      </c>
      <c r="B1143" s="106">
        <v>-118541</v>
      </c>
      <c r="C1143" s="106">
        <v>0</v>
      </c>
      <c r="D1143" s="106">
        <v>118541</v>
      </c>
      <c r="E1143" s="106" t="s">
        <v>1902</v>
      </c>
      <c r="F1143" s="106" t="s">
        <v>1903</v>
      </c>
      <c r="G1143" s="106" t="s">
        <v>121</v>
      </c>
      <c r="H1143" s="106">
        <v>7</v>
      </c>
      <c r="I1143" s="106" t="s">
        <v>3641</v>
      </c>
      <c r="J1143" s="106">
        <v>35884</v>
      </c>
      <c r="K1143" s="106">
        <v>28978</v>
      </c>
      <c r="L1143" s="106">
        <v>21841</v>
      </c>
      <c r="M1143" s="106">
        <v>0.44</v>
      </c>
      <c r="N1143" s="106">
        <v>0.49</v>
      </c>
      <c r="O1143" s="106">
        <v>0.85</v>
      </c>
      <c r="P1143" s="106">
        <v>17705</v>
      </c>
      <c r="Q1143" s="106">
        <v>11614.670974155069</v>
      </c>
      <c r="R1143" s="106">
        <v>0.35507135502449577</v>
      </c>
      <c r="S1143" s="106">
        <v>26224.164015904571</v>
      </c>
      <c r="T1143" s="106">
        <v>24806.108349900598</v>
      </c>
      <c r="U1143" s="106">
        <v>21340.030815109345</v>
      </c>
      <c r="V1143" s="106">
        <v>0.98857107375879272</v>
      </c>
      <c r="W1143" s="106">
        <v>94183.104477611938</v>
      </c>
      <c r="X1143" s="110">
        <v>0.50573287178152471</v>
      </c>
      <c r="Y1143" s="106">
        <v>533.7831325301205</v>
      </c>
      <c r="Z1143" s="106">
        <v>18.180722891566266</v>
      </c>
      <c r="AA1143" s="106">
        <v>57095.933510638301</v>
      </c>
      <c r="AB1143" s="106">
        <v>726.84422399783318</v>
      </c>
      <c r="AC1143" s="106">
        <v>1.7514382172483034</v>
      </c>
      <c r="AD1143" s="106">
        <v>40.473627556512383</v>
      </c>
      <c r="AE1143" s="106">
        <v>78.553191489361708</v>
      </c>
      <c r="AF1143" s="106">
        <v>4.7336104819304926E-2</v>
      </c>
      <c r="AG1143" s="106">
        <v>34134</v>
      </c>
      <c r="AH1143" s="106">
        <v>26042.507952286283</v>
      </c>
      <c r="AI1143" s="106">
        <v>26354.285288270377</v>
      </c>
      <c r="AJ1143" s="106">
        <v>26495.706759443339</v>
      </c>
      <c r="AK1143" s="104">
        <v>21340.030815109345</v>
      </c>
      <c r="AM1143" s="118">
        <v>929</v>
      </c>
      <c r="AN1143" s="118">
        <v>29536</v>
      </c>
      <c r="AO1143" s="118">
        <v>356</v>
      </c>
      <c r="AP1143" s="118">
        <f t="shared" si="17"/>
        <v>1750</v>
      </c>
    </row>
    <row r="1144" spans="1:42" ht="12.75">
      <c r="A1144" s="106">
        <v>2018</v>
      </c>
      <c r="B1144" s="106">
        <v>-192864</v>
      </c>
      <c r="C1144" s="106">
        <v>0</v>
      </c>
      <c r="D1144" s="106">
        <v>192864</v>
      </c>
      <c r="E1144" s="106" t="s">
        <v>1904</v>
      </c>
      <c r="F1144" s="106" t="s">
        <v>290</v>
      </c>
      <c r="G1144" s="106" t="s">
        <v>69</v>
      </c>
      <c r="H1144" s="106">
        <v>7</v>
      </c>
      <c r="I1144" s="106" t="s">
        <v>3641</v>
      </c>
      <c r="J1144" s="106">
        <v>31950</v>
      </c>
      <c r="K1144" s="106">
        <v>37989</v>
      </c>
      <c r="L1144" s="106">
        <v>31888</v>
      </c>
      <c r="M1144" s="106">
        <v>0.3</v>
      </c>
      <c r="N1144" s="106">
        <v>0.82</v>
      </c>
      <c r="O1144" s="106">
        <v>0.93</v>
      </c>
      <c r="P1144" s="106">
        <v>13713</v>
      </c>
      <c r="Q1144" s="106">
        <v>10945.211440245148</v>
      </c>
      <c r="R1144" s="106">
        <v>0.32201996555509527</v>
      </c>
      <c r="S1144" s="106">
        <v>32479.873340143004</v>
      </c>
      <c r="T1144" s="106">
        <v>31543.429519918285</v>
      </c>
      <c r="U1144" s="106">
        <v>24850.73493360572</v>
      </c>
      <c r="V1144" s="106">
        <v>0.92729736167971144</v>
      </c>
      <c r="W1144" s="106">
        <v>80400.752483443721</v>
      </c>
      <c r="X1144" s="110">
        <v>0.5241845253317835</v>
      </c>
      <c r="Y1144" s="106">
        <v>320.36727272727273</v>
      </c>
      <c r="Z1144" s="106">
        <v>10.680000000000001</v>
      </c>
      <c r="AA1144" s="106">
        <v>114488.79764705882</v>
      </c>
      <c r="AB1144" s="106">
        <v>828.44245241257192</v>
      </c>
      <c r="AC1144" s="106">
        <v>0.87344790106256265</v>
      </c>
      <c r="AD1144" s="106">
        <v>21.175884404583954</v>
      </c>
      <c r="AE1144" s="106">
        <v>138.19764705882352</v>
      </c>
      <c r="AF1144" s="106">
        <v>5.713939570356219E-2</v>
      </c>
      <c r="AG1144" s="106">
        <v>30458</v>
      </c>
      <c r="AH1144" s="106">
        <v>30764.984678243105</v>
      </c>
      <c r="AI1144" s="106">
        <v>32479.872829417774</v>
      </c>
      <c r="AJ1144" s="106">
        <v>33471.903472931561</v>
      </c>
      <c r="AK1144" s="104">
        <v>24850.73493360572</v>
      </c>
      <c r="AL1144" s="118"/>
      <c r="AM1144" s="118">
        <v>2150</v>
      </c>
      <c r="AN1144" s="118">
        <v>58734</v>
      </c>
      <c r="AO1144" s="118">
        <v>425</v>
      </c>
      <c r="AP1144" s="118">
        <f t="shared" si="17"/>
        <v>1492</v>
      </c>
    </row>
    <row r="1145" spans="1:42" ht="12.75">
      <c r="A1145" s="106">
        <v>2018</v>
      </c>
      <c r="B1145" s="106">
        <v>-232706</v>
      </c>
      <c r="C1145" s="106">
        <v>0</v>
      </c>
      <c r="D1145" s="106">
        <v>232706</v>
      </c>
      <c r="E1145" s="106" t="s">
        <v>1905</v>
      </c>
      <c r="F1145" s="106" t="s">
        <v>1906</v>
      </c>
      <c r="G1145" s="106" t="s">
        <v>261</v>
      </c>
      <c r="H1145" s="106">
        <v>6</v>
      </c>
      <c r="I1145" s="106" t="s">
        <v>3640</v>
      </c>
      <c r="J1145" s="106">
        <v>30426</v>
      </c>
      <c r="K1145" s="106">
        <v>26448</v>
      </c>
      <c r="L1145" s="106">
        <v>22078</v>
      </c>
      <c r="M1145" s="106">
        <v>0.34</v>
      </c>
      <c r="N1145" s="106">
        <v>0.52</v>
      </c>
      <c r="O1145" s="106">
        <v>0.98</v>
      </c>
      <c r="P1145" s="106">
        <v>15964</v>
      </c>
      <c r="Q1145" s="106">
        <v>6870.2097969706738</v>
      </c>
      <c r="R1145" s="106">
        <v>0.24238267644752209</v>
      </c>
      <c r="S1145" s="106">
        <v>30553.085723493394</v>
      </c>
      <c r="T1145" s="106">
        <v>30055.630679987109</v>
      </c>
      <c r="U1145" s="106">
        <v>25846.93425717048</v>
      </c>
      <c r="V1145" s="106">
        <v>0.83082447364181489</v>
      </c>
      <c r="W1145" s="106">
        <v>87031.269670050751</v>
      </c>
      <c r="X1145" s="110">
        <v>0.49023312898065424</v>
      </c>
      <c r="Y1145" s="106">
        <v>364.98755186721991</v>
      </c>
      <c r="Z1145" s="106">
        <v>12.875518672199171</v>
      </c>
      <c r="AA1145" s="106">
        <v>80931.419778002019</v>
      </c>
      <c r="AB1145" s="106">
        <v>911.79187603737978</v>
      </c>
      <c r="AC1145" s="106">
        <v>1.235614057856687</v>
      </c>
      <c r="AD1145" s="106">
        <v>33.764906303236799</v>
      </c>
      <c r="AE1145" s="106">
        <v>88.760847628657928</v>
      </c>
      <c r="AF1145" s="106">
        <v>3.1251427412830039E-2</v>
      </c>
      <c r="AG1145" s="106">
        <v>29950</v>
      </c>
      <c r="AH1145" s="106">
        <v>27989.169513374152</v>
      </c>
      <c r="AI1145" s="106">
        <v>30553.085723493394</v>
      </c>
      <c r="AJ1145" s="106">
        <v>30660.53077666774</v>
      </c>
      <c r="AK1145" s="104">
        <v>25846.93425717048</v>
      </c>
      <c r="AM1145" s="118">
        <v>2305</v>
      </c>
      <c r="AN1145" s="118">
        <v>87962</v>
      </c>
      <c r="AO1145" s="118">
        <v>558</v>
      </c>
      <c r="AP1145" s="118">
        <f t="shared" si="17"/>
        <v>476</v>
      </c>
    </row>
    <row r="1146" spans="1:42" ht="12.75">
      <c r="A1146" s="106">
        <v>2018</v>
      </c>
      <c r="B1146" s="106">
        <v>-220710</v>
      </c>
      <c r="C1146" s="106">
        <v>0</v>
      </c>
      <c r="D1146" s="106">
        <v>220710</v>
      </c>
      <c r="E1146" s="106" t="s">
        <v>1907</v>
      </c>
      <c r="F1146" s="106" t="s">
        <v>1908</v>
      </c>
      <c r="G1146" s="106" t="s">
        <v>255</v>
      </c>
      <c r="H1146" s="106">
        <v>7</v>
      </c>
      <c r="I1146" s="106" t="s">
        <v>3641</v>
      </c>
      <c r="J1146" s="106">
        <v>34196</v>
      </c>
      <c r="K1146" s="106">
        <v>19565</v>
      </c>
      <c r="L1146" s="106">
        <v>15648</v>
      </c>
      <c r="M1146" s="106">
        <v>0.48</v>
      </c>
      <c r="N1146" s="106">
        <v>0.79</v>
      </c>
      <c r="O1146" s="106">
        <v>1</v>
      </c>
      <c r="P1146" s="106">
        <v>22031</v>
      </c>
      <c r="Q1146" s="106">
        <v>16896.016935483873</v>
      </c>
      <c r="R1146" s="106">
        <v>0.57784677449026434</v>
      </c>
      <c r="S1146" s="106">
        <v>39378.881451612906</v>
      </c>
      <c r="T1146" s="106">
        <v>26315.074193548386</v>
      </c>
      <c r="U1146" s="106">
        <v>18853.792932675842</v>
      </c>
      <c r="V1146" s="106">
        <v>0.65470102619257342</v>
      </c>
      <c r="W1146" s="106">
        <v>56644.200665188466</v>
      </c>
      <c r="X1146" s="110">
        <v>0.52193263323989569</v>
      </c>
      <c r="Y1146" s="106">
        <v>362.37662337662334</v>
      </c>
      <c r="Z1146" s="106">
        <v>12.077922077922077</v>
      </c>
      <c r="AA1146" s="106">
        <v>112940.5953454978</v>
      </c>
      <c r="AB1146" s="106">
        <v>628.39219536926259</v>
      </c>
      <c r="AC1146" s="106">
        <v>0.8854212224939042</v>
      </c>
      <c r="AD1146" s="106">
        <v>17.737789203084834</v>
      </c>
      <c r="AE1146" s="106">
        <v>179.72946859903382</v>
      </c>
      <c r="AF1146" s="106">
        <v>0.18546879077821599</v>
      </c>
      <c r="AG1146" s="106">
        <v>33402</v>
      </c>
      <c r="AH1146" s="106">
        <v>23786.722580645161</v>
      </c>
      <c r="AI1146" s="106">
        <v>41856.557258064517</v>
      </c>
      <c r="AJ1146" s="106">
        <v>44175.023387096771</v>
      </c>
      <c r="AK1146" s="104">
        <v>19011.593548387096</v>
      </c>
      <c r="AL1146" s="118"/>
      <c r="AM1146" s="118">
        <v>1181</v>
      </c>
      <c r="AN1146" s="118">
        <v>37204</v>
      </c>
      <c r="AO1146" s="118">
        <v>207</v>
      </c>
      <c r="AP1146" s="118">
        <f t="shared" si="17"/>
        <v>794</v>
      </c>
    </row>
    <row r="1147" spans="1:42" ht="12.75">
      <c r="A1147" s="106">
        <v>2018</v>
      </c>
      <c r="B1147" s="106">
        <v>-178059</v>
      </c>
      <c r="C1147" s="106">
        <v>0</v>
      </c>
      <c r="D1147" s="106">
        <v>178059</v>
      </c>
      <c r="E1147" s="106" t="s">
        <v>1909</v>
      </c>
      <c r="F1147" s="106" t="s">
        <v>1259</v>
      </c>
      <c r="G1147" s="106" t="s">
        <v>264</v>
      </c>
      <c r="H1147" s="106">
        <v>5</v>
      </c>
      <c r="I1147" s="106" t="s">
        <v>3639</v>
      </c>
      <c r="J1147" s="106">
        <v>28470</v>
      </c>
      <c r="K1147" s="106">
        <v>26540</v>
      </c>
      <c r="L1147" s="106">
        <v>19337</v>
      </c>
      <c r="M1147" s="106">
        <v>0.27</v>
      </c>
      <c r="N1147" s="106">
        <v>0.51</v>
      </c>
      <c r="O1147" s="106">
        <v>0.99</v>
      </c>
      <c r="P1147" s="106">
        <v>16839</v>
      </c>
      <c r="Q1147" s="106">
        <v>4921.609481841665</v>
      </c>
      <c r="R1147" s="106">
        <v>0.27903397769894828</v>
      </c>
      <c r="S1147" s="106">
        <v>15175.832244339766</v>
      </c>
      <c r="T1147" s="106">
        <v>14253.675277313478</v>
      </c>
      <c r="U1147" s="106">
        <v>12569.476675277314</v>
      </c>
      <c r="V1147" s="106">
        <v>1.0116904763441794</v>
      </c>
      <c r="W1147" s="106">
        <v>87046.820396600568</v>
      </c>
      <c r="X1147" s="110">
        <v>0.54595596534485191</v>
      </c>
      <c r="Y1147" s="106">
        <v>540.15400410677626</v>
      </c>
      <c r="Z1147" s="106">
        <v>20.270020533880906</v>
      </c>
      <c r="AA1147" s="106">
        <v>41609.520120724344</v>
      </c>
      <c r="AB1147" s="106">
        <v>471.68686776529626</v>
      </c>
      <c r="AC1147" s="106">
        <v>2.4032961617885436</v>
      </c>
      <c r="AD1147" s="106">
        <v>41.799831791421362</v>
      </c>
      <c r="AE1147" s="106">
        <v>88.214285714285708</v>
      </c>
      <c r="AF1147" s="106">
        <v>9.1233176906521593E-2</v>
      </c>
      <c r="AG1147" s="106">
        <v>26070</v>
      </c>
      <c r="AH1147" s="106">
        <v>14673.232791369093</v>
      </c>
      <c r="AI1147" s="106">
        <v>15278.58927214709</v>
      </c>
      <c r="AJ1147" s="106">
        <v>16050.514207567239</v>
      </c>
      <c r="AK1147" s="104">
        <v>12569.476675277314</v>
      </c>
      <c r="AL1147" s="118"/>
      <c r="AM1147" s="118">
        <v>3183</v>
      </c>
      <c r="AN1147" s="118">
        <v>175370</v>
      </c>
      <c r="AO1147" s="118">
        <v>638</v>
      </c>
      <c r="AP1147" s="118">
        <f t="shared" si="17"/>
        <v>2400</v>
      </c>
    </row>
    <row r="1148" spans="1:42" ht="12.75">
      <c r="A1148" s="106">
        <v>2018</v>
      </c>
      <c r="B1148" s="106">
        <v>-213826</v>
      </c>
      <c r="C1148" s="106">
        <v>0</v>
      </c>
      <c r="D1148" s="106">
        <v>213826</v>
      </c>
      <c r="E1148" s="106" t="s">
        <v>1910</v>
      </c>
      <c r="F1148" s="106" t="s">
        <v>1911</v>
      </c>
      <c r="G1148" s="106" t="s">
        <v>104</v>
      </c>
      <c r="H1148" s="106">
        <v>6</v>
      </c>
      <c r="I1148" s="106" t="s">
        <v>3640</v>
      </c>
      <c r="J1148" s="106">
        <v>33940</v>
      </c>
      <c r="K1148" s="106">
        <v>24266</v>
      </c>
      <c r="L1148" s="106">
        <v>19391</v>
      </c>
      <c r="M1148" s="106">
        <v>0.32</v>
      </c>
      <c r="N1148" s="106">
        <v>0.77</v>
      </c>
      <c r="O1148" s="106">
        <v>1</v>
      </c>
      <c r="P1148" s="106">
        <v>20422</v>
      </c>
      <c r="Q1148" s="107">
        <v>11200.865938069217</v>
      </c>
      <c r="R1148" s="106">
        <v>0.40192208849050881</v>
      </c>
      <c r="S1148" s="106">
        <v>24411.993078324227</v>
      </c>
      <c r="T1148" s="106">
        <v>24106.82586520947</v>
      </c>
      <c r="U1148" s="106">
        <v>21378.968308229134</v>
      </c>
      <c r="V1148" s="106">
        <v>0.7796160016727357</v>
      </c>
      <c r="W1148" s="106">
        <v>62481.405500292574</v>
      </c>
      <c r="X1148" s="110">
        <v>0.53788473427709149</v>
      </c>
      <c r="Y1148" s="106">
        <v>333.55701754385967</v>
      </c>
      <c r="Z1148" s="106">
        <v>12.039473684210526</v>
      </c>
      <c r="AA1148" s="106">
        <v>62100.812704856056</v>
      </c>
      <c r="AB1148" s="106">
        <v>771.65675673020701</v>
      </c>
      <c r="AC1148" s="106">
        <v>1.610284884277857</v>
      </c>
      <c r="AD1148" s="106">
        <v>34.666177549523105</v>
      </c>
      <c r="AE1148" s="106">
        <v>80.477248677248681</v>
      </c>
      <c r="AF1148" s="106">
        <v>3.1280832833539621E-2</v>
      </c>
      <c r="AG1148" s="106">
        <v>32190</v>
      </c>
      <c r="AH1148" s="106">
        <v>21275.022950819672</v>
      </c>
      <c r="AI1148" s="106">
        <v>24299.550455373406</v>
      </c>
      <c r="AJ1148" s="106">
        <v>25485.288160291439</v>
      </c>
      <c r="AK1148" s="104">
        <v>21592.644080145721</v>
      </c>
      <c r="AL1148" s="118"/>
      <c r="AM1148" s="118">
        <v>1945</v>
      </c>
      <c r="AN1148" s="118">
        <v>76051</v>
      </c>
      <c r="AO1148" s="118">
        <v>385</v>
      </c>
      <c r="AP1148" s="118">
        <f t="shared" si="17"/>
        <v>1750</v>
      </c>
    </row>
    <row r="1149" spans="1:42" ht="12.75">
      <c r="A1149" s="106">
        <v>2018</v>
      </c>
      <c r="B1149" s="106">
        <v>-166647</v>
      </c>
      <c r="C1149" s="106">
        <v>0</v>
      </c>
      <c r="D1149" s="106">
        <v>166647</v>
      </c>
      <c r="E1149" s="106" t="s">
        <v>1912</v>
      </c>
      <c r="F1149" s="106" t="s">
        <v>1913</v>
      </c>
      <c r="G1149" s="106" t="s">
        <v>150</v>
      </c>
      <c r="H1149" s="106">
        <v>4</v>
      </c>
      <c r="I1149" s="106" t="s">
        <v>24</v>
      </c>
      <c r="J1149" s="106">
        <v>5088</v>
      </c>
      <c r="K1149" s="106">
        <v>12614</v>
      </c>
      <c r="L1149" s="106">
        <v>11561</v>
      </c>
      <c r="M1149" s="106">
        <v>0.43</v>
      </c>
      <c r="N1149" s="106">
        <v>0.28999999999999998</v>
      </c>
      <c r="O1149" s="106">
        <v>0.04</v>
      </c>
      <c r="P1149" s="106">
        <v>791</v>
      </c>
      <c r="Q1149" s="106">
        <v>152.09331103678929</v>
      </c>
      <c r="R1149" s="106">
        <v>2.8656198649470645E-2</v>
      </c>
      <c r="S1149" s="106">
        <v>14482.009364548496</v>
      </c>
      <c r="T1149" s="106">
        <v>14807.754515050166</v>
      </c>
      <c r="U1149" s="106">
        <v>12215.719261789105</v>
      </c>
      <c r="V1149" s="106">
        <v>0.42203208076223758</v>
      </c>
      <c r="W1149" s="106">
        <v>78913.974121996303</v>
      </c>
      <c r="X1149" s="110">
        <v>0.64283501824249822</v>
      </c>
      <c r="Y1149" s="106">
        <v>554.75876288659788</v>
      </c>
      <c r="Z1149" s="106">
        <v>18.494845360824741</v>
      </c>
      <c r="AA1149" s="106">
        <v>52934.783467752786</v>
      </c>
      <c r="AB1149" s="106">
        <v>407.25420458878114</v>
      </c>
      <c r="AC1149" s="106">
        <v>1.8891170124634353</v>
      </c>
      <c r="AD1149" s="106">
        <v>26.785714285714285</v>
      </c>
      <c r="AE1149" s="106">
        <v>129.97971014492754</v>
      </c>
      <c r="AF1149" s="106">
        <v>9.8275511997990242E-2</v>
      </c>
      <c r="AG1149" s="106">
        <v>576</v>
      </c>
      <c r="AH1149" s="106">
        <v>13574.269565217392</v>
      </c>
      <c r="AI1149" s="106">
        <v>13594.216053511705</v>
      </c>
      <c r="AJ1149" s="106">
        <v>14563.180602006689</v>
      </c>
      <c r="AK1149" s="104">
        <v>13682.93712374582</v>
      </c>
      <c r="AL1149" s="119">
        <v>21148479</v>
      </c>
      <c r="AM1149" s="118">
        <v>4629</v>
      </c>
      <c r="AN1149" s="118">
        <v>89686</v>
      </c>
      <c r="AO1149" s="118">
        <v>478</v>
      </c>
      <c r="AP1149" s="118">
        <f t="shared" si="17"/>
        <v>4512</v>
      </c>
    </row>
    <row r="1150" spans="1:42" ht="12.75">
      <c r="A1150" s="106">
        <v>2018</v>
      </c>
      <c r="B1150" s="106">
        <v>-167288</v>
      </c>
      <c r="C1150" s="106">
        <v>0</v>
      </c>
      <c r="D1150" s="106">
        <v>167288</v>
      </c>
      <c r="E1150" s="106" t="s">
        <v>1914</v>
      </c>
      <c r="F1150" s="106" t="s">
        <v>1915</v>
      </c>
      <c r="G1150" s="106" t="s">
        <v>150</v>
      </c>
      <c r="H1150" s="106">
        <v>3</v>
      </c>
      <c r="I1150" s="104" t="s">
        <v>26</v>
      </c>
      <c r="J1150" s="106">
        <v>10135</v>
      </c>
      <c r="K1150" s="106">
        <v>15714</v>
      </c>
      <c r="L1150" s="106">
        <v>14262</v>
      </c>
      <c r="M1150" s="106">
        <v>0.46</v>
      </c>
      <c r="N1150" s="106">
        <v>0.98</v>
      </c>
      <c r="O1150" s="106">
        <v>0.78</v>
      </c>
      <c r="P1150" s="106">
        <v>3275</v>
      </c>
      <c r="Q1150" s="106">
        <v>1668.0887850467291</v>
      </c>
      <c r="R1150" s="106">
        <v>0.16612715829940047</v>
      </c>
      <c r="S1150" s="106">
        <v>31595.935914552738</v>
      </c>
      <c r="T1150" s="106">
        <v>34226.370493991992</v>
      </c>
      <c r="U1150" s="106">
        <v>27676.701899524847</v>
      </c>
      <c r="V1150" s="106">
        <v>0.30252691572188745</v>
      </c>
      <c r="W1150" s="106">
        <v>87040.981354268893</v>
      </c>
      <c r="X1150" s="110">
        <v>0.57663904753521689</v>
      </c>
      <c r="Y1150" s="106">
        <v>385.88823529411764</v>
      </c>
      <c r="Z1150" s="106">
        <v>13.21764705882353</v>
      </c>
      <c r="AA1150" s="106">
        <v>104696.21072092986</v>
      </c>
      <c r="AB1150" s="106">
        <v>947.996969074135</v>
      </c>
      <c r="AC1150" s="106">
        <v>0.95514440600483896</v>
      </c>
      <c r="AD1150" s="106">
        <v>29.096252755326969</v>
      </c>
      <c r="AE1150" s="106">
        <v>110.43939393939394</v>
      </c>
      <c r="AF1150" s="106">
        <v>-2.9078658311596145E-2</v>
      </c>
      <c r="AG1150" s="106">
        <v>1030</v>
      </c>
      <c r="AH1150" s="106">
        <v>31596.596128170895</v>
      </c>
      <c r="AI1150" s="106">
        <v>31596.596128170895</v>
      </c>
      <c r="AJ1150" s="106">
        <v>31666.799065420561</v>
      </c>
      <c r="AK1150" s="104">
        <v>28412.490654205609</v>
      </c>
      <c r="AL1150" s="119">
        <v>22123685</v>
      </c>
      <c r="AM1150" s="118">
        <v>1407</v>
      </c>
      <c r="AN1150" s="118">
        <v>43734</v>
      </c>
      <c r="AO1150" s="118">
        <v>346</v>
      </c>
      <c r="AP1150" s="118">
        <f t="shared" si="17"/>
        <v>9105</v>
      </c>
    </row>
    <row r="1151" spans="1:42" ht="12.75">
      <c r="A1151" s="106">
        <v>2018</v>
      </c>
      <c r="B1151" s="106">
        <v>-166683</v>
      </c>
      <c r="C1151" s="106">
        <v>0</v>
      </c>
      <c r="D1151" s="106">
        <v>166683</v>
      </c>
      <c r="E1151" s="106" t="s">
        <v>1916</v>
      </c>
      <c r="F1151" s="106" t="s">
        <v>573</v>
      </c>
      <c r="G1151" s="106" t="s">
        <v>150</v>
      </c>
      <c r="H1151" s="106">
        <v>5</v>
      </c>
      <c r="I1151" s="106" t="s">
        <v>3639</v>
      </c>
      <c r="J1151" s="106">
        <v>49892</v>
      </c>
      <c r="K1151" s="106">
        <v>18971</v>
      </c>
      <c r="L1151" s="106">
        <v>7581</v>
      </c>
      <c r="M1151" s="106">
        <v>0.2</v>
      </c>
      <c r="N1151" s="106">
        <v>0.11</v>
      </c>
      <c r="O1151" s="106">
        <v>0.6</v>
      </c>
      <c r="P1151" s="106">
        <v>46080</v>
      </c>
      <c r="Q1151" s="106">
        <v>30776.693863072011</v>
      </c>
      <c r="R1151" s="106">
        <v>0.49523159888064228</v>
      </c>
      <c r="S1151" s="106">
        <v>261603.22809506918</v>
      </c>
      <c r="T1151" s="106">
        <v>317300.19510464702</v>
      </c>
      <c r="U1151" s="106">
        <v>123772.45369617529</v>
      </c>
      <c r="V1151" s="106">
        <v>0.25344386116330497</v>
      </c>
      <c r="W1151" s="106">
        <v>140733.13432835822</v>
      </c>
      <c r="X1151" s="110">
        <v>0.5051174201908003</v>
      </c>
      <c r="Y1151" s="106">
        <v>58.635682990405414</v>
      </c>
      <c r="Z1151" s="106">
        <v>1.8761022683156787</v>
      </c>
      <c r="AA1151" s="106">
        <v>399902.05956391763</v>
      </c>
      <c r="AB1151" s="106">
        <v>3960.2127798594647</v>
      </c>
      <c r="AC1151" s="106">
        <v>0.25006122776423634</v>
      </c>
      <c r="AD1151" s="106">
        <v>30.912311780336584</v>
      </c>
      <c r="AE1151" s="106">
        <v>100.97994269340974</v>
      </c>
      <c r="AF1151" s="106">
        <v>0.12505703250677724</v>
      </c>
      <c r="AG1151" s="106">
        <v>49580</v>
      </c>
      <c r="AH1151" s="106">
        <v>194557.37850301526</v>
      </c>
      <c r="AI1151" s="106">
        <v>261274.21071301881</v>
      </c>
      <c r="AJ1151" s="106">
        <v>488096.84285207518</v>
      </c>
      <c r="AK1151" s="104">
        <v>303163.17843206809</v>
      </c>
      <c r="AL1151" s="118"/>
      <c r="AM1151" s="118">
        <v>4547</v>
      </c>
      <c r="AN1151" s="118">
        <v>352420</v>
      </c>
      <c r="AO1151" s="118">
        <v>1045</v>
      </c>
      <c r="AP1151" s="118">
        <f t="shared" si="17"/>
        <v>312</v>
      </c>
    </row>
    <row r="1152" spans="1:42" ht="12.75">
      <c r="A1152" s="106">
        <v>2018</v>
      </c>
      <c r="B1152" s="106">
        <v>-166692</v>
      </c>
      <c r="C1152" s="106">
        <v>0</v>
      </c>
      <c r="D1152" s="106">
        <v>166692</v>
      </c>
      <c r="E1152" s="106" t="s">
        <v>1917</v>
      </c>
      <c r="F1152" s="106" t="s">
        <v>1918</v>
      </c>
      <c r="G1152" s="106" t="s">
        <v>150</v>
      </c>
      <c r="H1152" s="106">
        <v>2</v>
      </c>
      <c r="I1152" s="106" t="s">
        <v>25</v>
      </c>
      <c r="J1152" s="106">
        <v>8398</v>
      </c>
      <c r="K1152" s="106">
        <v>15290</v>
      </c>
      <c r="L1152" s="106">
        <v>3875</v>
      </c>
      <c r="M1152" s="106">
        <v>0.16</v>
      </c>
      <c r="N1152" s="106">
        <v>0.9</v>
      </c>
      <c r="O1152" s="106">
        <v>0.37</v>
      </c>
      <c r="P1152" s="106">
        <v>9709</v>
      </c>
      <c r="Q1152" s="106">
        <v>2299.4572257129048</v>
      </c>
      <c r="R1152" s="106">
        <v>0.19461424481220818</v>
      </c>
      <c r="S1152" s="106">
        <v>34949.766070565493</v>
      </c>
      <c r="T1152" s="106">
        <v>33404.579023682942</v>
      </c>
      <c r="U1152" s="106">
        <v>21107.144514258096</v>
      </c>
      <c r="V1152" s="106">
        <v>0.45084283318497292</v>
      </c>
      <c r="W1152" s="106">
        <v>103624.79272326351</v>
      </c>
      <c r="X1152" s="110">
        <v>0.4532973848423405</v>
      </c>
      <c r="Y1152" s="106">
        <v>562.97872340425533</v>
      </c>
      <c r="Z1152" s="106">
        <v>18.866261398176292</v>
      </c>
      <c r="AA1152" s="106">
        <v>113430.34285714285</v>
      </c>
      <c r="AB1152" s="106">
        <v>707.33206997084551</v>
      </c>
      <c r="AC1152" s="106">
        <v>0.88159832264584281</v>
      </c>
      <c r="AD1152" s="106">
        <v>22.228637413394921</v>
      </c>
      <c r="AE1152" s="106">
        <v>160.36363636363637</v>
      </c>
      <c r="AF1152" s="106">
        <v>6.7852302614784546E-2</v>
      </c>
      <c r="AG1152" s="106">
        <v>1714</v>
      </c>
      <c r="AH1152" s="106">
        <v>31920.307878202031</v>
      </c>
      <c r="AI1152" s="106">
        <v>32947.376027066217</v>
      </c>
      <c r="AJ1152" s="106">
        <v>35912.976317061381</v>
      </c>
      <c r="AK1152" s="104">
        <v>23406.601739971</v>
      </c>
      <c r="AL1152" s="118">
        <v>22815958</v>
      </c>
      <c r="AM1152" s="118">
        <v>1688</v>
      </c>
      <c r="AN1152" s="118">
        <v>61740</v>
      </c>
      <c r="AO1152" s="118">
        <v>348</v>
      </c>
      <c r="AP1152" s="118">
        <f t="shared" si="17"/>
        <v>6684</v>
      </c>
    </row>
    <row r="1153" spans="1:42" ht="12.75">
      <c r="A1153" s="106">
        <v>2018</v>
      </c>
      <c r="B1153" s="106">
        <v>-166823</v>
      </c>
      <c r="C1153" s="106">
        <v>0</v>
      </c>
      <c r="D1153" s="106">
        <v>166823</v>
      </c>
      <c r="E1153" s="106" t="s">
        <v>1919</v>
      </c>
      <c r="F1153" s="106" t="s">
        <v>1920</v>
      </c>
      <c r="G1153" s="106" t="s">
        <v>150</v>
      </c>
      <c r="H1153" s="106">
        <v>4</v>
      </c>
      <c r="I1153" s="106" t="s">
        <v>24</v>
      </c>
      <c r="J1153" s="106">
        <v>4680</v>
      </c>
      <c r="K1153" s="106">
        <v>9139</v>
      </c>
      <c r="L1153" s="106">
        <v>7620</v>
      </c>
      <c r="M1153" s="106">
        <v>0.51</v>
      </c>
      <c r="N1153" s="106">
        <v>0.2</v>
      </c>
      <c r="O1153" s="106">
        <v>0.21</v>
      </c>
      <c r="P1153" s="106">
        <v>652</v>
      </c>
      <c r="Q1153" s="106">
        <v>479.16312513414897</v>
      </c>
      <c r="R1153" s="106">
        <v>7.8365817772472937E-2</v>
      </c>
      <c r="S1153" s="106">
        <v>15962.719682335264</v>
      </c>
      <c r="T1153" s="106">
        <v>16110.204764971024</v>
      </c>
      <c r="U1153" s="106">
        <v>12933.687531554999</v>
      </c>
      <c r="V1153" s="106">
        <v>0.43570538556613264</v>
      </c>
      <c r="W1153" s="106">
        <v>76109.660596026486</v>
      </c>
      <c r="X1153" s="110">
        <v>0.61246736566195881</v>
      </c>
      <c r="Y1153" s="106">
        <v>541.0180645161289</v>
      </c>
      <c r="Z1153" s="106">
        <v>18.034838709677416</v>
      </c>
      <c r="AA1153" s="106">
        <v>61803.128420015113</v>
      </c>
      <c r="AB1153" s="106">
        <v>431.144510417741</v>
      </c>
      <c r="AC1153" s="106">
        <v>1.6180410693840332</v>
      </c>
      <c r="AD1153" s="106">
        <v>22.336769759450174</v>
      </c>
      <c r="AE1153" s="106">
        <v>143.34666666666666</v>
      </c>
      <c r="AF1153" s="106">
        <v>3.7533087978317962E-3</v>
      </c>
      <c r="AG1153" s="106">
        <v>576</v>
      </c>
      <c r="AH1153" s="106">
        <v>13985.646490663232</v>
      </c>
      <c r="AI1153" s="106">
        <v>13985.646490663232</v>
      </c>
      <c r="AJ1153" s="106">
        <v>16112.583601631251</v>
      </c>
      <c r="AK1153" s="104">
        <v>15288.26743936467</v>
      </c>
      <c r="AL1153" s="118">
        <v>28566805</v>
      </c>
      <c r="AM1153" s="118">
        <v>7154</v>
      </c>
      <c r="AN1153" s="118">
        <v>139763</v>
      </c>
      <c r="AO1153" s="118">
        <v>834</v>
      </c>
      <c r="AP1153" s="118">
        <f t="shared" si="17"/>
        <v>4104</v>
      </c>
    </row>
    <row r="1154" spans="1:42" ht="12.75">
      <c r="A1154" s="106">
        <v>2018</v>
      </c>
      <c r="B1154" s="106">
        <v>-198914</v>
      </c>
      <c r="C1154" s="106">
        <v>0</v>
      </c>
      <c r="D1154" s="106">
        <v>198914</v>
      </c>
      <c r="E1154" s="106" t="s">
        <v>1921</v>
      </c>
      <c r="F1154" s="106" t="s">
        <v>1922</v>
      </c>
      <c r="G1154" s="106" t="s">
        <v>90</v>
      </c>
      <c r="H1154" s="106">
        <v>4</v>
      </c>
      <c r="I1154" s="106" t="s">
        <v>24</v>
      </c>
      <c r="J1154" s="106">
        <v>2558</v>
      </c>
      <c r="K1154" s="106">
        <v>7935</v>
      </c>
      <c r="L1154" s="106">
        <v>9173</v>
      </c>
      <c r="M1154" s="106">
        <v>0.52</v>
      </c>
      <c r="N1154" s="106">
        <v>0</v>
      </c>
      <c r="O1154" s="106">
        <v>7.0000000000000007E-2</v>
      </c>
      <c r="P1154" s="106">
        <v>1343</v>
      </c>
      <c r="Q1154" s="106">
        <v>230.40740740740742</v>
      </c>
      <c r="R1154" s="106">
        <v>0.1483012715453938</v>
      </c>
      <c r="S1154" s="106">
        <v>17616.230158730159</v>
      </c>
      <c r="T1154" s="106">
        <v>21707.417989417991</v>
      </c>
      <c r="U1154" s="106">
        <v>18093.246031746032</v>
      </c>
      <c r="V1154" s="106">
        <v>7.3134293877673964E-2</v>
      </c>
      <c r="W1154" s="106">
        <v>64709.737417943106</v>
      </c>
      <c r="X1154" s="110">
        <v>0.60066816941615553</v>
      </c>
      <c r="Y1154" s="106">
        <v>332.01951219512199</v>
      </c>
      <c r="Z1154" s="106">
        <v>11.063414634146342</v>
      </c>
      <c r="AA1154" s="106">
        <v>52609.592307692306</v>
      </c>
      <c r="AB1154" s="106">
        <v>602.89553949224262</v>
      </c>
      <c r="AC1154" s="106">
        <v>1.9007940494033919</v>
      </c>
      <c r="AD1154" s="106">
        <v>47.358834244080143</v>
      </c>
      <c r="AE1154" s="106">
        <v>87.261538461538464</v>
      </c>
      <c r="AF1154" s="106">
        <v>-2.1315714975279357E-2</v>
      </c>
      <c r="AG1154" s="106">
        <v>2432</v>
      </c>
      <c r="AH1154" s="106">
        <v>15930.476190476191</v>
      </c>
      <c r="AI1154" s="106">
        <v>16302.156084656084</v>
      </c>
      <c r="AJ1154" s="106">
        <v>17627.728835978836</v>
      </c>
      <c r="AK1154" s="104">
        <v>19708.878306878309</v>
      </c>
      <c r="AL1154" s="118">
        <v>9454540</v>
      </c>
      <c r="AM1154" s="118">
        <v>986</v>
      </c>
      <c r="AN1154" s="118">
        <v>22688</v>
      </c>
      <c r="AO1154" s="118">
        <v>128</v>
      </c>
      <c r="AP1154" s="118">
        <f t="shared" si="17"/>
        <v>126</v>
      </c>
    </row>
    <row r="1155" spans="1:42" ht="12.75">
      <c r="A1155" s="106">
        <v>2018</v>
      </c>
      <c r="B1155" s="106">
        <v>-157331</v>
      </c>
      <c r="C1155" s="106">
        <v>0</v>
      </c>
      <c r="D1155" s="106">
        <v>157331</v>
      </c>
      <c r="E1155" s="106" t="s">
        <v>4143</v>
      </c>
      <c r="F1155" s="106" t="s">
        <v>4144</v>
      </c>
      <c r="G1155" s="106" t="s">
        <v>118</v>
      </c>
      <c r="H1155" s="106">
        <v>4</v>
      </c>
      <c r="I1155" s="106" t="s">
        <v>24</v>
      </c>
      <c r="J1155" s="106">
        <v>4080</v>
      </c>
      <c r="K1155" s="106">
        <v>5793</v>
      </c>
      <c r="L1155" s="106">
        <v>4667</v>
      </c>
      <c r="M1155" s="106">
        <v>0.72</v>
      </c>
      <c r="N1155" s="106">
        <v>0.3</v>
      </c>
      <c r="O1155" s="106">
        <v>0.11</v>
      </c>
      <c r="P1155" s="106">
        <v>2732</v>
      </c>
      <c r="Q1155" s="106">
        <v>3730.7402118839245</v>
      </c>
      <c r="R1155" s="106">
        <v>0.7047881764174363</v>
      </c>
      <c r="S1155" s="106">
        <v>11783.319668355596</v>
      </c>
      <c r="T1155" s="106">
        <v>11241.646245969599</v>
      </c>
      <c r="U1155" s="106">
        <v>8945.8634337531894</v>
      </c>
      <c r="V1155" s="106">
        <v>0.1746818899278445</v>
      </c>
      <c r="W1155" s="106">
        <v>69287.294117647063</v>
      </c>
      <c r="X1155" s="110">
        <v>0.62741679025162</v>
      </c>
      <c r="Y1155" s="106">
        <v>610.71562499999993</v>
      </c>
      <c r="Z1155" s="106">
        <v>20.353124999999999</v>
      </c>
      <c r="AA1155" s="106">
        <v>10813.73580995444</v>
      </c>
      <c r="AB1155" s="106">
        <v>298.13593962019206</v>
      </c>
      <c r="AC1155" s="106">
        <v>9.2474979745617922</v>
      </c>
      <c r="AD1155" s="106">
        <v>85.320665083135395</v>
      </c>
      <c r="AE1155" s="106">
        <v>36.271158129175944</v>
      </c>
      <c r="AF1155" s="106"/>
      <c r="AG1155" s="106">
        <v>3888</v>
      </c>
      <c r="AH1155" s="106">
        <v>10934.918010133579</v>
      </c>
      <c r="AI1155" s="106">
        <v>11003.319668355596</v>
      </c>
      <c r="AJ1155" s="106">
        <v>11805.276830953479</v>
      </c>
      <c r="AK1155" s="104">
        <v>10438.296176877015</v>
      </c>
      <c r="AL1155" s="119">
        <v>8251838</v>
      </c>
      <c r="AM1155" s="118">
        <v>3495</v>
      </c>
      <c r="AN1155" s="118">
        <v>65143</v>
      </c>
      <c r="AO1155" s="118">
        <v>400</v>
      </c>
      <c r="AP1155" s="118">
        <f t="shared" si="17"/>
        <v>192</v>
      </c>
    </row>
    <row r="1156" spans="1:42" ht="12.75">
      <c r="A1156" s="106">
        <v>2018</v>
      </c>
      <c r="B1156" s="106">
        <v>-200226</v>
      </c>
      <c r="C1156" s="106">
        <v>0</v>
      </c>
      <c r="D1156" s="106">
        <v>200226</v>
      </c>
      <c r="E1156" s="106" t="s">
        <v>1924</v>
      </c>
      <c r="F1156" s="106" t="s">
        <v>1925</v>
      </c>
      <c r="G1156" s="106" t="s">
        <v>382</v>
      </c>
      <c r="H1156" s="106">
        <v>3</v>
      </c>
      <c r="I1156" s="104" t="s">
        <v>26</v>
      </c>
      <c r="J1156" s="106">
        <v>6456</v>
      </c>
      <c r="K1156" s="106">
        <v>12711</v>
      </c>
      <c r="L1156" s="106">
        <v>9549</v>
      </c>
      <c r="M1156" s="106">
        <v>0.35</v>
      </c>
      <c r="N1156" s="106">
        <v>0.76</v>
      </c>
      <c r="O1156" s="106">
        <v>0.83</v>
      </c>
      <c r="P1156" s="107">
        <v>1744</v>
      </c>
      <c r="Q1156" s="106">
        <v>888.3757503001201</v>
      </c>
      <c r="R1156" s="106">
        <v>0.11069521580284497</v>
      </c>
      <c r="S1156" s="106">
        <v>26418.785114045619</v>
      </c>
      <c r="T1156" s="106">
        <v>28387.276110444178</v>
      </c>
      <c r="U1156" s="106">
        <v>14737.620975404572</v>
      </c>
      <c r="V1156" s="106">
        <v>0.48427392929688062</v>
      </c>
      <c r="W1156" s="106">
        <v>69863.824060150379</v>
      </c>
      <c r="X1156" s="110">
        <v>0.65491361739473675</v>
      </c>
      <c r="Y1156" s="106">
        <v>408.13114754098359</v>
      </c>
      <c r="Z1156" s="106">
        <v>13.655737704918034</v>
      </c>
      <c r="AA1156" s="106">
        <v>77210.303600704457</v>
      </c>
      <c r="AB1156" s="106">
        <v>493.10886377377932</v>
      </c>
      <c r="AC1156" s="106">
        <v>1.2951639267882324</v>
      </c>
      <c r="AD1156" s="106">
        <v>19.461444308445532</v>
      </c>
      <c r="AE1156" s="106">
        <v>156.57861635220127</v>
      </c>
      <c r="AF1156" s="106">
        <v>-1.5453608075172142E-2</v>
      </c>
      <c r="AG1156" s="106">
        <v>5255</v>
      </c>
      <c r="AH1156" s="106">
        <v>25386.183673469386</v>
      </c>
      <c r="AI1156" s="106">
        <v>26092.861944777913</v>
      </c>
      <c r="AJ1156" s="106">
        <v>26749.124849939977</v>
      </c>
      <c r="AK1156" s="104">
        <v>23076.813925570226</v>
      </c>
      <c r="AL1156" s="118">
        <v>6834276</v>
      </c>
      <c r="AM1156" s="118">
        <v>1097</v>
      </c>
      <c r="AN1156" s="118">
        <v>24896</v>
      </c>
      <c r="AO1156" s="118">
        <v>157</v>
      </c>
      <c r="AP1156" s="118">
        <f t="shared" si="17"/>
        <v>1201</v>
      </c>
    </row>
    <row r="1157" spans="1:42" ht="12.75">
      <c r="A1157" s="106">
        <v>2018</v>
      </c>
      <c r="B1157" s="106">
        <v>-164270</v>
      </c>
      <c r="C1157" s="106">
        <v>0</v>
      </c>
      <c r="D1157" s="106">
        <v>164270</v>
      </c>
      <c r="E1157" s="106" t="s">
        <v>1926</v>
      </c>
      <c r="F1157" s="106" t="s">
        <v>610</v>
      </c>
      <c r="G1157" s="106" t="s">
        <v>124</v>
      </c>
      <c r="H1157" s="106">
        <v>7</v>
      </c>
      <c r="I1157" s="106" t="s">
        <v>3641</v>
      </c>
      <c r="J1157" s="106">
        <v>41800</v>
      </c>
      <c r="K1157" s="106">
        <v>24065</v>
      </c>
      <c r="L1157" s="106">
        <v>12151</v>
      </c>
      <c r="M1157" s="106">
        <v>0.32</v>
      </c>
      <c r="N1157" s="106">
        <v>0.69</v>
      </c>
      <c r="O1157" s="106">
        <v>0.98</v>
      </c>
      <c r="P1157" s="106">
        <v>28133</v>
      </c>
      <c r="Q1157" s="106">
        <v>16141.666666666666</v>
      </c>
      <c r="R1157" s="106">
        <v>0.51209873794648453</v>
      </c>
      <c r="S1157" s="106">
        <v>26594.298245614034</v>
      </c>
      <c r="T1157" s="106">
        <v>28103.070175438595</v>
      </c>
      <c r="U1157" s="106">
        <v>22467.341821850092</v>
      </c>
      <c r="V1157" s="106">
        <v>0.68450230963525083</v>
      </c>
      <c r="W1157" s="106">
        <v>58986.682808716709</v>
      </c>
      <c r="X1157" s="110">
        <v>0.50693718298868518</v>
      </c>
      <c r="Y1157" s="106">
        <v>228.5412735849057</v>
      </c>
      <c r="Z1157" s="106">
        <v>8.0660377358490578</v>
      </c>
      <c r="AA1157" s="106">
        <v>61201.361235147204</v>
      </c>
      <c r="AB1157" s="106">
        <v>792.95273066698985</v>
      </c>
      <c r="AC1157" s="106">
        <v>1.633950585114947</v>
      </c>
      <c r="AD1157" s="106">
        <v>39.649455234486027</v>
      </c>
      <c r="AE1157" s="106">
        <v>77.181600955794508</v>
      </c>
      <c r="AF1157" s="106">
        <v>7.1014050091631031E-2</v>
      </c>
      <c r="AG1157" s="106">
        <v>41800</v>
      </c>
      <c r="AH1157" s="106">
        <v>23557.017543859649</v>
      </c>
      <c r="AI1157" s="106">
        <v>27482.456140350878</v>
      </c>
      <c r="AJ1157" s="106">
        <v>32589.912280701756</v>
      </c>
      <c r="AK1157" s="104">
        <v>22635.087719298244</v>
      </c>
      <c r="AL1157" s="118">
        <v>2461000</v>
      </c>
      <c r="AM1157" s="118">
        <v>1587</v>
      </c>
      <c r="AN1157" s="118">
        <v>64601</v>
      </c>
      <c r="AO1157" s="118">
        <v>337</v>
      </c>
      <c r="AP1157" s="118">
        <f t="shared" si="17"/>
        <v>0</v>
      </c>
    </row>
    <row r="1158" spans="1:42" ht="12.75">
      <c r="A1158" s="106">
        <v>2018</v>
      </c>
      <c r="B1158" s="106">
        <v>-198923</v>
      </c>
      <c r="C1158" s="106">
        <v>0</v>
      </c>
      <c r="D1158" s="106">
        <v>198923</v>
      </c>
      <c r="E1158" s="106" t="s">
        <v>1927</v>
      </c>
      <c r="F1158" s="106" t="s">
        <v>1576</v>
      </c>
      <c r="G1158" s="106" t="s">
        <v>90</v>
      </c>
      <c r="H1158" s="106">
        <v>4</v>
      </c>
      <c r="I1158" s="106" t="s">
        <v>24</v>
      </c>
      <c r="J1158" s="106">
        <v>1900</v>
      </c>
      <c r="K1158" s="106">
        <v>5824</v>
      </c>
      <c r="L1158" s="106">
        <v>5332</v>
      </c>
      <c r="M1158" s="106">
        <v>0.65</v>
      </c>
      <c r="N1158" s="106">
        <v>0</v>
      </c>
      <c r="O1158" s="106">
        <v>0.05</v>
      </c>
      <c r="P1158" s="106">
        <v>1494</v>
      </c>
      <c r="Q1158" s="106">
        <v>182.06686046511629</v>
      </c>
      <c r="R1158" s="106">
        <v>0.10229728295045284</v>
      </c>
      <c r="S1158" s="106">
        <v>17683.694767441859</v>
      </c>
      <c r="T1158" s="106">
        <v>19278.985465116279</v>
      </c>
      <c r="U1158" s="106">
        <v>15225.536267661608</v>
      </c>
      <c r="V1158" s="106">
        <v>0.10493654135996174</v>
      </c>
      <c r="W1158" s="106">
        <v>59897.906666666669</v>
      </c>
      <c r="X1158" s="110">
        <v>0.67737675571862421</v>
      </c>
      <c r="Y1158" s="106">
        <v>267.01293103448273</v>
      </c>
      <c r="Z1158" s="106">
        <v>8.8965517241379306</v>
      </c>
      <c r="AA1158" s="106">
        <v>44765.679282697376</v>
      </c>
      <c r="AB1158" s="106">
        <v>507.296670645125</v>
      </c>
      <c r="AC1158" s="106">
        <v>2.233854184776138</v>
      </c>
      <c r="AD1158" s="106">
        <v>43.333333333333336</v>
      </c>
      <c r="AE1158" s="106">
        <v>88.243589743589737</v>
      </c>
      <c r="AF1158" s="106">
        <v>-5.2230867332074396E-2</v>
      </c>
      <c r="AG1158" s="106">
        <v>1824</v>
      </c>
      <c r="AH1158" s="106">
        <v>16429.569767441859</v>
      </c>
      <c r="AI1158" s="106">
        <v>16477.940406976744</v>
      </c>
      <c r="AJ1158" s="106">
        <v>17719.408430232557</v>
      </c>
      <c r="AK1158" s="104">
        <v>16483.306686046511</v>
      </c>
      <c r="AL1158" s="118">
        <v>8862149</v>
      </c>
      <c r="AM1158" s="118">
        <v>1043</v>
      </c>
      <c r="AN1158" s="118">
        <v>20649</v>
      </c>
      <c r="AO1158" s="118">
        <v>162</v>
      </c>
      <c r="AP1158" s="118">
        <f t="shared" ref="AP1158:AP1221" si="18">J1158-AG1158</f>
        <v>76</v>
      </c>
    </row>
    <row r="1159" spans="1:42" ht="12.75">
      <c r="A1159" s="106">
        <v>2018</v>
      </c>
      <c r="B1159" s="106">
        <v>-147004</v>
      </c>
      <c r="C1159" s="106">
        <v>0</v>
      </c>
      <c r="D1159" s="106">
        <v>147004</v>
      </c>
      <c r="E1159" s="106" t="s">
        <v>1928</v>
      </c>
      <c r="F1159" s="106" t="s">
        <v>1929</v>
      </c>
      <c r="G1159" s="106" t="s">
        <v>243</v>
      </c>
      <c r="H1159" s="106">
        <v>4</v>
      </c>
      <c r="I1159" s="106" t="s">
        <v>24</v>
      </c>
      <c r="J1159" s="106">
        <v>3404</v>
      </c>
      <c r="K1159" s="106">
        <v>5497</v>
      </c>
      <c r="L1159" s="106">
        <v>4787</v>
      </c>
      <c r="M1159" s="106">
        <v>0.31</v>
      </c>
      <c r="N1159" s="106">
        <v>0.1</v>
      </c>
      <c r="O1159" s="106">
        <v>0</v>
      </c>
      <c r="P1159" s="106"/>
      <c r="Q1159" s="106">
        <v>22.545195052331113</v>
      </c>
      <c r="R1159" s="106">
        <v>6.6364216313735958E-3</v>
      </c>
      <c r="S1159" s="106">
        <v>16846.156279733586</v>
      </c>
      <c r="T1159" s="106">
        <v>16990.411274976213</v>
      </c>
      <c r="U1159" s="106">
        <v>14439.737148957049</v>
      </c>
      <c r="V1159" s="106">
        <v>0.23370552070555373</v>
      </c>
      <c r="W1159" s="106">
        <v>107367.90996503497</v>
      </c>
      <c r="X1159" s="110">
        <v>0.5732085634185925</v>
      </c>
      <c r="Y1159" s="106">
        <v>886.15925058547998</v>
      </c>
      <c r="Z1159" s="106">
        <v>29.536299765807961</v>
      </c>
      <c r="AA1159" s="106">
        <v>47094.379343844405</v>
      </c>
      <c r="AB1159" s="106">
        <v>481.28641064152407</v>
      </c>
      <c r="AC1159" s="106">
        <v>2.1233956449427285</v>
      </c>
      <c r="AD1159" s="106">
        <v>34.837837837837839</v>
      </c>
      <c r="AE1159" s="106">
        <v>97.851047323506592</v>
      </c>
      <c r="AF1159" s="106">
        <v>4.4664035752037354E-2</v>
      </c>
      <c r="AG1159" s="106">
        <v>3120</v>
      </c>
      <c r="AH1159" s="106">
        <v>16579.831351094195</v>
      </c>
      <c r="AI1159" s="106">
        <v>16604.45813510942</v>
      </c>
      <c r="AJ1159" s="106">
        <v>16910.607992388203</v>
      </c>
      <c r="AK1159" s="104">
        <v>15661.582064700286</v>
      </c>
      <c r="AL1159" s="118">
        <v>48698740</v>
      </c>
      <c r="AM1159" s="118">
        <v>6843</v>
      </c>
      <c r="AN1159" s="118">
        <v>126130</v>
      </c>
      <c r="AO1159" s="118">
        <v>655</v>
      </c>
      <c r="AP1159" s="118">
        <f t="shared" si="18"/>
        <v>284</v>
      </c>
    </row>
    <row r="1160" spans="1:42" ht="12.75">
      <c r="A1160" s="106">
        <v>2018</v>
      </c>
      <c r="B1160" s="106">
        <v>-147013</v>
      </c>
      <c r="C1160" s="106">
        <v>0</v>
      </c>
      <c r="D1160" s="106">
        <v>147013</v>
      </c>
      <c r="E1160" s="106" t="s">
        <v>1930</v>
      </c>
      <c r="F1160" s="106" t="s">
        <v>973</v>
      </c>
      <c r="G1160" s="106" t="s">
        <v>243</v>
      </c>
      <c r="H1160" s="106">
        <v>6</v>
      </c>
      <c r="I1160" s="106" t="s">
        <v>3640</v>
      </c>
      <c r="J1160" s="106">
        <v>29640</v>
      </c>
      <c r="K1160" s="106">
        <v>19676</v>
      </c>
      <c r="L1160" s="106">
        <v>15855</v>
      </c>
      <c r="M1160" s="106">
        <v>0.34</v>
      </c>
      <c r="N1160" s="106">
        <v>0.67</v>
      </c>
      <c r="O1160" s="106">
        <v>1</v>
      </c>
      <c r="P1160" s="107">
        <v>18972</v>
      </c>
      <c r="Q1160" s="106">
        <v>10560.464831804282</v>
      </c>
      <c r="R1160" s="106">
        <v>0.81253879431846476</v>
      </c>
      <c r="S1160" s="106">
        <v>17758.259501965924</v>
      </c>
      <c r="T1160" s="106">
        <v>19159.492791612058</v>
      </c>
      <c r="U1160" s="106">
        <v>16988.420031808146</v>
      </c>
      <c r="V1160" s="106">
        <v>0.14341591397969486</v>
      </c>
      <c r="W1160" s="106">
        <v>68320.346268656722</v>
      </c>
      <c r="X1160" s="110">
        <v>0.5218732846591233</v>
      </c>
      <c r="Y1160" s="106">
        <v>436.30634573304155</v>
      </c>
      <c r="Z1160" s="106">
        <v>15.026258205689278</v>
      </c>
      <c r="AA1160" s="106">
        <v>54769.709088463154</v>
      </c>
      <c r="AB1160" s="106">
        <v>585.07603293224668</v>
      </c>
      <c r="AC1160" s="106">
        <v>1.8258267510327943</v>
      </c>
      <c r="AD1160" s="106">
        <v>32.553874369555253</v>
      </c>
      <c r="AE1160" s="106">
        <v>93.611267605633799</v>
      </c>
      <c r="AF1160" s="106">
        <v>-4.626797653949309E-3</v>
      </c>
      <c r="AG1160" s="106">
        <v>28560</v>
      </c>
      <c r="AH1160" s="106">
        <v>7173.6732197466144</v>
      </c>
      <c r="AI1160" s="106">
        <v>8136.560506771516</v>
      </c>
      <c r="AJ1160" s="106">
        <v>19051.214504150284</v>
      </c>
      <c r="AK1160" s="104">
        <v>17221.670598514636</v>
      </c>
      <c r="AL1160" s="118"/>
      <c r="AM1160" s="118">
        <v>2104</v>
      </c>
      <c r="AN1160" s="118">
        <v>66464</v>
      </c>
      <c r="AO1160" s="118">
        <v>505</v>
      </c>
      <c r="AP1160" s="118">
        <f t="shared" si="18"/>
        <v>1080</v>
      </c>
    </row>
    <row r="1161" spans="1:42" ht="12.75">
      <c r="A1161" s="106">
        <v>2018</v>
      </c>
      <c r="B1161" s="106">
        <v>-226578</v>
      </c>
      <c r="C1161" s="106">
        <v>0</v>
      </c>
      <c r="D1161" s="106">
        <v>226578</v>
      </c>
      <c r="E1161" s="106" t="s">
        <v>1931</v>
      </c>
      <c r="F1161" s="106" t="s">
        <v>312</v>
      </c>
      <c r="G1161" s="106" t="s">
        <v>60</v>
      </c>
      <c r="H1161" s="106">
        <v>4</v>
      </c>
      <c r="I1161" s="106" t="s">
        <v>24</v>
      </c>
      <c r="J1161" s="106">
        <v>3450</v>
      </c>
      <c r="K1161" s="106">
        <v>6745</v>
      </c>
      <c r="L1161" s="106">
        <v>6070</v>
      </c>
      <c r="M1161" s="106">
        <v>0.62</v>
      </c>
      <c r="N1161" s="106">
        <v>0.31</v>
      </c>
      <c r="O1161" s="106">
        <v>0.25</v>
      </c>
      <c r="P1161" s="106">
        <v>3155</v>
      </c>
      <c r="Q1161" s="106"/>
      <c r="R1161" s="106"/>
      <c r="S1161" s="106">
        <v>12837.553020565552</v>
      </c>
      <c r="T1161" s="106">
        <v>12606.075192802056</v>
      </c>
      <c r="U1161" s="106">
        <v>8138.8422772800213</v>
      </c>
      <c r="V1161" s="106">
        <v>0.51355807289631605</v>
      </c>
      <c r="W1161" s="106">
        <v>88156.867272727279</v>
      </c>
      <c r="X1161" s="110">
        <v>0.61797280129704468</v>
      </c>
      <c r="Y1161" s="106">
        <v>856.50458715596335</v>
      </c>
      <c r="Z1161" s="106">
        <v>28.550458715596331</v>
      </c>
      <c r="AA1161" s="106">
        <v>28996.081473263224</v>
      </c>
      <c r="AB1161" s="106">
        <v>271.29764850625463</v>
      </c>
      <c r="AC1161" s="106">
        <v>3.448741861627346</v>
      </c>
      <c r="AD1161" s="106">
        <v>33.005856791989416</v>
      </c>
      <c r="AE1161" s="106">
        <v>106.87922152261019</v>
      </c>
      <c r="AF1161" s="106">
        <v>3.2919665650385128E-2</v>
      </c>
      <c r="AG1161" s="106">
        <v>3234</v>
      </c>
      <c r="AH1161" s="106">
        <v>12107.669665809768</v>
      </c>
      <c r="AI1161" s="106">
        <v>12172.01381748072</v>
      </c>
      <c r="AJ1161" s="106">
        <v>12888.702602827763</v>
      </c>
      <c r="AK1161" s="104">
        <v>10101.879820051414</v>
      </c>
      <c r="AL1161" s="119">
        <v>42467402</v>
      </c>
      <c r="AM1161" s="118">
        <v>8880</v>
      </c>
      <c r="AN1161" s="118">
        <v>186718</v>
      </c>
      <c r="AO1161" s="118">
        <v>1314</v>
      </c>
      <c r="AP1161" s="118">
        <f t="shared" si="18"/>
        <v>216</v>
      </c>
    </row>
    <row r="1162" spans="1:42" ht="12.75">
      <c r="A1162" s="106">
        <v>2018</v>
      </c>
      <c r="B1162" s="106">
        <v>-226587</v>
      </c>
      <c r="C1162" s="106">
        <v>0</v>
      </c>
      <c r="D1162" s="106">
        <v>226587</v>
      </c>
      <c r="E1162" s="106" t="s">
        <v>1932</v>
      </c>
      <c r="F1162" s="106" t="s">
        <v>59</v>
      </c>
      <c r="G1162" s="106" t="s">
        <v>60</v>
      </c>
      <c r="H1162" s="106">
        <v>7</v>
      </c>
      <c r="I1162" s="106" t="s">
        <v>3641</v>
      </c>
      <c r="J1162" s="106">
        <v>26712</v>
      </c>
      <c r="K1162" s="106">
        <v>22516</v>
      </c>
      <c r="L1162" s="106">
        <v>19130</v>
      </c>
      <c r="M1162" s="106">
        <v>0.53</v>
      </c>
      <c r="N1162" s="106">
        <v>0.78</v>
      </c>
      <c r="O1162" s="106">
        <v>0.98</v>
      </c>
      <c r="P1162" s="106">
        <v>13072</v>
      </c>
      <c r="Q1162" s="106">
        <v>10548.906432748538</v>
      </c>
      <c r="R1162" s="106">
        <v>0.41740087596051145</v>
      </c>
      <c r="S1162" s="106">
        <v>27740.891812865499</v>
      </c>
      <c r="T1162" s="106">
        <v>23729.204678362574</v>
      </c>
      <c r="U1162" s="106">
        <v>17862.463937621833</v>
      </c>
      <c r="V1162" s="106">
        <v>0.82429477388632488</v>
      </c>
      <c r="W1162" s="106">
        <v>60388.618479880781</v>
      </c>
      <c r="X1162" s="110">
        <v>0.55478641316964761</v>
      </c>
      <c r="Y1162" s="106">
        <v>341.97777777777776</v>
      </c>
      <c r="Z1162" s="106">
        <v>11.4</v>
      </c>
      <c r="AA1162" s="106">
        <v>121370.11920529802</v>
      </c>
      <c r="AB1162" s="106">
        <v>595.45415556566377</v>
      </c>
      <c r="AC1162" s="106">
        <v>0.82392602606618215</v>
      </c>
      <c r="AD1162" s="106">
        <v>14.86220472440945</v>
      </c>
      <c r="AE1162" s="106">
        <v>203.82781456953643</v>
      </c>
      <c r="AF1162" s="106">
        <v>6.4610088527485607E-2</v>
      </c>
      <c r="AG1162" s="106">
        <v>26622</v>
      </c>
      <c r="AH1162" s="106">
        <v>22368.783625730994</v>
      </c>
      <c r="AI1162" s="106">
        <v>27759.559454191032</v>
      </c>
      <c r="AJ1162" s="106">
        <v>32957.153021442493</v>
      </c>
      <c r="AK1162" s="104">
        <v>18082.051656920077</v>
      </c>
      <c r="AM1162" s="118">
        <v>1105</v>
      </c>
      <c r="AN1162" s="118">
        <v>30778</v>
      </c>
      <c r="AO1162" s="118">
        <v>151</v>
      </c>
      <c r="AP1162" s="118">
        <f t="shared" si="18"/>
        <v>90</v>
      </c>
    </row>
    <row r="1163" spans="1:42" ht="12.75">
      <c r="A1163" s="106">
        <v>2018</v>
      </c>
      <c r="B1163" s="106">
        <v>-159717</v>
      </c>
      <c r="C1163" s="106">
        <v>0</v>
      </c>
      <c r="D1163" s="106">
        <v>159717</v>
      </c>
      <c r="E1163" s="106" t="s">
        <v>1933</v>
      </c>
      <c r="F1163" s="106" t="s">
        <v>1934</v>
      </c>
      <c r="G1163" s="106" t="s">
        <v>306</v>
      </c>
      <c r="H1163" s="106">
        <v>2</v>
      </c>
      <c r="I1163" s="106" t="s">
        <v>25</v>
      </c>
      <c r="J1163" s="106">
        <v>7920</v>
      </c>
      <c r="K1163" s="106">
        <v>9985</v>
      </c>
      <c r="L1163" s="106">
        <v>10502</v>
      </c>
      <c r="M1163" s="106">
        <v>0.33</v>
      </c>
      <c r="N1163" s="106">
        <v>0.35</v>
      </c>
      <c r="O1163" s="106">
        <v>0.63</v>
      </c>
      <c r="P1163" s="106">
        <v>3640</v>
      </c>
      <c r="Q1163" s="106">
        <v>1309.6029567053854</v>
      </c>
      <c r="R1163" s="106">
        <v>0.15022730438679902</v>
      </c>
      <c r="S1163" s="106">
        <v>13611.326896967868</v>
      </c>
      <c r="T1163" s="106">
        <v>13618.965454819732</v>
      </c>
      <c r="U1163" s="106">
        <v>8037.4148343097086</v>
      </c>
      <c r="V1163" s="106">
        <v>0.92167362725046331</v>
      </c>
      <c r="W1163" s="106">
        <v>75033.529497805954</v>
      </c>
      <c r="X1163" s="110">
        <v>0.56820839254071898</v>
      </c>
      <c r="Y1163" s="106">
        <v>639.66195652173906</v>
      </c>
      <c r="Z1163" s="106">
        <v>21.616304347826084</v>
      </c>
      <c r="AA1163" s="106">
        <v>39032.983836365609</v>
      </c>
      <c r="AB1163" s="106">
        <v>271.6109711649957</v>
      </c>
      <c r="AC1163" s="106">
        <v>2.5619358340428398</v>
      </c>
      <c r="AD1163" s="106">
        <v>20.74468085106383</v>
      </c>
      <c r="AE1163" s="106">
        <v>143.70915750915751</v>
      </c>
      <c r="AF1163" s="106">
        <v>0.41538239900279411</v>
      </c>
      <c r="AG1163" s="106">
        <v>5148</v>
      </c>
      <c r="AH1163" s="106">
        <v>12965.706592246192</v>
      </c>
      <c r="AI1163" s="106">
        <v>13224.109669633428</v>
      </c>
      <c r="AJ1163" s="106">
        <v>13905.038014783528</v>
      </c>
      <c r="AK1163" s="104">
        <v>8692.6845678081154</v>
      </c>
      <c r="AL1163" s="118">
        <v>19437492</v>
      </c>
      <c r="AM1163" s="118">
        <v>6926</v>
      </c>
      <c r="AN1163" s="118">
        <v>196163</v>
      </c>
      <c r="AO1163" s="118">
        <v>1078</v>
      </c>
      <c r="AP1163" s="118">
        <f t="shared" si="18"/>
        <v>2772</v>
      </c>
    </row>
    <row r="1164" spans="1:42" ht="12.75">
      <c r="A1164" s="106">
        <v>2018</v>
      </c>
      <c r="B1164" s="106">
        <v>-155511</v>
      </c>
      <c r="C1164" s="106">
        <v>0</v>
      </c>
      <c r="D1164" s="106">
        <v>155511</v>
      </c>
      <c r="E1164" s="106" t="s">
        <v>1935</v>
      </c>
      <c r="F1164" s="106" t="s">
        <v>657</v>
      </c>
      <c r="G1164" s="106" t="s">
        <v>129</v>
      </c>
      <c r="H1164" s="106">
        <v>7</v>
      </c>
      <c r="I1164" s="106" t="s">
        <v>3641</v>
      </c>
      <c r="J1164" s="106">
        <v>27823</v>
      </c>
      <c r="K1164" s="106">
        <v>22094</v>
      </c>
      <c r="L1164" s="106">
        <v>19554</v>
      </c>
      <c r="M1164" s="106">
        <v>0.39</v>
      </c>
      <c r="N1164" s="106">
        <v>0.75</v>
      </c>
      <c r="O1164" s="106">
        <v>1</v>
      </c>
      <c r="P1164" s="106">
        <v>16615</v>
      </c>
      <c r="Q1164" s="106">
        <v>16100.768901569187</v>
      </c>
      <c r="R1164" s="106">
        <v>0.59563774672960035</v>
      </c>
      <c r="S1164" s="106">
        <v>24413.911554921542</v>
      </c>
      <c r="T1164" s="106">
        <v>25387.353780313839</v>
      </c>
      <c r="U1164" s="106">
        <v>21523.522111269616</v>
      </c>
      <c r="V1164" s="106">
        <v>0.50783388031367205</v>
      </c>
      <c r="W1164" s="106">
        <v>75434.950354609929</v>
      </c>
      <c r="X1164" s="110">
        <v>0.59766285965217392</v>
      </c>
      <c r="Y1164" s="106">
        <v>419.14</v>
      </c>
      <c r="Z1164" s="106">
        <v>14.02</v>
      </c>
      <c r="AA1164" s="106">
        <v>123672.04098360655</v>
      </c>
      <c r="AB1164" s="106">
        <v>719.94984969222696</v>
      </c>
      <c r="AC1164" s="106">
        <v>0.80859019714290625</v>
      </c>
      <c r="AD1164" s="106">
        <v>17.52873563218391</v>
      </c>
      <c r="AE1164" s="106">
        <v>171.77868852459017</v>
      </c>
      <c r="AF1164" s="106">
        <v>2.4780958524582484E-2</v>
      </c>
      <c r="AG1164" s="106">
        <v>27077</v>
      </c>
      <c r="AH1164" s="106">
        <v>21259</v>
      </c>
      <c r="AI1164" s="106">
        <v>24413.911554921542</v>
      </c>
      <c r="AJ1164" s="106">
        <v>27788.88302425107</v>
      </c>
      <c r="AK1164" s="104">
        <v>21523.522111269616</v>
      </c>
      <c r="AL1164" s="118"/>
      <c r="AM1164" s="118">
        <v>725</v>
      </c>
      <c r="AN1164" s="118">
        <v>20957</v>
      </c>
      <c r="AO1164" s="118">
        <v>122</v>
      </c>
      <c r="AP1164" s="118">
        <f t="shared" si="18"/>
        <v>746</v>
      </c>
    </row>
    <row r="1165" spans="1:42" ht="12.75">
      <c r="A1165" s="106">
        <v>2018</v>
      </c>
      <c r="B1165" s="106">
        <v>-192925</v>
      </c>
      <c r="C1165" s="106">
        <v>0</v>
      </c>
      <c r="D1165" s="106">
        <v>192925</v>
      </c>
      <c r="E1165" s="106" t="s">
        <v>1936</v>
      </c>
      <c r="F1165" s="106" t="s">
        <v>585</v>
      </c>
      <c r="G1165" s="106" t="s">
        <v>69</v>
      </c>
      <c r="H1165" s="106">
        <v>6</v>
      </c>
      <c r="I1165" s="106" t="s">
        <v>3640</v>
      </c>
      <c r="J1165" s="106">
        <v>28360</v>
      </c>
      <c r="K1165" s="106">
        <v>11929</v>
      </c>
      <c r="L1165" s="106">
        <v>9966</v>
      </c>
      <c r="M1165" s="106">
        <v>0.61</v>
      </c>
      <c r="N1165" s="106">
        <v>0.7</v>
      </c>
      <c r="O1165" s="106">
        <v>0.85</v>
      </c>
      <c r="P1165" s="106">
        <v>16532</v>
      </c>
      <c r="Q1165" s="106">
        <v>9217.7111207645521</v>
      </c>
      <c r="R1165" s="106">
        <v>0.42484914813316654</v>
      </c>
      <c r="S1165" s="106">
        <v>15807.430495221546</v>
      </c>
      <c r="T1165" s="106">
        <v>15878.106429192007</v>
      </c>
      <c r="U1165" s="106">
        <v>14192.915725456125</v>
      </c>
      <c r="V1165" s="106">
        <v>0.87922187535466045</v>
      </c>
      <c r="W1165" s="106">
        <v>55789.997126436785</v>
      </c>
      <c r="X1165" s="110">
        <v>0.53116757412390292</v>
      </c>
      <c r="Y1165" s="106">
        <v>388.29090909090911</v>
      </c>
      <c r="Z1165" s="106">
        <v>13.951515151515151</v>
      </c>
      <c r="AA1165" s="106">
        <v>54727.122278056951</v>
      </c>
      <c r="AB1165" s="106">
        <v>509.95960541924205</v>
      </c>
      <c r="AC1165" s="106">
        <v>1.8272475481521049</v>
      </c>
      <c r="AD1165" s="106">
        <v>28.482824427480917</v>
      </c>
      <c r="AE1165" s="106">
        <v>107.31658291457286</v>
      </c>
      <c r="AF1165" s="106">
        <v>2.1550734699508534E-4</v>
      </c>
      <c r="AG1165" s="106">
        <v>28360</v>
      </c>
      <c r="AH1165" s="106">
        <v>15451.730668983493</v>
      </c>
      <c r="AI1165" s="106">
        <v>15807.430495221546</v>
      </c>
      <c r="AJ1165" s="106">
        <v>15879.739791485665</v>
      </c>
      <c r="AK1165" s="104">
        <v>14352.193744569939</v>
      </c>
      <c r="AL1165" s="119">
        <v>118605</v>
      </c>
      <c r="AM1165" s="118">
        <v>1528</v>
      </c>
      <c r="AN1165" s="118">
        <v>64068</v>
      </c>
      <c r="AO1165" s="118">
        <v>294</v>
      </c>
      <c r="AP1165" s="118">
        <f t="shared" si="18"/>
        <v>0</v>
      </c>
    </row>
    <row r="1166" spans="1:42" ht="12.75">
      <c r="A1166" s="106">
        <v>2018</v>
      </c>
      <c r="B1166" s="106">
        <v>-118684</v>
      </c>
      <c r="C1166" s="106">
        <v>0</v>
      </c>
      <c r="D1166" s="106">
        <v>118684</v>
      </c>
      <c r="E1166" s="106" t="s">
        <v>1937</v>
      </c>
      <c r="F1166" s="106" t="s">
        <v>1938</v>
      </c>
      <c r="G1166" s="106" t="s">
        <v>121</v>
      </c>
      <c r="H1166" s="106">
        <v>4</v>
      </c>
      <c r="I1166" s="106" t="s">
        <v>24</v>
      </c>
      <c r="J1166" s="106">
        <v>1423</v>
      </c>
      <c r="K1166" s="106">
        <v>7914</v>
      </c>
      <c r="L1166" s="106">
        <v>6768</v>
      </c>
      <c r="M1166" s="106">
        <v>0.68</v>
      </c>
      <c r="N1166" s="106">
        <v>0.02</v>
      </c>
      <c r="O1166" s="106">
        <v>0.14000000000000001</v>
      </c>
      <c r="P1166" s="106">
        <v>535</v>
      </c>
      <c r="Q1166" s="107"/>
      <c r="R1166" s="106"/>
      <c r="S1166" s="106">
        <v>21406.766558591942</v>
      </c>
      <c r="T1166" s="106">
        <v>22798.815192218619</v>
      </c>
      <c r="U1166" s="106">
        <v>20106.083972454457</v>
      </c>
      <c r="V1166" s="106">
        <v>7.3851445398426668E-2</v>
      </c>
      <c r="W1166" s="106">
        <v>131949.40601503759</v>
      </c>
      <c r="X1166" s="110">
        <v>0.59421404076603612</v>
      </c>
      <c r="Y1166" s="106">
        <v>478.61083743842369</v>
      </c>
      <c r="Z1166" s="106">
        <v>15.953201970443352</v>
      </c>
      <c r="AA1166" s="106">
        <v>104852.74226214776</v>
      </c>
      <c r="AB1166" s="106">
        <v>670.18210486829457</v>
      </c>
      <c r="AC1166" s="106">
        <v>0.95371849932150388</v>
      </c>
      <c r="AD1166" s="106">
        <v>20.81447963800905</v>
      </c>
      <c r="AE1166" s="106">
        <v>156.45410628019323</v>
      </c>
      <c r="AF1166" s="106">
        <v>-2.3824179619174277</v>
      </c>
      <c r="AG1166" s="106">
        <v>1380</v>
      </c>
      <c r="AH1166" s="106">
        <v>18948.600741083836</v>
      </c>
      <c r="AI1166" s="106">
        <v>20061.365910143584</v>
      </c>
      <c r="AJ1166" s="106">
        <v>21469.56831866605</v>
      </c>
      <c r="AK1166" s="104">
        <v>22163.529874942102</v>
      </c>
      <c r="AL1166" s="118">
        <v>24281011</v>
      </c>
      <c r="AM1166" s="118">
        <v>3870</v>
      </c>
      <c r="AN1166" s="118">
        <v>64772</v>
      </c>
      <c r="AO1166" s="118">
        <v>357</v>
      </c>
      <c r="AP1166" s="118">
        <f t="shared" si="18"/>
        <v>43</v>
      </c>
    </row>
    <row r="1167" spans="1:42" ht="12.75">
      <c r="A1167" s="106">
        <v>2018</v>
      </c>
      <c r="B1167" s="106">
        <v>-118718</v>
      </c>
      <c r="C1167" s="106">
        <v>0</v>
      </c>
      <c r="D1167" s="106">
        <v>118718</v>
      </c>
      <c r="E1167" s="106" t="s">
        <v>1939</v>
      </c>
      <c r="F1167" s="106" t="s">
        <v>1940</v>
      </c>
      <c r="G1167" s="106" t="s">
        <v>121</v>
      </c>
      <c r="H1167" s="106">
        <v>4</v>
      </c>
      <c r="I1167" s="106" t="s">
        <v>24</v>
      </c>
      <c r="J1167" s="106">
        <v>1150</v>
      </c>
      <c r="K1167" s="106">
        <v>9406</v>
      </c>
      <c r="L1167" s="106">
        <v>8005</v>
      </c>
      <c r="M1167" s="106">
        <v>0.65</v>
      </c>
      <c r="N1167" s="106">
        <v>0</v>
      </c>
      <c r="O1167" s="106">
        <v>0</v>
      </c>
      <c r="P1167" s="106"/>
      <c r="Q1167" s="106">
        <v>1010.3920152609347</v>
      </c>
      <c r="R1167" s="106">
        <v>0.60928223467638465</v>
      </c>
      <c r="S1167" s="106">
        <v>14423.6312849162</v>
      </c>
      <c r="T1167" s="106">
        <v>15178.445837307536</v>
      </c>
      <c r="U1167" s="106">
        <v>9371.9892355906795</v>
      </c>
      <c r="V1167" s="106">
        <v>6.9135764165435792E-2</v>
      </c>
      <c r="W1167" s="106">
        <v>114220.22421524665</v>
      </c>
      <c r="X1167" s="110">
        <v>0.60975084486580289</v>
      </c>
      <c r="Y1167" s="106">
        <v>738.77852348993292</v>
      </c>
      <c r="Z1167" s="106">
        <v>24.627516778523489</v>
      </c>
      <c r="AA1167" s="106">
        <v>38446.634432643936</v>
      </c>
      <c r="AB1167" s="106">
        <v>312.41950707680007</v>
      </c>
      <c r="AC1167" s="106">
        <v>2.6010079029204403</v>
      </c>
      <c r="AD1167" s="106">
        <v>26.363100501031532</v>
      </c>
      <c r="AE1167" s="106">
        <v>123.06092789267747</v>
      </c>
      <c r="AF1167" s="106">
        <v>-4.4718836772937573E-2</v>
      </c>
      <c r="AG1167" s="106">
        <v>1104</v>
      </c>
      <c r="AH1167" s="106">
        <v>11972.557705409456</v>
      </c>
      <c r="AI1167" s="106">
        <v>11972.557705409456</v>
      </c>
      <c r="AJ1167" s="106">
        <v>14468.981468864968</v>
      </c>
      <c r="AK1167" s="104">
        <v>12408.315301812236</v>
      </c>
      <c r="AL1167" s="118">
        <v>54506728</v>
      </c>
      <c r="AM1167" s="118">
        <v>10912</v>
      </c>
      <c r="AN1167" s="118">
        <v>220156</v>
      </c>
      <c r="AO1167" s="118">
        <v>1182</v>
      </c>
      <c r="AP1167" s="118">
        <f t="shared" si="18"/>
        <v>46</v>
      </c>
    </row>
    <row r="1168" spans="1:42" ht="12.75">
      <c r="A1168" s="106">
        <v>2018</v>
      </c>
      <c r="B1168" s="106">
        <v>-185509</v>
      </c>
      <c r="C1168" s="106">
        <v>0</v>
      </c>
      <c r="D1168" s="106">
        <v>185509</v>
      </c>
      <c r="E1168" s="106" t="s">
        <v>1941</v>
      </c>
      <c r="F1168" s="106" t="s">
        <v>1942</v>
      </c>
      <c r="G1168" s="106" t="s">
        <v>234</v>
      </c>
      <c r="H1168" s="106">
        <v>4</v>
      </c>
      <c r="I1168" s="106" t="s">
        <v>24</v>
      </c>
      <c r="J1168" s="106">
        <v>3900</v>
      </c>
      <c r="K1168" s="106">
        <v>6611</v>
      </c>
      <c r="L1168" s="106">
        <v>3339</v>
      </c>
      <c r="M1168" s="106">
        <v>0.28999999999999998</v>
      </c>
      <c r="N1168" s="106">
        <v>0.06</v>
      </c>
      <c r="O1168" s="106">
        <v>0.05</v>
      </c>
      <c r="P1168" s="106">
        <v>1685</v>
      </c>
      <c r="Q1168" s="106">
        <v>42.375154511742892</v>
      </c>
      <c r="R1168" s="106">
        <v>6.5558466410803925E-3</v>
      </c>
      <c r="S1168" s="106">
        <v>14676.170992995467</v>
      </c>
      <c r="T1168" s="106">
        <v>15217.855583024309</v>
      </c>
      <c r="U1168" s="106">
        <v>11072.314221081137</v>
      </c>
      <c r="V1168" s="106">
        <v>0.57994601037901361</v>
      </c>
      <c r="W1168" s="106">
        <v>79878.210792580096</v>
      </c>
      <c r="X1168" s="110">
        <v>0.64125356342577366</v>
      </c>
      <c r="Y1168" s="106">
        <v>588.72776280323444</v>
      </c>
      <c r="Z1168" s="106">
        <v>19.625336927223717</v>
      </c>
      <c r="AA1168" s="106">
        <v>53160.250473914777</v>
      </c>
      <c r="AB1168" s="106">
        <v>369.09741799527399</v>
      </c>
      <c r="AC1168" s="106">
        <v>1.8811047560633491</v>
      </c>
      <c r="AD1168" s="106">
        <v>22.935571687840291</v>
      </c>
      <c r="AE1168" s="106">
        <v>144.02769535113748</v>
      </c>
      <c r="AF1168" s="106">
        <v>-1.8318339945675007E-2</v>
      </c>
      <c r="AG1168" s="106">
        <v>2988</v>
      </c>
      <c r="AH1168" s="106">
        <v>14339.604449938195</v>
      </c>
      <c r="AI1168" s="106">
        <v>14339.604449938195</v>
      </c>
      <c r="AJ1168" s="106">
        <v>14676.642150803462</v>
      </c>
      <c r="AK1168" s="104">
        <v>12909.758549649774</v>
      </c>
      <c r="AL1168" s="118">
        <v>24356831</v>
      </c>
      <c r="AM1168" s="118">
        <v>7630</v>
      </c>
      <c r="AN1168" s="118">
        <v>145612</v>
      </c>
      <c r="AO1168" s="118">
        <v>923</v>
      </c>
      <c r="AP1168" s="118">
        <f t="shared" si="18"/>
        <v>912</v>
      </c>
    </row>
    <row r="1169" spans="1:42" ht="12.75">
      <c r="A1169" s="106">
        <v>2018</v>
      </c>
      <c r="B1169" s="106">
        <v>-140447</v>
      </c>
      <c r="C1169" s="106">
        <v>0</v>
      </c>
      <c r="D1169" s="106">
        <v>140447</v>
      </c>
      <c r="E1169" s="106" t="s">
        <v>1943</v>
      </c>
      <c r="F1169" s="106" t="s">
        <v>1944</v>
      </c>
      <c r="G1169" s="106" t="s">
        <v>63</v>
      </c>
      <c r="H1169" s="106">
        <v>5</v>
      </c>
      <c r="I1169" s="106" t="s">
        <v>3639</v>
      </c>
      <c r="J1169" s="106">
        <v>24480</v>
      </c>
      <c r="K1169" s="106">
        <v>21202</v>
      </c>
      <c r="L1169" s="106">
        <v>17998</v>
      </c>
      <c r="M1169" s="106">
        <v>0.28999999999999998</v>
      </c>
      <c r="N1169" s="106">
        <v>0.68</v>
      </c>
      <c r="O1169" s="106">
        <v>1</v>
      </c>
      <c r="P1169" s="106">
        <v>23319</v>
      </c>
      <c r="Q1169" s="106">
        <v>9811.8571428571431</v>
      </c>
      <c r="R1169" s="106">
        <v>0.34764633490126479</v>
      </c>
      <c r="S1169" s="106">
        <v>33948.461900736627</v>
      </c>
      <c r="T1169" s="106">
        <v>32613.925009056878</v>
      </c>
      <c r="U1169" s="106">
        <v>20541.67529273684</v>
      </c>
      <c r="V1169" s="106">
        <v>0.89631529625731376</v>
      </c>
      <c r="W1169" s="106">
        <v>99629.179344465054</v>
      </c>
      <c r="X1169" s="110">
        <v>0.59650037358200103</v>
      </c>
      <c r="Y1169" s="106">
        <v>314.893879842785</v>
      </c>
      <c r="Z1169" s="106">
        <v>13.948905109489052</v>
      </c>
      <c r="AA1169" s="106">
        <v>67717.202666860569</v>
      </c>
      <c r="AB1169" s="106">
        <v>909.93791175420051</v>
      </c>
      <c r="AC1169" s="106">
        <v>1.4767296353329429</v>
      </c>
      <c r="AD1169" s="106">
        <v>32.974533998424782</v>
      </c>
      <c r="AE1169" s="106">
        <v>74.419585987261144</v>
      </c>
      <c r="AF1169" s="106">
        <v>0.10253596824650933</v>
      </c>
      <c r="AG1169" s="106">
        <v>24180</v>
      </c>
      <c r="AH1169" s="106">
        <v>30712.650042265428</v>
      </c>
      <c r="AI1169" s="106">
        <v>34240.68868494143</v>
      </c>
      <c r="AJ1169" s="106">
        <v>37359.833836493177</v>
      </c>
      <c r="AK1169" s="104">
        <v>26202.564424586402</v>
      </c>
      <c r="AL1169" s="118">
        <v>32737466</v>
      </c>
      <c r="AM1169" s="118">
        <v>4747</v>
      </c>
      <c r="AN1169" s="118">
        <v>186942</v>
      </c>
      <c r="AO1169" s="118">
        <v>1128</v>
      </c>
      <c r="AP1169" s="118">
        <f t="shared" si="18"/>
        <v>300</v>
      </c>
    </row>
    <row r="1170" spans="1:42" ht="12.75">
      <c r="A1170" s="106">
        <v>2018</v>
      </c>
      <c r="B1170" s="106">
        <v>-193016</v>
      </c>
      <c r="C1170" s="106">
        <v>0</v>
      </c>
      <c r="D1170" s="106">
        <v>193016</v>
      </c>
      <c r="E1170" s="106" t="s">
        <v>1945</v>
      </c>
      <c r="F1170" s="106" t="s">
        <v>1946</v>
      </c>
      <c r="G1170" s="106" t="s">
        <v>69</v>
      </c>
      <c r="H1170" s="106">
        <v>6</v>
      </c>
      <c r="I1170" s="106" t="s">
        <v>3640</v>
      </c>
      <c r="J1170" s="106">
        <v>18714</v>
      </c>
      <c r="K1170" s="106">
        <v>13972</v>
      </c>
      <c r="L1170" s="106">
        <v>11180</v>
      </c>
      <c r="M1170" s="106">
        <v>0.72</v>
      </c>
      <c r="N1170" s="106">
        <v>0.5</v>
      </c>
      <c r="O1170" s="106">
        <v>0.95</v>
      </c>
      <c r="P1170" s="106">
        <v>7881</v>
      </c>
      <c r="Q1170" s="107">
        <v>4201.6730666666663</v>
      </c>
      <c r="R1170" s="106">
        <v>0.20636411082995501</v>
      </c>
      <c r="S1170" s="106">
        <v>18748.024133333332</v>
      </c>
      <c r="T1170" s="106">
        <v>18173.338400000001</v>
      </c>
      <c r="U1170" s="106">
        <v>16911.0128</v>
      </c>
      <c r="V1170" s="106">
        <v>0.95551996743802359</v>
      </c>
      <c r="W1170" s="106">
        <v>84268.034323177795</v>
      </c>
      <c r="X1170" s="110">
        <v>0.53437748124472273</v>
      </c>
      <c r="Y1170" s="106">
        <v>509.51253031527887</v>
      </c>
      <c r="Z1170" s="106">
        <v>18.18916734033953</v>
      </c>
      <c r="AA1170" s="106">
        <v>49953.759747932258</v>
      </c>
      <c r="AB1170" s="106">
        <v>603.70888528195189</v>
      </c>
      <c r="AC1170" s="106">
        <v>2.0018513221948089</v>
      </c>
      <c r="AD1170" s="106">
        <v>33.62023305084746</v>
      </c>
      <c r="AE1170" s="106">
        <v>82.744781410003938</v>
      </c>
      <c r="AF1170" s="106">
        <v>6.8762002948057857E-2</v>
      </c>
      <c r="AG1170" s="106">
        <v>18084</v>
      </c>
      <c r="AH1170" s="106">
        <v>18550.529733333333</v>
      </c>
      <c r="AI1170" s="106">
        <v>18822.8992</v>
      </c>
      <c r="AJ1170" s="106">
        <v>20919.653200000001</v>
      </c>
      <c r="AK1170" s="104">
        <v>16911.0128</v>
      </c>
      <c r="AL1170" s="119">
        <v>639023</v>
      </c>
      <c r="AM1170" s="118">
        <v>6864</v>
      </c>
      <c r="AN1170" s="118">
        <v>210089</v>
      </c>
      <c r="AO1170" s="118">
        <v>1392</v>
      </c>
      <c r="AP1170" s="118">
        <f t="shared" si="18"/>
        <v>630</v>
      </c>
    </row>
    <row r="1171" spans="1:42" ht="12.75">
      <c r="A1171" s="106">
        <v>2018</v>
      </c>
      <c r="B1171" s="106">
        <v>-213987</v>
      </c>
      <c r="C1171" s="106">
        <v>0</v>
      </c>
      <c r="D1171" s="106">
        <v>213987</v>
      </c>
      <c r="E1171" s="106" t="s">
        <v>1947</v>
      </c>
      <c r="F1171" s="106" t="s">
        <v>1302</v>
      </c>
      <c r="G1171" s="106" t="s">
        <v>104</v>
      </c>
      <c r="H1171" s="106">
        <v>6</v>
      </c>
      <c r="I1171" s="106" t="s">
        <v>3640</v>
      </c>
      <c r="J1171" s="106">
        <v>36320</v>
      </c>
      <c r="K1171" s="106">
        <v>23841</v>
      </c>
      <c r="L1171" s="106">
        <v>19023</v>
      </c>
      <c r="M1171" s="106">
        <v>0.3</v>
      </c>
      <c r="N1171" s="106">
        <v>0.71</v>
      </c>
      <c r="O1171" s="106">
        <v>0.99</v>
      </c>
      <c r="P1171" s="106">
        <v>24126</v>
      </c>
      <c r="Q1171" s="106">
        <v>20197.000380517504</v>
      </c>
      <c r="R1171" s="106">
        <v>0.57922597022231403</v>
      </c>
      <c r="S1171" s="106">
        <v>30527.124809741246</v>
      </c>
      <c r="T1171" s="106">
        <v>30319.047184170471</v>
      </c>
      <c r="U1171" s="106">
        <v>24909.10659779733</v>
      </c>
      <c r="V1171" s="106">
        <v>0.5890194339767848</v>
      </c>
      <c r="W1171" s="106">
        <v>78108.771008403361</v>
      </c>
      <c r="X1171" s="110">
        <v>0.4666226840540183</v>
      </c>
      <c r="Y1171" s="106">
        <v>441.36068702290078</v>
      </c>
      <c r="Z1171" s="106">
        <v>15.045801526717558</v>
      </c>
      <c r="AA1171" s="106">
        <v>88821.07481548356</v>
      </c>
      <c r="AB1171" s="106">
        <v>849.14104291047443</v>
      </c>
      <c r="AC1171" s="106">
        <v>1.1258589271492097</v>
      </c>
      <c r="AD1171" s="106">
        <v>27.927245168624481</v>
      </c>
      <c r="AE1171" s="106">
        <v>104.6010854816825</v>
      </c>
      <c r="AF1171" s="106">
        <v>5.3767280834352449E-2</v>
      </c>
      <c r="AG1171" s="106">
        <v>34050</v>
      </c>
      <c r="AH1171" s="106">
        <v>28329.982496194825</v>
      </c>
      <c r="AI1171" s="106">
        <v>30527.124809741246</v>
      </c>
      <c r="AJ1171" s="106">
        <v>31410.692541856926</v>
      </c>
      <c r="AK1171" s="104">
        <v>24976.077625570775</v>
      </c>
      <c r="AL1171" s="118"/>
      <c r="AM1171" s="118">
        <v>2452</v>
      </c>
      <c r="AN1171" s="118">
        <v>77091</v>
      </c>
      <c r="AO1171" s="118">
        <v>551</v>
      </c>
      <c r="AP1171" s="118">
        <f t="shared" si="18"/>
        <v>2270</v>
      </c>
    </row>
    <row r="1172" spans="1:42" ht="12.75">
      <c r="A1172" s="106">
        <v>2018</v>
      </c>
      <c r="B1172" s="106">
        <v>-198950</v>
      </c>
      <c r="C1172" s="106">
        <v>0</v>
      </c>
      <c r="D1172" s="106">
        <v>198950</v>
      </c>
      <c r="E1172" s="106" t="s">
        <v>1948</v>
      </c>
      <c r="F1172" s="106" t="s">
        <v>1949</v>
      </c>
      <c r="G1172" s="106" t="s">
        <v>90</v>
      </c>
      <c r="H1172" s="106">
        <v>7</v>
      </c>
      <c r="I1172" s="106" t="s">
        <v>3641</v>
      </c>
      <c r="J1172" s="106">
        <v>35916</v>
      </c>
      <c r="K1172" s="106">
        <v>25471</v>
      </c>
      <c r="L1172" s="106">
        <v>19910</v>
      </c>
      <c r="M1172" s="106">
        <v>0.34</v>
      </c>
      <c r="N1172" s="106">
        <v>0.64</v>
      </c>
      <c r="O1172" s="106">
        <v>0.99</v>
      </c>
      <c r="P1172" s="106">
        <v>18235</v>
      </c>
      <c r="Q1172" s="106">
        <v>12810.194540942928</v>
      </c>
      <c r="R1172" s="106">
        <v>0.40916909475600549</v>
      </c>
      <c r="S1172" s="106">
        <v>28661.523573200993</v>
      </c>
      <c r="T1172" s="106">
        <v>29139.939950372209</v>
      </c>
      <c r="U1172" s="106">
        <v>24303.529747698525</v>
      </c>
      <c r="V1172" s="106">
        <v>0.76110881675458864</v>
      </c>
      <c r="W1172" s="106">
        <v>70562.340563991325</v>
      </c>
      <c r="X1172" s="110">
        <v>0.55400055578472451</v>
      </c>
      <c r="Y1172" s="106">
        <v>352.27037773359842</v>
      </c>
      <c r="Z1172" s="106">
        <v>12.017892644135189</v>
      </c>
      <c r="AA1172" s="106">
        <v>82862.288395283467</v>
      </c>
      <c r="AB1172" s="106">
        <v>829.12793650298875</v>
      </c>
      <c r="AC1172" s="106">
        <v>1.2068216065064892</v>
      </c>
      <c r="AD1172" s="106">
        <v>32.526141992294995</v>
      </c>
      <c r="AE1172" s="106">
        <v>99.939086294416242</v>
      </c>
      <c r="AF1172" s="106">
        <v>5.469652723264426E-2</v>
      </c>
      <c r="AG1172" s="106">
        <v>35816</v>
      </c>
      <c r="AH1172" s="106">
        <v>23821.735483870969</v>
      </c>
      <c r="AI1172" s="106">
        <v>28661.523573200993</v>
      </c>
      <c r="AJ1172" s="106">
        <v>32504.119602977669</v>
      </c>
      <c r="AK1172" s="104">
        <v>24622.729032258063</v>
      </c>
      <c r="AL1172" s="118"/>
      <c r="AM1172" s="118">
        <v>1682</v>
      </c>
      <c r="AN1172" s="118">
        <v>59064</v>
      </c>
      <c r="AO1172" s="118">
        <v>404</v>
      </c>
      <c r="AP1172" s="118">
        <f t="shared" si="18"/>
        <v>100</v>
      </c>
    </row>
    <row r="1173" spans="1:42" ht="12.75">
      <c r="A1173" s="106">
        <v>2018</v>
      </c>
      <c r="B1173" s="106">
        <v>-175935</v>
      </c>
      <c r="C1173" s="106">
        <v>0</v>
      </c>
      <c r="D1173" s="106">
        <v>175935</v>
      </c>
      <c r="E1173" s="106" t="s">
        <v>1950</v>
      </c>
      <c r="F1173" s="106" t="s">
        <v>1951</v>
      </c>
      <c r="G1173" s="106" t="s">
        <v>107</v>
      </c>
      <c r="H1173" s="106">
        <v>4</v>
      </c>
      <c r="I1173" s="106" t="s">
        <v>24</v>
      </c>
      <c r="J1173" s="106">
        <v>2964</v>
      </c>
      <c r="K1173" s="106">
        <v>5961</v>
      </c>
      <c r="L1173" s="106">
        <v>5796</v>
      </c>
      <c r="M1173" s="106">
        <v>0.65</v>
      </c>
      <c r="N1173" s="106">
        <v>0.11</v>
      </c>
      <c r="O1173" s="106">
        <v>0.45</v>
      </c>
      <c r="P1173" s="106">
        <v>2532</v>
      </c>
      <c r="Q1173" s="106">
        <v>694.02702702702697</v>
      </c>
      <c r="R1173" s="106">
        <v>0.20246360017243192</v>
      </c>
      <c r="S1173" s="106">
        <v>12594.37331081081</v>
      </c>
      <c r="T1173" s="106">
        <v>13248.183108108107</v>
      </c>
      <c r="U1173" s="106">
        <v>10651.447635135135</v>
      </c>
      <c r="V1173" s="106">
        <v>0.25666775087829863</v>
      </c>
      <c r="W1173" s="106">
        <v>72202.754212091182</v>
      </c>
      <c r="X1173" s="110">
        <v>0.61926372769830595</v>
      </c>
      <c r="Y1173" s="106">
        <v>558.47798742138366</v>
      </c>
      <c r="Z1173" s="106">
        <v>18.616352201257861</v>
      </c>
      <c r="AA1173" s="106">
        <v>32237.510224948874</v>
      </c>
      <c r="AB1173" s="106">
        <v>355.05625126692041</v>
      </c>
      <c r="AC1173" s="106">
        <v>3.1019765267917365</v>
      </c>
      <c r="AD1173" s="106">
        <v>34.878744650499286</v>
      </c>
      <c r="AE1173" s="106">
        <v>90.795501022494889</v>
      </c>
      <c r="AF1173" s="106">
        <v>0.20179446486787633</v>
      </c>
      <c r="AG1173" s="106">
        <v>2700</v>
      </c>
      <c r="AH1173" s="106">
        <v>11678.136486486486</v>
      </c>
      <c r="AI1173" s="106">
        <v>11678.136486486486</v>
      </c>
      <c r="AJ1173" s="106">
        <v>12622.566554054054</v>
      </c>
      <c r="AK1173" s="104">
        <v>11778.900675675675</v>
      </c>
      <c r="AL1173" s="118">
        <v>15097759</v>
      </c>
      <c r="AM1173" s="118">
        <v>3555</v>
      </c>
      <c r="AN1173" s="118">
        <v>88798</v>
      </c>
      <c r="AO1173" s="118">
        <v>638</v>
      </c>
      <c r="AP1173" s="118">
        <f t="shared" si="18"/>
        <v>264</v>
      </c>
    </row>
    <row r="1174" spans="1:42" ht="12.75">
      <c r="A1174" s="106">
        <v>2018</v>
      </c>
      <c r="B1174" s="106">
        <v>-166850</v>
      </c>
      <c r="C1174" s="106">
        <v>0</v>
      </c>
      <c r="D1174" s="106">
        <v>166850</v>
      </c>
      <c r="E1174" s="106" t="s">
        <v>1952</v>
      </c>
      <c r="F1174" s="106" t="s">
        <v>1953</v>
      </c>
      <c r="G1174" s="106" t="s">
        <v>150</v>
      </c>
      <c r="H1174" s="106">
        <v>6</v>
      </c>
      <c r="I1174" s="106" t="s">
        <v>3640</v>
      </c>
      <c r="J1174" s="106">
        <v>39770</v>
      </c>
      <c r="K1174" s="106">
        <v>33981</v>
      </c>
      <c r="L1174" s="106">
        <v>26767</v>
      </c>
      <c r="M1174" s="106">
        <v>0.22</v>
      </c>
      <c r="N1174" s="106">
        <v>0.79</v>
      </c>
      <c r="O1174" s="106">
        <v>1</v>
      </c>
      <c r="P1174" s="106">
        <v>20111</v>
      </c>
      <c r="Q1174" s="106">
        <v>14477.585933861201</v>
      </c>
      <c r="R1174" s="106">
        <v>0.4275054257239066</v>
      </c>
      <c r="S1174" s="106">
        <v>29744.986958546808</v>
      </c>
      <c r="T1174" s="106">
        <v>28274.697251979505</v>
      </c>
      <c r="U1174" s="106">
        <v>22991.98139958474</v>
      </c>
      <c r="V1174" s="106">
        <v>0.84323669241537125</v>
      </c>
      <c r="W1174" s="106">
        <v>93203.578610152777</v>
      </c>
      <c r="X1174" s="110">
        <v>0.5191984370514996</v>
      </c>
      <c r="Y1174" s="106">
        <v>493.62225097024577</v>
      </c>
      <c r="Z1174" s="106">
        <v>16.664941785252264</v>
      </c>
      <c r="AA1174" s="106">
        <v>84963.483760599716</v>
      </c>
      <c r="AB1174" s="106">
        <v>776.22115048208877</v>
      </c>
      <c r="AC1174" s="106">
        <v>1.1769762205345586</v>
      </c>
      <c r="AD1174" s="106">
        <v>29.477422628107558</v>
      </c>
      <c r="AE1174" s="106">
        <v>109.4578313253012</v>
      </c>
      <c r="AF1174" s="106">
        <v>0.10367378589405472</v>
      </c>
      <c r="AG1174" s="106">
        <v>37910</v>
      </c>
      <c r="AH1174" s="106">
        <v>28236.813926408944</v>
      </c>
      <c r="AI1174" s="106">
        <v>29941.048905449465</v>
      </c>
      <c r="AJ1174" s="106">
        <v>30912.327200745225</v>
      </c>
      <c r="AK1174" s="104">
        <v>23221.442012109921</v>
      </c>
      <c r="AM1174" s="118">
        <v>3535</v>
      </c>
      <c r="AN1174" s="118">
        <v>127190</v>
      </c>
      <c r="AO1174" s="118">
        <v>790</v>
      </c>
      <c r="AP1174" s="118">
        <f t="shared" si="18"/>
        <v>1860</v>
      </c>
    </row>
    <row r="1175" spans="1:42" ht="12.75">
      <c r="A1175" s="106">
        <v>2018</v>
      </c>
      <c r="B1175" s="106">
        <v>-118772</v>
      </c>
      <c r="C1175" s="106">
        <v>0</v>
      </c>
      <c r="D1175" s="106">
        <v>118772</v>
      </c>
      <c r="E1175" s="106" t="s">
        <v>4145</v>
      </c>
      <c r="F1175" s="106" t="s">
        <v>1504</v>
      </c>
      <c r="G1175" s="106" t="s">
        <v>121</v>
      </c>
      <c r="H1175" s="106">
        <v>4</v>
      </c>
      <c r="I1175" s="106" t="s">
        <v>24</v>
      </c>
      <c r="J1175" s="106">
        <v>1230</v>
      </c>
      <c r="K1175" s="106">
        <v>9811</v>
      </c>
      <c r="L1175" s="106">
        <v>8264</v>
      </c>
      <c r="M1175" s="106">
        <v>0.6</v>
      </c>
      <c r="N1175" s="106">
        <v>0.03</v>
      </c>
      <c r="O1175" s="106">
        <v>0</v>
      </c>
      <c r="P1175" s="106"/>
      <c r="Q1175" s="106">
        <v>696.31000532197982</v>
      </c>
      <c r="R1175" s="106">
        <v>0.38563649999683153</v>
      </c>
      <c r="S1175" s="106">
        <v>14492.562533262373</v>
      </c>
      <c r="T1175" s="106">
        <v>9815.3456625864819</v>
      </c>
      <c r="U1175" s="106">
        <v>7414.7626397019694</v>
      </c>
      <c r="V1175" s="106">
        <v>0.14960725546514481</v>
      </c>
      <c r="W1175" s="106">
        <v>124235.8425925926</v>
      </c>
      <c r="X1175" s="110">
        <v>0.72750885978118185</v>
      </c>
      <c r="Y1175" s="106">
        <v>803.45130641330161</v>
      </c>
      <c r="Z1175" s="106">
        <v>26.779097387173394</v>
      </c>
      <c r="AA1175" s="106">
        <v>26462.182336182337</v>
      </c>
      <c r="AB1175" s="106">
        <v>247.13464182135857</v>
      </c>
      <c r="AC1175" s="106">
        <v>3.7789778155699483</v>
      </c>
      <c r="AD1175" s="106">
        <v>35.852911133810011</v>
      </c>
      <c r="AE1175" s="106">
        <v>107.07597340930674</v>
      </c>
      <c r="AF1175" s="106"/>
      <c r="AG1175" s="106">
        <v>1104</v>
      </c>
      <c r="AH1175" s="106">
        <v>13091.493613624269</v>
      </c>
      <c r="AI1175" s="106">
        <v>13091.493613624269</v>
      </c>
      <c r="AJ1175" s="106">
        <v>14500.463012240554</v>
      </c>
      <c r="AK1175" s="104">
        <v>9122.1522086216064</v>
      </c>
      <c r="AL1175" s="118">
        <v>29894856</v>
      </c>
      <c r="AM1175" s="118">
        <v>6952</v>
      </c>
      <c r="AN1175" s="118">
        <v>112751</v>
      </c>
      <c r="AO1175" s="118">
        <v>414</v>
      </c>
      <c r="AP1175" s="118">
        <f t="shared" si="18"/>
        <v>126</v>
      </c>
    </row>
    <row r="1176" spans="1:42" ht="12.75">
      <c r="A1176" s="106">
        <v>2018</v>
      </c>
      <c r="B1176" s="106">
        <v>-105154</v>
      </c>
      <c r="C1176" s="106">
        <v>0</v>
      </c>
      <c r="D1176" s="106">
        <v>105154</v>
      </c>
      <c r="E1176" s="106" t="s">
        <v>1954</v>
      </c>
      <c r="F1176" s="106" t="s">
        <v>192</v>
      </c>
      <c r="G1176" s="106" t="s">
        <v>147</v>
      </c>
      <c r="H1176" s="106">
        <v>4</v>
      </c>
      <c r="I1176" s="106" t="s">
        <v>24</v>
      </c>
      <c r="J1176" s="106">
        <v>2094</v>
      </c>
      <c r="K1176" s="106">
        <v>7949</v>
      </c>
      <c r="L1176" s="106">
        <v>6821</v>
      </c>
      <c r="M1176" s="106">
        <v>0.47</v>
      </c>
      <c r="N1176" s="106">
        <v>0.14000000000000001</v>
      </c>
      <c r="O1176" s="106">
        <v>0.31</v>
      </c>
      <c r="P1176" s="106">
        <v>1723</v>
      </c>
      <c r="Q1176" s="106">
        <v>426.81529493648861</v>
      </c>
      <c r="R1176" s="106">
        <v>0.12103846530860136</v>
      </c>
      <c r="S1176" s="106">
        <v>10840.770053941187</v>
      </c>
      <c r="T1176" s="106">
        <v>10517.603619279624</v>
      </c>
      <c r="U1176" s="106">
        <v>8687.0688445592023</v>
      </c>
      <c r="V1176" s="106">
        <v>0.35679040947441415</v>
      </c>
      <c r="W1176" s="106">
        <v>75325.818987341772</v>
      </c>
      <c r="X1176" s="110">
        <v>0.65632915710613215</v>
      </c>
      <c r="Y1176" s="106">
        <v>660.89633802816911</v>
      </c>
      <c r="Z1176" s="106">
        <v>22.075544174135725</v>
      </c>
      <c r="AA1176" s="106">
        <v>22554.589857547657</v>
      </c>
      <c r="AB1176" s="106">
        <v>290.16921563522277</v>
      </c>
      <c r="AC1176" s="106">
        <v>4.4336873617117023</v>
      </c>
      <c r="AD1176" s="106">
        <v>40.278409607860979</v>
      </c>
      <c r="AE1176" s="106">
        <v>77.729092688803561</v>
      </c>
      <c r="AF1176" s="106"/>
      <c r="AG1176" s="106">
        <v>2064</v>
      </c>
      <c r="AH1176" s="106">
        <v>9511.3870715155736</v>
      </c>
      <c r="AI1176" s="106">
        <v>9650.1043152949369</v>
      </c>
      <c r="AJ1176" s="106">
        <v>10840.781364190012</v>
      </c>
      <c r="AK1176" s="104">
        <v>9966.8699321385066</v>
      </c>
      <c r="AL1176" s="119">
        <v>70202673</v>
      </c>
      <c r="AM1176" s="118">
        <v>20424</v>
      </c>
      <c r="AN1176" s="118">
        <v>344106.69333333336</v>
      </c>
      <c r="AO1176" s="118">
        <v>2207</v>
      </c>
      <c r="AP1176" s="118">
        <f t="shared" si="18"/>
        <v>30</v>
      </c>
    </row>
    <row r="1177" spans="1:42" ht="12.75">
      <c r="A1177" s="106">
        <v>2018</v>
      </c>
      <c r="B1177" s="106">
        <v>-173993</v>
      </c>
      <c r="C1177" s="106">
        <v>0</v>
      </c>
      <c r="D1177" s="106">
        <v>173993</v>
      </c>
      <c r="E1177" s="106" t="s">
        <v>1955</v>
      </c>
      <c r="F1177" s="106" t="s">
        <v>1956</v>
      </c>
      <c r="G1177" s="106" t="s">
        <v>113</v>
      </c>
      <c r="H1177" s="106">
        <v>4</v>
      </c>
      <c r="I1177" s="106" t="s">
        <v>24</v>
      </c>
      <c r="J1177" s="106">
        <v>5329</v>
      </c>
      <c r="K1177" s="106">
        <v>6540</v>
      </c>
      <c r="L1177" s="106">
        <v>5523</v>
      </c>
      <c r="M1177" s="106">
        <v>0.66</v>
      </c>
      <c r="N1177" s="106">
        <v>0.61</v>
      </c>
      <c r="O1177" s="106">
        <v>0</v>
      </c>
      <c r="P1177" s="106"/>
      <c r="Q1177" s="106">
        <v>8.7829360100376412</v>
      </c>
      <c r="R1177" s="106">
        <v>1.7658930373360244E-3</v>
      </c>
      <c r="S1177" s="106">
        <v>14997.490589711419</v>
      </c>
      <c r="T1177" s="106">
        <v>17909.66122961104</v>
      </c>
      <c r="U1177" s="106">
        <v>13924.582854760121</v>
      </c>
      <c r="V1177" s="106">
        <v>0.35655418246605558</v>
      </c>
      <c r="W1177" s="106">
        <v>139214.28571428571</v>
      </c>
      <c r="X1177" s="110">
        <v>0.68270982205408437</v>
      </c>
      <c r="Y1177" s="106">
        <v>652.11818181818182</v>
      </c>
      <c r="Z1177" s="106">
        <v>21.736363636363638</v>
      </c>
      <c r="AA1177" s="106">
        <v>45483.166128048426</v>
      </c>
      <c r="AB1177" s="106">
        <v>464.13335014193535</v>
      </c>
      <c r="AC1177" s="106">
        <v>2.1986156310770171</v>
      </c>
      <c r="AD1177" s="106">
        <v>29.938650306748464</v>
      </c>
      <c r="AE1177" s="106">
        <v>97.995901639344268</v>
      </c>
      <c r="AF1177" s="106">
        <v>-0.30092718843741478</v>
      </c>
      <c r="AG1177" s="106">
        <v>4729</v>
      </c>
      <c r="AH1177" s="106">
        <v>15232.120451693852</v>
      </c>
      <c r="AI1177" s="106">
        <v>15263.488080301129</v>
      </c>
      <c r="AJ1177" s="106">
        <v>15112.923462986199</v>
      </c>
      <c r="AK1177" s="104">
        <v>14452.948557089085</v>
      </c>
      <c r="AL1177" s="118">
        <v>5624000</v>
      </c>
      <c r="AM1177" s="118">
        <v>1248</v>
      </c>
      <c r="AN1177" s="118">
        <v>23911</v>
      </c>
      <c r="AO1177" s="118">
        <v>120</v>
      </c>
      <c r="AP1177" s="118">
        <f t="shared" si="18"/>
        <v>600</v>
      </c>
    </row>
    <row r="1178" spans="1:42" ht="12.75">
      <c r="A1178" s="106">
        <v>2018</v>
      </c>
      <c r="B1178" s="106">
        <v>-188261</v>
      </c>
      <c r="C1178" s="106">
        <v>0</v>
      </c>
      <c r="D1178" s="106">
        <v>188261</v>
      </c>
      <c r="E1178" s="106" t="s">
        <v>1957</v>
      </c>
      <c r="F1178" s="106" t="s">
        <v>1958</v>
      </c>
      <c r="G1178" s="106" t="s">
        <v>674</v>
      </c>
      <c r="H1178" s="106">
        <v>4</v>
      </c>
      <c r="I1178" s="106" t="s">
        <v>24</v>
      </c>
      <c r="J1178" s="106">
        <v>1812</v>
      </c>
      <c r="K1178" s="106">
        <v>8418</v>
      </c>
      <c r="L1178" s="106">
        <v>7478</v>
      </c>
      <c r="M1178" s="106">
        <v>0.65</v>
      </c>
      <c r="N1178" s="106">
        <v>7.0000000000000007E-2</v>
      </c>
      <c r="O1178" s="106">
        <v>0.63</v>
      </c>
      <c r="P1178" s="106">
        <v>876</v>
      </c>
      <c r="Q1178" s="106">
        <v>142.94572025052193</v>
      </c>
      <c r="R1178" s="106">
        <v>8.0508748599318739E-2</v>
      </c>
      <c r="S1178" s="106">
        <v>14590.352818371608</v>
      </c>
      <c r="T1178" s="106">
        <v>19348.13152400835</v>
      </c>
      <c r="U1178" s="106">
        <v>9501.9176515378331</v>
      </c>
      <c r="V1178" s="106">
        <v>0.17181632287499363</v>
      </c>
      <c r="W1178" s="106">
        <v>67825.696335078537</v>
      </c>
      <c r="X1178" s="110">
        <v>0.46594196760704182</v>
      </c>
      <c r="Y1178" s="106">
        <v>898.3125</v>
      </c>
      <c r="Z1178" s="106">
        <v>29.9375</v>
      </c>
      <c r="AA1178" s="106">
        <v>36122.369484814459</v>
      </c>
      <c r="AB1178" s="106">
        <v>316.66447889004536</v>
      </c>
      <c r="AC1178" s="106">
        <v>2.7683676742756083</v>
      </c>
      <c r="AD1178" s="106">
        <v>26.25</v>
      </c>
      <c r="AE1178" s="106">
        <v>114.07142857142857</v>
      </c>
      <c r="AF1178" s="106">
        <v>-9.660872338254349E-2</v>
      </c>
      <c r="AG1178" s="106">
        <v>1392</v>
      </c>
      <c r="AH1178" s="106">
        <v>13910.521920668058</v>
      </c>
      <c r="AI1178" s="106">
        <v>13958.041753653444</v>
      </c>
      <c r="AJ1178" s="106">
        <v>14622.845511482255</v>
      </c>
      <c r="AK1178" s="104">
        <v>10838.95407098121</v>
      </c>
      <c r="AL1178" s="118">
        <v>4393739</v>
      </c>
      <c r="AM1178" s="118">
        <v>1005</v>
      </c>
      <c r="AN1178" s="118">
        <v>14373</v>
      </c>
      <c r="AO1178" s="118">
        <v>49</v>
      </c>
      <c r="AP1178" s="118">
        <f t="shared" si="18"/>
        <v>420</v>
      </c>
    </row>
    <row r="1179" spans="1:42" ht="12.75">
      <c r="A1179" s="106">
        <v>2018</v>
      </c>
      <c r="B1179" s="106">
        <v>-213996</v>
      </c>
      <c r="C1179" s="106">
        <v>0</v>
      </c>
      <c r="D1179" s="106">
        <v>213996</v>
      </c>
      <c r="E1179" s="106" t="s">
        <v>1959</v>
      </c>
      <c r="F1179" s="106" t="s">
        <v>1960</v>
      </c>
      <c r="G1179" s="106" t="s">
        <v>104</v>
      </c>
      <c r="H1179" s="106">
        <v>7</v>
      </c>
      <c r="I1179" s="106" t="s">
        <v>3641</v>
      </c>
      <c r="J1179" s="106">
        <v>34160</v>
      </c>
      <c r="K1179" s="106">
        <v>27976</v>
      </c>
      <c r="L1179" s="106">
        <v>20953</v>
      </c>
      <c r="M1179" s="106">
        <v>0.24</v>
      </c>
      <c r="N1179" s="106">
        <v>0.72</v>
      </c>
      <c r="O1179" s="106">
        <v>1</v>
      </c>
      <c r="P1179" s="106">
        <v>17177</v>
      </c>
      <c r="Q1179" s="106">
        <v>12172.673699851412</v>
      </c>
      <c r="R1179" s="106">
        <v>0.41294762363084803</v>
      </c>
      <c r="S1179" s="106">
        <v>28867.769390787518</v>
      </c>
      <c r="T1179" s="106">
        <v>30223.422882615156</v>
      </c>
      <c r="U1179" s="106">
        <v>24374.579214741894</v>
      </c>
      <c r="V1179" s="106">
        <v>0.7099548535701562</v>
      </c>
      <c r="W1179" s="106">
        <v>77444.536585365859</v>
      </c>
      <c r="X1179" s="110">
        <v>0.56197685669689801</v>
      </c>
      <c r="Y1179" s="106">
        <v>370.16358839050133</v>
      </c>
      <c r="Z1179" s="106">
        <v>13.317941952506597</v>
      </c>
      <c r="AA1179" s="106">
        <v>99418.738251644216</v>
      </c>
      <c r="AB1179" s="106">
        <v>876.96154154484725</v>
      </c>
      <c r="AC1179" s="106">
        <v>1.0058466015418996</v>
      </c>
      <c r="AD1179" s="106">
        <v>27.527527527527528</v>
      </c>
      <c r="AE1179" s="106">
        <v>113.36727272727273</v>
      </c>
      <c r="AF1179" s="106">
        <v>2.4655421980113949E-2</v>
      </c>
      <c r="AG1179" s="106">
        <v>33320</v>
      </c>
      <c r="AH1179" s="106">
        <v>25104.862407132245</v>
      </c>
      <c r="AI1179" s="106">
        <v>28867.769390787518</v>
      </c>
      <c r="AJ1179" s="106">
        <v>32009.149182763744</v>
      </c>
      <c r="AK1179" s="105">
        <v>25409.606240713223</v>
      </c>
      <c r="AM1179" s="119">
        <v>2759</v>
      </c>
      <c r="AN1179" s="119">
        <v>93528</v>
      </c>
      <c r="AO1179" s="119">
        <v>645</v>
      </c>
      <c r="AP1179" s="118">
        <f t="shared" si="18"/>
        <v>840</v>
      </c>
    </row>
    <row r="1180" spans="1:42" ht="12.75">
      <c r="A1180" s="106">
        <v>2018</v>
      </c>
      <c r="B1180" s="106">
        <v>-198969</v>
      </c>
      <c r="C1180" s="106">
        <v>0</v>
      </c>
      <c r="D1180" s="106">
        <v>198969</v>
      </c>
      <c r="E1180" s="106" t="s">
        <v>1961</v>
      </c>
      <c r="F1180" s="106" t="s">
        <v>1214</v>
      </c>
      <c r="G1180" s="106" t="s">
        <v>90</v>
      </c>
      <c r="H1180" s="106">
        <v>6</v>
      </c>
      <c r="I1180" s="106" t="s">
        <v>3640</v>
      </c>
      <c r="J1180" s="106">
        <v>32860</v>
      </c>
      <c r="K1180" s="106">
        <v>31287</v>
      </c>
      <c r="L1180" s="106">
        <v>30151</v>
      </c>
      <c r="M1180" s="106">
        <v>0.48</v>
      </c>
      <c r="N1180" s="106">
        <v>0.74</v>
      </c>
      <c r="O1180" s="106">
        <v>0.99</v>
      </c>
      <c r="P1180" s="106">
        <v>17995</v>
      </c>
      <c r="Q1180" s="106">
        <v>12767.589840075259</v>
      </c>
      <c r="R1180" s="106">
        <v>0.44554278888268656</v>
      </c>
      <c r="S1180" s="106">
        <v>24187.608184383818</v>
      </c>
      <c r="T1180" s="106">
        <v>24623.827845719661</v>
      </c>
      <c r="U1180" s="106">
        <v>20403.578551269991</v>
      </c>
      <c r="V1180" s="106">
        <v>0.77871976048323843</v>
      </c>
      <c r="W1180" s="106">
        <v>61169.549899531143</v>
      </c>
      <c r="X1180" s="110">
        <v>0.5815070863643117</v>
      </c>
      <c r="Y1180" s="106">
        <v>314.13781512605038</v>
      </c>
      <c r="Z1180" s="106">
        <v>10.719327731092436</v>
      </c>
      <c r="AA1180" s="106">
        <v>87809.732793522271</v>
      </c>
      <c r="AB1180" s="106">
        <v>696.23151001540828</v>
      </c>
      <c r="AC1180" s="106">
        <v>1.1388259230345479</v>
      </c>
      <c r="AD1180" s="106">
        <v>23.401231643770725</v>
      </c>
      <c r="AE1180" s="106">
        <v>126.12145748987854</v>
      </c>
      <c r="AF1180" s="106">
        <v>1.1701498675092886E-2</v>
      </c>
      <c r="AG1180" s="106">
        <v>32504</v>
      </c>
      <c r="AH1180" s="106">
        <v>22016.757290686735</v>
      </c>
      <c r="AI1180" s="106">
        <v>24251.19426152399</v>
      </c>
      <c r="AJ1180" s="106">
        <v>25034.454844778928</v>
      </c>
      <c r="AK1180" s="104">
        <v>20403.578551269991</v>
      </c>
      <c r="AM1180" s="118">
        <v>1933</v>
      </c>
      <c r="AN1180" s="118">
        <v>62304</v>
      </c>
      <c r="AO1180" s="118">
        <v>382</v>
      </c>
      <c r="AP1180" s="118">
        <f t="shared" si="18"/>
        <v>356</v>
      </c>
    </row>
    <row r="1181" spans="1:42" ht="12.75">
      <c r="A1181" s="106">
        <v>2018</v>
      </c>
      <c r="B1181" s="106">
        <v>-190114</v>
      </c>
      <c r="C1181" s="106">
        <v>0</v>
      </c>
      <c r="D1181" s="106">
        <v>190114</v>
      </c>
      <c r="E1181" s="106" t="s">
        <v>1962</v>
      </c>
      <c r="F1181" s="106" t="s">
        <v>290</v>
      </c>
      <c r="G1181" s="106" t="s">
        <v>69</v>
      </c>
      <c r="H1181" s="106">
        <v>6</v>
      </c>
      <c r="I1181" s="106" t="s">
        <v>3640</v>
      </c>
      <c r="J1181" s="106">
        <v>19180</v>
      </c>
      <c r="K1181" s="106">
        <v>20256</v>
      </c>
      <c r="L1181" s="106">
        <v>21450</v>
      </c>
      <c r="M1181" s="106">
        <v>0.74</v>
      </c>
      <c r="N1181" s="106">
        <v>0.69</v>
      </c>
      <c r="O1181" s="106">
        <v>0.78</v>
      </c>
      <c r="P1181" s="106">
        <v>2285</v>
      </c>
      <c r="Q1181" s="106">
        <v>2189.0136494252874</v>
      </c>
      <c r="R1181" s="106">
        <v>0.12472168843414165</v>
      </c>
      <c r="S1181" s="106">
        <v>19627.380747126437</v>
      </c>
      <c r="T1181" s="106">
        <v>19936.529454022988</v>
      </c>
      <c r="U1181" s="106">
        <v>19936.529454022988</v>
      </c>
      <c r="V1181" s="106">
        <v>0.77055403086137331</v>
      </c>
      <c r="W1181" s="106">
        <v>72542.954971857398</v>
      </c>
      <c r="X1181" s="110">
        <v>0.46442159166830049</v>
      </c>
      <c r="Y1181" s="106">
        <v>395.35932203389831</v>
      </c>
      <c r="Z1181" s="106">
        <v>14.155932203389831</v>
      </c>
      <c r="AA1181" s="106">
        <v>53678.237911025142</v>
      </c>
      <c r="AB1181" s="106">
        <v>713.83206008694083</v>
      </c>
      <c r="AC1181" s="106">
        <v>1.8629523600561537</v>
      </c>
      <c r="AD1181" s="106">
        <v>50.439024390243901</v>
      </c>
      <c r="AE1181" s="106">
        <v>75.197292069632496</v>
      </c>
      <c r="AF1181" s="106">
        <v>3.2437811694016418E-2</v>
      </c>
      <c r="AG1181" s="106">
        <v>18330</v>
      </c>
      <c r="AH1181" s="106">
        <v>17247.143678160919</v>
      </c>
      <c r="AI1181" s="106">
        <v>17438.36709770115</v>
      </c>
      <c r="AJ1181" s="106">
        <v>20605.438936781607</v>
      </c>
      <c r="AK1181" s="104">
        <v>19936.529454022988</v>
      </c>
      <c r="AL1181" s="119">
        <v>107047</v>
      </c>
      <c r="AM1181" s="118">
        <v>777</v>
      </c>
      <c r="AN1181" s="118">
        <v>38877</v>
      </c>
      <c r="AO1181" s="118">
        <v>267</v>
      </c>
      <c r="AP1181" s="118">
        <f t="shared" si="18"/>
        <v>850</v>
      </c>
    </row>
    <row r="1182" spans="1:42" ht="12.75">
      <c r="A1182" s="106">
        <v>2018</v>
      </c>
      <c r="B1182" s="106">
        <v>1903</v>
      </c>
      <c r="C1182" s="106">
        <v>1</v>
      </c>
      <c r="D1182" s="106">
        <v>177995</v>
      </c>
      <c r="E1182" s="106" t="s">
        <v>3907</v>
      </c>
      <c r="F1182" s="106" t="s">
        <v>263</v>
      </c>
      <c r="G1182" s="106" t="s">
        <v>264</v>
      </c>
      <c r="H1182" s="106">
        <v>4</v>
      </c>
      <c r="I1182" s="106" t="s">
        <v>24</v>
      </c>
      <c r="J1182" s="106">
        <v>3120</v>
      </c>
      <c r="K1182" s="106">
        <v>6475</v>
      </c>
      <c r="L1182" s="106">
        <v>5608</v>
      </c>
      <c r="M1182" s="106">
        <v>0.46</v>
      </c>
      <c r="N1182" s="106">
        <v>0.06</v>
      </c>
      <c r="O1182" s="106">
        <v>0.1</v>
      </c>
      <c r="P1182" s="107">
        <v>1980</v>
      </c>
      <c r="Q1182" s="106">
        <v>203.61774061619559</v>
      </c>
      <c r="R1182" s="106">
        <v>4.7751127010112665E-2</v>
      </c>
      <c r="S1182" s="106">
        <v>12623.088884849587</v>
      </c>
      <c r="T1182" s="106">
        <v>11675.612196673634</v>
      </c>
      <c r="U1182" s="106">
        <v>10438.511645719616</v>
      </c>
      <c r="V1182" s="106">
        <v>0.38899487113827114</v>
      </c>
      <c r="W1182" s="106">
        <v>51667.069498069497</v>
      </c>
      <c r="X1182" s="110">
        <v>0.62499144039289667</v>
      </c>
      <c r="Y1182" s="106">
        <v>483.05121951219519</v>
      </c>
      <c r="Z1182" s="106">
        <v>16.101951219512198</v>
      </c>
      <c r="AA1182" s="106">
        <v>30644.328612020527</v>
      </c>
      <c r="AB1182" s="106">
        <v>347.9556588086491</v>
      </c>
      <c r="AC1182" s="106">
        <v>3.2632465623924305</v>
      </c>
      <c r="AD1182" s="106">
        <v>39.70338983050847</v>
      </c>
      <c r="AE1182" s="106">
        <v>88.069637139807895</v>
      </c>
      <c r="AF1182" s="106">
        <v>0.10269849123688746</v>
      </c>
      <c r="AG1182" s="106">
        <v>2880</v>
      </c>
      <c r="AH1182" s="106">
        <v>12429.457693356357</v>
      </c>
      <c r="AI1182" s="106">
        <v>12429.457693356357</v>
      </c>
      <c r="AJ1182" s="106">
        <v>12740.45669362901</v>
      </c>
      <c r="AK1182" s="104">
        <v>11547.513132781969</v>
      </c>
      <c r="AL1182" s="119">
        <v>66645296</v>
      </c>
      <c r="AM1182" s="118">
        <v>16788</v>
      </c>
      <c r="AN1182" s="118">
        <v>330085</v>
      </c>
      <c r="AO1182" s="118">
        <v>1952</v>
      </c>
      <c r="AP1182" s="118">
        <f t="shared" si="18"/>
        <v>240</v>
      </c>
    </row>
    <row r="1183" spans="1:42" ht="12.75">
      <c r="A1183" s="106">
        <v>2018</v>
      </c>
      <c r="B1183" s="106">
        <v>-181303</v>
      </c>
      <c r="C1183" s="106">
        <v>0</v>
      </c>
      <c r="D1183" s="106">
        <v>181303</v>
      </c>
      <c r="E1183" s="106" t="s">
        <v>3908</v>
      </c>
      <c r="F1183" s="106" t="s">
        <v>835</v>
      </c>
      <c r="G1183" s="106" t="s">
        <v>323</v>
      </c>
      <c r="H1183" s="106">
        <v>4</v>
      </c>
      <c r="I1183" s="106" t="s">
        <v>24</v>
      </c>
      <c r="J1183" s="106">
        <v>2970</v>
      </c>
      <c r="K1183" s="106">
        <v>4863</v>
      </c>
      <c r="L1183" s="106">
        <v>3257</v>
      </c>
      <c r="M1183" s="106">
        <v>0.44</v>
      </c>
      <c r="N1183" s="106">
        <v>0.18</v>
      </c>
      <c r="O1183" s="106">
        <v>0.34</v>
      </c>
      <c r="P1183" s="106">
        <v>1921</v>
      </c>
      <c r="Q1183" s="107">
        <v>219.01634395169685</v>
      </c>
      <c r="R1183" s="106">
        <v>7.4068505034819612E-2</v>
      </c>
      <c r="S1183" s="106">
        <v>12675.94305642307</v>
      </c>
      <c r="T1183" s="106">
        <v>13176.686966479283</v>
      </c>
      <c r="U1183" s="106">
        <v>11944.077035186341</v>
      </c>
      <c r="V1183" s="106">
        <v>0.22922881360393485</v>
      </c>
      <c r="W1183" s="106">
        <v>73207.253625332945</v>
      </c>
      <c r="X1183" s="110">
        <v>0.6514367282925877</v>
      </c>
      <c r="Y1183" s="106">
        <v>776.0861759425494</v>
      </c>
      <c r="Z1183" s="106">
        <v>17.245960502692999</v>
      </c>
      <c r="AA1183" s="106">
        <v>48411.309704641353</v>
      </c>
      <c r="AB1183" s="106">
        <v>265.41779402239291</v>
      </c>
      <c r="AC1183" s="106">
        <v>2.0656330227399877</v>
      </c>
      <c r="AD1183" s="106">
        <v>27.506963788300837</v>
      </c>
      <c r="AE1183" s="106">
        <v>182.39662447257385</v>
      </c>
      <c r="AF1183" s="106">
        <v>0.1034056654310386</v>
      </c>
      <c r="AG1183" s="106">
        <v>2745</v>
      </c>
      <c r="AH1183" s="106">
        <v>11689.041536539662</v>
      </c>
      <c r="AI1183" s="106">
        <v>11689.041536539662</v>
      </c>
      <c r="AJ1183" s="106">
        <v>12742.795336248179</v>
      </c>
      <c r="AK1183" s="104">
        <v>13128.525921299188</v>
      </c>
      <c r="AL1183" s="118">
        <v>74727919</v>
      </c>
      <c r="AM1183" s="118">
        <v>14954</v>
      </c>
      <c r="AN1183" s="118">
        <v>432280</v>
      </c>
      <c r="AO1183" s="118">
        <v>1223</v>
      </c>
      <c r="AP1183" s="118">
        <f t="shared" si="18"/>
        <v>225</v>
      </c>
    </row>
    <row r="1184" spans="1:42" ht="12.75">
      <c r="A1184" s="106">
        <v>2018</v>
      </c>
      <c r="B1184" s="106">
        <v>-174020</v>
      </c>
      <c r="C1184" s="106">
        <v>0</v>
      </c>
      <c r="D1184" s="106">
        <v>174020</v>
      </c>
      <c r="E1184" s="106" t="s">
        <v>1963</v>
      </c>
      <c r="F1184" s="106" t="s">
        <v>366</v>
      </c>
      <c r="G1184" s="106" t="s">
        <v>113</v>
      </c>
      <c r="H1184" s="106">
        <v>2</v>
      </c>
      <c r="I1184" s="106" t="s">
        <v>25</v>
      </c>
      <c r="J1184" s="106">
        <v>7859</v>
      </c>
      <c r="K1184" s="106">
        <v>14900</v>
      </c>
      <c r="L1184" s="106">
        <v>14297</v>
      </c>
      <c r="M1184" s="106">
        <v>0.75</v>
      </c>
      <c r="N1184" s="106">
        <v>0.39</v>
      </c>
      <c r="O1184" s="106">
        <v>0.04</v>
      </c>
      <c r="P1184" s="106">
        <v>1515</v>
      </c>
      <c r="Q1184" s="106">
        <v>215.13676791407954</v>
      </c>
      <c r="R1184" s="106">
        <v>2.6154191402982637E-2</v>
      </c>
      <c r="S1184" s="106">
        <v>15555.126699110589</v>
      </c>
      <c r="T1184" s="106">
        <v>16331.767075012585</v>
      </c>
      <c r="U1184" s="106">
        <v>13939.483420764409</v>
      </c>
      <c r="V1184" s="106">
        <v>0.57466779807151303</v>
      </c>
      <c r="W1184" s="106">
        <v>110334.22032996274</v>
      </c>
      <c r="X1184" s="110">
        <v>0.71008312697156828</v>
      </c>
      <c r="Y1184" s="106">
        <v>607.6193771626298</v>
      </c>
      <c r="Z1184" s="106">
        <v>20.619377162629757</v>
      </c>
      <c r="AA1184" s="106">
        <v>36320.674116456103</v>
      </c>
      <c r="AB1184" s="106">
        <v>473.03209362270991</v>
      </c>
      <c r="AC1184" s="106">
        <v>2.7532528630764643</v>
      </c>
      <c r="AD1184" s="106">
        <v>44.790442616529575</v>
      </c>
      <c r="AE1184" s="106">
        <v>76.78268473983384</v>
      </c>
      <c r="AF1184" s="106">
        <v>-7.5430055176890623E-2</v>
      </c>
      <c r="AG1184" s="106">
        <v>6826</v>
      </c>
      <c r="AH1184" s="106">
        <v>15828.998154052693</v>
      </c>
      <c r="AI1184" s="106">
        <v>16098.003020641047</v>
      </c>
      <c r="AJ1184" s="106">
        <v>15649.605638529954</v>
      </c>
      <c r="AK1184" s="104">
        <v>14551.602617888908</v>
      </c>
      <c r="AL1184" s="119">
        <v>32301000</v>
      </c>
      <c r="AM1184" s="118">
        <v>7317</v>
      </c>
      <c r="AN1184" s="118">
        <v>175602</v>
      </c>
      <c r="AO1184" s="118">
        <v>2064</v>
      </c>
      <c r="AP1184" s="118">
        <f t="shared" si="18"/>
        <v>1033</v>
      </c>
    </row>
    <row r="1185" spans="1:42" ht="12.75">
      <c r="A1185" s="106">
        <v>2018</v>
      </c>
      <c r="B1185" s="106">
        <v>-127565</v>
      </c>
      <c r="C1185" s="106">
        <v>0</v>
      </c>
      <c r="D1185" s="106">
        <v>127565</v>
      </c>
      <c r="E1185" s="106" t="s">
        <v>1964</v>
      </c>
      <c r="F1185" s="106" t="s">
        <v>912</v>
      </c>
      <c r="G1185" s="106" t="s">
        <v>66</v>
      </c>
      <c r="H1185" s="106">
        <v>2</v>
      </c>
      <c r="I1185" s="106" t="s">
        <v>25</v>
      </c>
      <c r="J1185" s="106">
        <v>7352</v>
      </c>
      <c r="K1185" s="106">
        <v>15248</v>
      </c>
      <c r="L1185" s="106">
        <v>13488</v>
      </c>
      <c r="M1185" s="106">
        <v>0.42</v>
      </c>
      <c r="N1185" s="106">
        <v>0.36</v>
      </c>
      <c r="O1185" s="106">
        <v>0.21</v>
      </c>
      <c r="P1185" s="106">
        <v>2737</v>
      </c>
      <c r="Q1185" s="106">
        <v>605.76246278583642</v>
      </c>
      <c r="R1185" s="106">
        <v>5.7252736356783004E-2</v>
      </c>
      <c r="S1185" s="106">
        <v>12999.468170013302</v>
      </c>
      <c r="T1185" s="106">
        <v>17451.097675302462</v>
      </c>
      <c r="U1185" s="106">
        <v>10951.801108902755</v>
      </c>
      <c r="V1185" s="106">
        <v>0.9107849423774752</v>
      </c>
      <c r="W1185" s="106">
        <v>124529.6711721225</v>
      </c>
      <c r="X1185" s="110">
        <v>0.71342645832568585</v>
      </c>
      <c r="Y1185" s="106">
        <v>540.87964737447294</v>
      </c>
      <c r="Z1185" s="106">
        <v>18.152932157914908</v>
      </c>
      <c r="AA1185" s="106">
        <v>50613.607759440216</v>
      </c>
      <c r="AB1185" s="106">
        <v>367.56291996183506</v>
      </c>
      <c r="AC1185" s="106">
        <v>1.9757532495072623</v>
      </c>
      <c r="AD1185" s="106">
        <v>21.336664584634605</v>
      </c>
      <c r="AE1185" s="106">
        <v>137.7005269320843</v>
      </c>
      <c r="AF1185" s="106">
        <v>0.72309903993817393</v>
      </c>
      <c r="AG1185" s="106">
        <v>6062</v>
      </c>
      <c r="AH1185" s="106">
        <v>13726.277950212199</v>
      </c>
      <c r="AI1185" s="106">
        <v>13950.704377019067</v>
      </c>
      <c r="AJ1185" s="106">
        <v>13047.864952175842</v>
      </c>
      <c r="AK1185" s="104">
        <v>11373.361563311586</v>
      </c>
      <c r="AL1185" s="118"/>
      <c r="AM1185" s="118">
        <v>19666</v>
      </c>
      <c r="AN1185" s="118">
        <v>470385</v>
      </c>
      <c r="AO1185" s="118">
        <v>3100</v>
      </c>
      <c r="AP1185" s="118">
        <f t="shared" si="18"/>
        <v>1290</v>
      </c>
    </row>
    <row r="1186" spans="1:42" ht="12.75">
      <c r="A1186" s="106">
        <v>2018</v>
      </c>
      <c r="B1186" s="106">
        <v>-135717</v>
      </c>
      <c r="C1186" s="106">
        <v>0</v>
      </c>
      <c r="D1186" s="106">
        <v>135717</v>
      </c>
      <c r="E1186" s="106" t="s">
        <v>1965</v>
      </c>
      <c r="F1186" s="106" t="s">
        <v>292</v>
      </c>
      <c r="G1186" s="106" t="s">
        <v>258</v>
      </c>
      <c r="H1186" s="106">
        <v>4</v>
      </c>
      <c r="I1186" s="106" t="s">
        <v>24</v>
      </c>
      <c r="J1186" s="106">
        <v>2838</v>
      </c>
      <c r="K1186" s="106">
        <v>6393</v>
      </c>
      <c r="L1186" s="106">
        <v>6014</v>
      </c>
      <c r="M1186" s="106">
        <v>0.74</v>
      </c>
      <c r="N1186" s="106">
        <v>0.03</v>
      </c>
      <c r="O1186" s="106">
        <v>0.19</v>
      </c>
      <c r="P1186" s="106">
        <v>2559</v>
      </c>
      <c r="Q1186" s="106">
        <v>440.38028955621428</v>
      </c>
      <c r="R1186" s="106">
        <v>0.11522500512953522</v>
      </c>
      <c r="S1186" s="106">
        <v>10466.99757271126</v>
      </c>
      <c r="T1186" s="106">
        <v>10795.096253812777</v>
      </c>
      <c r="U1186" s="106">
        <v>8280.6566501020206</v>
      </c>
      <c r="V1186" s="106">
        <v>0.40836564578911794</v>
      </c>
      <c r="W1186" s="106">
        <v>55733.324699092002</v>
      </c>
      <c r="X1186" s="110">
        <v>0.52518529263760394</v>
      </c>
      <c r="Y1186" s="106">
        <v>964.48039704524467</v>
      </c>
      <c r="Z1186" s="106">
        <v>32.239612188365648</v>
      </c>
      <c r="AA1186" s="106">
        <v>31788.380447666317</v>
      </c>
      <c r="AB1186" s="106">
        <v>276.7968741326078</v>
      </c>
      <c r="AC1186" s="106">
        <v>3.1458035480804529</v>
      </c>
      <c r="AD1186" s="106">
        <v>33.07153181161199</v>
      </c>
      <c r="AE1186" s="106">
        <v>114.84371182760232</v>
      </c>
      <c r="AF1186" s="106">
        <v>3.5121541917818112E-2</v>
      </c>
      <c r="AG1186" s="106">
        <v>1987</v>
      </c>
      <c r="AH1186" s="106">
        <v>8852.3268462430733</v>
      </c>
      <c r="AI1186" s="106">
        <v>8852.3268462430733</v>
      </c>
      <c r="AJ1186" s="106">
        <v>11013.522318168149</v>
      </c>
      <c r="AK1186" s="104">
        <v>10605.689844052069</v>
      </c>
      <c r="AL1186" s="118">
        <v>176744511</v>
      </c>
      <c r="AM1186" s="118">
        <v>56001</v>
      </c>
      <c r="AN1186" s="118">
        <v>1392709.6933333334</v>
      </c>
      <c r="AO1186" s="118">
        <v>10831</v>
      </c>
      <c r="AP1186" s="118">
        <f t="shared" si="18"/>
        <v>851</v>
      </c>
    </row>
    <row r="1187" spans="1:42" ht="12.75">
      <c r="A1187" s="106">
        <v>2018</v>
      </c>
      <c r="B1187" s="106">
        <v>2065</v>
      </c>
      <c r="C1187" s="106">
        <v>1</v>
      </c>
      <c r="D1187" s="106">
        <v>204024</v>
      </c>
      <c r="E1187" s="106" t="s">
        <v>3909</v>
      </c>
      <c r="F1187" s="106" t="s">
        <v>1966</v>
      </c>
      <c r="G1187" s="106" t="s">
        <v>82</v>
      </c>
      <c r="H1187" s="106">
        <v>1</v>
      </c>
      <c r="I1187" s="106" t="s">
        <v>23</v>
      </c>
      <c r="J1187" s="106">
        <v>14565</v>
      </c>
      <c r="K1187" s="106">
        <v>20542</v>
      </c>
      <c r="L1187" s="106">
        <v>11689</v>
      </c>
      <c r="M1187" s="106">
        <v>0.17</v>
      </c>
      <c r="N1187" s="106">
        <v>0.39</v>
      </c>
      <c r="O1187" s="106">
        <v>0.56999999999999995</v>
      </c>
      <c r="P1187" s="106">
        <v>11235</v>
      </c>
      <c r="Q1187" s="106">
        <v>4444.615351276384</v>
      </c>
      <c r="R1187" s="106">
        <v>0.21311822509531081</v>
      </c>
      <c r="S1187" s="106">
        <v>29413.42980973432</v>
      </c>
      <c r="T1187" s="106">
        <v>23743.948034499197</v>
      </c>
      <c r="U1187" s="106">
        <v>18119.693875331643</v>
      </c>
      <c r="V1187" s="106">
        <v>0.90567467066674001</v>
      </c>
      <c r="W1187" s="106">
        <v>71159.159311562224</v>
      </c>
      <c r="X1187" s="110">
        <v>0.49054907887638466</v>
      </c>
      <c r="Y1187" s="106">
        <v>516.91070073362005</v>
      </c>
      <c r="Z1187" s="106">
        <v>17.510498355679228</v>
      </c>
      <c r="AA1187" s="106">
        <v>75724.632636393231</v>
      </c>
      <c r="AB1187" s="106">
        <v>613.80983090329255</v>
      </c>
      <c r="AC1187" s="106">
        <v>1.3205742506559226</v>
      </c>
      <c r="AD1187" s="106">
        <v>24.986422881969585</v>
      </c>
      <c r="AE1187" s="106">
        <v>123.36823039304474</v>
      </c>
      <c r="AF1187" s="106">
        <v>0.16774127998055047</v>
      </c>
      <c r="AG1187" s="106">
        <v>11880</v>
      </c>
      <c r="AH1187" s="106">
        <v>27598.743119663675</v>
      </c>
      <c r="AI1187" s="106">
        <v>28780.459368092575</v>
      </c>
      <c r="AJ1187" s="106">
        <v>30703.40445542409</v>
      </c>
      <c r="AK1187" s="104">
        <v>20297.950418237768</v>
      </c>
      <c r="AL1187" s="118">
        <v>76832482</v>
      </c>
      <c r="AM1187" s="118">
        <v>21857</v>
      </c>
      <c r="AN1187" s="118">
        <v>681116</v>
      </c>
      <c r="AO1187" s="118">
        <v>4574</v>
      </c>
      <c r="AP1187" s="118">
        <f t="shared" si="18"/>
        <v>2685</v>
      </c>
    </row>
    <row r="1188" spans="1:42" ht="12.75">
      <c r="A1188" s="106">
        <v>2018</v>
      </c>
      <c r="B1188" s="106">
        <v>-171100</v>
      </c>
      <c r="C1188" s="106">
        <v>0</v>
      </c>
      <c r="D1188" s="106">
        <v>171100</v>
      </c>
      <c r="E1188" s="106" t="s">
        <v>1967</v>
      </c>
      <c r="F1188" s="106" t="s">
        <v>1968</v>
      </c>
      <c r="G1188" s="106" t="s">
        <v>74</v>
      </c>
      <c r="H1188" s="106">
        <v>1</v>
      </c>
      <c r="I1188" s="106" t="s">
        <v>23</v>
      </c>
      <c r="J1188" s="106">
        <v>15375</v>
      </c>
      <c r="K1188" s="106">
        <v>16227</v>
      </c>
      <c r="L1188" s="106">
        <v>6446</v>
      </c>
      <c r="M1188" s="106">
        <v>0.21</v>
      </c>
      <c r="N1188" s="106">
        <v>0.41</v>
      </c>
      <c r="O1188" s="106">
        <v>0.45</v>
      </c>
      <c r="P1188" s="106">
        <v>10407</v>
      </c>
      <c r="Q1188" s="106">
        <v>3019.0660595770951</v>
      </c>
      <c r="R1188" s="106">
        <v>0.13471625364915402</v>
      </c>
      <c r="S1188" s="106">
        <v>53937.390756951027</v>
      </c>
      <c r="T1188" s="106">
        <v>69341.476859303686</v>
      </c>
      <c r="U1188" s="106">
        <v>29183.529940208486</v>
      </c>
      <c r="V1188" s="106">
        <v>0.66446688713855739</v>
      </c>
      <c r="W1188" s="106">
        <v>138587.72584834753</v>
      </c>
      <c r="X1188" s="110">
        <v>0.5315804348323796</v>
      </c>
      <c r="Y1188" s="106">
        <v>306.27008310249306</v>
      </c>
      <c r="Z1188" s="106">
        <v>11.085139318885448</v>
      </c>
      <c r="AA1188" s="106">
        <v>103056.96748254111</v>
      </c>
      <c r="AB1188" s="106">
        <v>1056.2686760881427</v>
      </c>
      <c r="AC1188" s="106">
        <v>0.97033711007400847</v>
      </c>
      <c r="AD1188" s="106">
        <v>27.911677134722794</v>
      </c>
      <c r="AE1188" s="106">
        <v>97.567001479405121</v>
      </c>
      <c r="AF1188" s="106">
        <v>-6.2638538322764503E-2</v>
      </c>
      <c r="AG1188" s="106">
        <v>15375</v>
      </c>
      <c r="AH1188" s="106">
        <v>52348.896434634975</v>
      </c>
      <c r="AI1188" s="106">
        <v>53759.331841333536</v>
      </c>
      <c r="AJ1188" s="106">
        <v>60990.648711220871</v>
      </c>
      <c r="AK1188" s="104">
        <v>57187.904659008222</v>
      </c>
      <c r="AL1188" s="118">
        <v>281239134</v>
      </c>
      <c r="AM1188" s="118">
        <v>38996</v>
      </c>
      <c r="AN1188" s="118">
        <v>1253053</v>
      </c>
      <c r="AO1188" s="118">
        <v>9120</v>
      </c>
      <c r="AP1188" s="118">
        <f t="shared" si="18"/>
        <v>0</v>
      </c>
    </row>
    <row r="1189" spans="1:42" ht="12.75">
      <c r="A1189" s="106">
        <v>2018</v>
      </c>
      <c r="B1189" s="106">
        <v>-171128</v>
      </c>
      <c r="C1189" s="106">
        <v>0</v>
      </c>
      <c r="D1189" s="106">
        <v>171128</v>
      </c>
      <c r="E1189" s="106" t="s">
        <v>1969</v>
      </c>
      <c r="F1189" s="106" t="s">
        <v>1514</v>
      </c>
      <c r="G1189" s="106" t="s">
        <v>74</v>
      </c>
      <c r="H1189" s="106">
        <v>1</v>
      </c>
      <c r="I1189" s="106" t="s">
        <v>23</v>
      </c>
      <c r="J1189" s="106">
        <v>16189</v>
      </c>
      <c r="K1189" s="106">
        <v>17175</v>
      </c>
      <c r="L1189" s="106">
        <v>8263</v>
      </c>
      <c r="M1189" s="106">
        <v>0.24</v>
      </c>
      <c r="N1189" s="106">
        <v>0.56999999999999995</v>
      </c>
      <c r="O1189" s="106">
        <v>0.92</v>
      </c>
      <c r="P1189" s="106">
        <v>9880</v>
      </c>
      <c r="Q1189" s="107">
        <v>7174.0152085529289</v>
      </c>
      <c r="R1189" s="106">
        <v>0.3440961806858604</v>
      </c>
      <c r="S1189" s="106">
        <v>37356.010239421776</v>
      </c>
      <c r="T1189" s="106">
        <v>39480.7979219997</v>
      </c>
      <c r="U1189" s="106">
        <v>17924.277511183052</v>
      </c>
      <c r="V1189" s="106">
        <v>0.7629234103039042</v>
      </c>
      <c r="W1189" s="106">
        <v>113953.53294091013</v>
      </c>
      <c r="X1189" s="110">
        <v>0.6399035761502071</v>
      </c>
      <c r="Y1189" s="106">
        <v>332.68299881936247</v>
      </c>
      <c r="Z1189" s="106">
        <v>11.760920897284535</v>
      </c>
      <c r="AA1189" s="106">
        <v>67213.510418840568</v>
      </c>
      <c r="AB1189" s="106">
        <v>633.65429161729344</v>
      </c>
      <c r="AC1189" s="106">
        <v>1.4877961198105949</v>
      </c>
      <c r="AD1189" s="106">
        <v>26.074793875147233</v>
      </c>
      <c r="AE1189" s="106">
        <v>106.07284020327499</v>
      </c>
      <c r="AF1189" s="106">
        <v>1.9165619356764432E-2</v>
      </c>
      <c r="AG1189" s="106">
        <v>15889</v>
      </c>
      <c r="AH1189" s="106">
        <v>34784.203884957082</v>
      </c>
      <c r="AI1189" s="106">
        <v>36464.440445716005</v>
      </c>
      <c r="AJ1189" s="106">
        <v>39318.461526878484</v>
      </c>
      <c r="AK1189" s="104">
        <v>34398.894594187623</v>
      </c>
      <c r="AL1189" s="118">
        <v>49081629</v>
      </c>
      <c r="AM1189" s="118">
        <v>5890</v>
      </c>
      <c r="AN1189" s="118">
        <v>187855</v>
      </c>
      <c r="AO1189" s="118">
        <v>1121</v>
      </c>
      <c r="AP1189" s="118">
        <f t="shared" si="18"/>
        <v>300</v>
      </c>
    </row>
    <row r="1190" spans="1:42" ht="12.75">
      <c r="A1190" s="106">
        <v>2018</v>
      </c>
      <c r="B1190" s="106">
        <v>-171155</v>
      </c>
      <c r="C1190" s="106">
        <v>0</v>
      </c>
      <c r="D1190" s="106">
        <v>171155</v>
      </c>
      <c r="E1190" s="106" t="s">
        <v>1970</v>
      </c>
      <c r="F1190" s="106" t="s">
        <v>1971</v>
      </c>
      <c r="G1190" s="106" t="s">
        <v>74</v>
      </c>
      <c r="H1190" s="106">
        <v>4</v>
      </c>
      <c r="I1190" s="106" t="s">
        <v>24</v>
      </c>
      <c r="J1190" s="106">
        <v>4597</v>
      </c>
      <c r="K1190" s="106">
        <v>6431</v>
      </c>
      <c r="L1190" s="106">
        <v>4958</v>
      </c>
      <c r="M1190" s="106">
        <v>0.56999999999999995</v>
      </c>
      <c r="N1190" s="106">
        <v>0.36</v>
      </c>
      <c r="O1190" s="106">
        <v>0.11</v>
      </c>
      <c r="P1190" s="106">
        <v>1649</v>
      </c>
      <c r="Q1190" s="106">
        <v>126.85816263190564</v>
      </c>
      <c r="R1190" s="106">
        <v>2.2337824558419764E-2</v>
      </c>
      <c r="S1190" s="106">
        <v>9989.3277467411554</v>
      </c>
      <c r="T1190" s="106">
        <v>10407.603972687772</v>
      </c>
      <c r="U1190" s="106">
        <v>8528.4728076788633</v>
      </c>
      <c r="V1190" s="106">
        <v>0.65102113122744287</v>
      </c>
      <c r="W1190" s="106">
        <v>94025.605911330043</v>
      </c>
      <c r="X1190" s="110">
        <v>0.56920130139294378</v>
      </c>
      <c r="Y1190" s="106">
        <v>1106.7709923664122</v>
      </c>
      <c r="Z1190" s="106">
        <v>36.893129770992367</v>
      </c>
      <c r="AA1190" s="106">
        <v>62736.847914021222</v>
      </c>
      <c r="AB1190" s="106">
        <v>284.28830915538595</v>
      </c>
      <c r="AC1190" s="106">
        <v>1.5939595839600786</v>
      </c>
      <c r="AD1190" s="106">
        <v>19.810040705563093</v>
      </c>
      <c r="AE1190" s="106">
        <v>220.68036529680364</v>
      </c>
      <c r="AF1190" s="106">
        <v>-4.06772882610313E-2</v>
      </c>
      <c r="AG1190" s="106">
        <v>4377</v>
      </c>
      <c r="AH1190" s="106">
        <v>9300.8165735567964</v>
      </c>
      <c r="AI1190" s="106">
        <v>9345.805090006208</v>
      </c>
      <c r="AJ1190" s="106">
        <v>9985.9819987585342</v>
      </c>
      <c r="AK1190" s="104">
        <v>9820.0176908752328</v>
      </c>
      <c r="AL1190" s="118">
        <v>8537818</v>
      </c>
      <c r="AM1190" s="118">
        <v>4048</v>
      </c>
      <c r="AN1190" s="118">
        <v>96658</v>
      </c>
      <c r="AO1190" s="118">
        <v>394</v>
      </c>
      <c r="AP1190" s="118">
        <f t="shared" si="18"/>
        <v>220</v>
      </c>
    </row>
    <row r="1191" spans="1:42" ht="12.75">
      <c r="A1191" s="106">
        <v>2018</v>
      </c>
      <c r="B1191" s="106">
        <v>-245953</v>
      </c>
      <c r="C1191" s="106">
        <v>0</v>
      </c>
      <c r="D1191" s="106">
        <v>245953</v>
      </c>
      <c r="E1191" s="106" t="s">
        <v>1972</v>
      </c>
      <c r="F1191" s="106" t="s">
        <v>1973</v>
      </c>
      <c r="G1191" s="106" t="s">
        <v>271</v>
      </c>
      <c r="H1191" s="106">
        <v>6</v>
      </c>
      <c r="I1191" s="106" t="s">
        <v>3640</v>
      </c>
      <c r="J1191" s="106">
        <v>17830</v>
      </c>
      <c r="K1191" s="106">
        <v>12944</v>
      </c>
      <c r="L1191" s="106">
        <v>11572</v>
      </c>
      <c r="M1191" s="106">
        <v>0.47</v>
      </c>
      <c r="N1191" s="106">
        <v>0.55000000000000004</v>
      </c>
      <c r="O1191" s="106">
        <v>0.96</v>
      </c>
      <c r="P1191" s="106">
        <v>9977</v>
      </c>
      <c r="Q1191" s="106">
        <v>2780.7155499367886</v>
      </c>
      <c r="R1191" s="106">
        <v>0.19310200001466121</v>
      </c>
      <c r="S1191" s="106">
        <v>17119.303413400758</v>
      </c>
      <c r="T1191" s="106">
        <v>16603.889380530974</v>
      </c>
      <c r="U1191" s="106">
        <v>11397.113780025284</v>
      </c>
      <c r="V1191" s="106">
        <v>1.0195148326971242</v>
      </c>
      <c r="W1191" s="106">
        <v>36912.084994753415</v>
      </c>
      <c r="X1191" s="110">
        <v>0.44639971907333031</v>
      </c>
      <c r="Y1191" s="106">
        <v>267.53529411764708</v>
      </c>
      <c r="Z1191" s="106">
        <v>9.3058823529411772</v>
      </c>
      <c r="AA1191" s="106">
        <v>36572.482758620688</v>
      </c>
      <c r="AB1191" s="106">
        <v>396.43442316571753</v>
      </c>
      <c r="AC1191" s="106">
        <v>2.7342961827339569</v>
      </c>
      <c r="AD1191" s="106">
        <v>27.14757709251101</v>
      </c>
      <c r="AE1191" s="106">
        <v>92.253549695740361</v>
      </c>
      <c r="AF1191" s="106">
        <v>2.1869263196265833E-2</v>
      </c>
      <c r="AG1191" s="106">
        <v>16560</v>
      </c>
      <c r="AH1191" s="106">
        <v>13205.405183312263</v>
      </c>
      <c r="AI1191" s="106">
        <v>14704.833122629583</v>
      </c>
      <c r="AJ1191" s="106">
        <v>17263.453223767385</v>
      </c>
      <c r="AK1191" s="104">
        <v>14275.720606826802</v>
      </c>
      <c r="AL1191" s="118"/>
      <c r="AM1191" s="118">
        <v>1626</v>
      </c>
      <c r="AN1191" s="118">
        <v>45481</v>
      </c>
      <c r="AO1191" s="118">
        <v>365</v>
      </c>
      <c r="AP1191" s="118">
        <f t="shared" si="18"/>
        <v>1270</v>
      </c>
    </row>
    <row r="1192" spans="1:42" ht="12.75">
      <c r="A1192" s="106">
        <v>2018</v>
      </c>
      <c r="B1192" s="106">
        <v>-155520</v>
      </c>
      <c r="C1192" s="106">
        <v>0</v>
      </c>
      <c r="D1192" s="106">
        <v>155520</v>
      </c>
      <c r="E1192" s="106" t="s">
        <v>1978</v>
      </c>
      <c r="F1192" s="106" t="s">
        <v>1979</v>
      </c>
      <c r="G1192" s="106" t="s">
        <v>129</v>
      </c>
      <c r="H1192" s="106">
        <v>6</v>
      </c>
      <c r="I1192" s="106" t="s">
        <v>3640</v>
      </c>
      <c r="J1192" s="106">
        <v>29670</v>
      </c>
      <c r="K1192" s="106">
        <v>19905</v>
      </c>
      <c r="L1192" s="106">
        <v>17862</v>
      </c>
      <c r="M1192" s="106">
        <v>0.53</v>
      </c>
      <c r="N1192" s="106">
        <v>0.7</v>
      </c>
      <c r="O1192" s="106">
        <v>0.97</v>
      </c>
      <c r="P1192" s="106">
        <v>18253</v>
      </c>
      <c r="Q1192" s="106">
        <v>8186.9240576496677</v>
      </c>
      <c r="R1192" s="106">
        <v>0.39832879065018179</v>
      </c>
      <c r="S1192" s="106">
        <v>18953.171840354767</v>
      </c>
      <c r="T1192" s="106">
        <v>18661.609756097561</v>
      </c>
      <c r="U1192" s="106">
        <v>15349.794104811263</v>
      </c>
      <c r="V1192" s="106">
        <v>0.80563020429414445</v>
      </c>
      <c r="W1192" s="106">
        <v>63771.366225839265</v>
      </c>
      <c r="X1192" s="110">
        <v>0.62068656903331187</v>
      </c>
      <c r="Y1192" s="106">
        <v>349.19168591224025</v>
      </c>
      <c r="Z1192" s="106">
        <v>12.498845265588916</v>
      </c>
      <c r="AA1192" s="106">
        <v>41453.635576466346</v>
      </c>
      <c r="AB1192" s="106">
        <v>549.42516994205391</v>
      </c>
      <c r="AC1192" s="106">
        <v>2.4123336496153076</v>
      </c>
      <c r="AD1192" s="106">
        <v>46.518105849582177</v>
      </c>
      <c r="AE1192" s="106">
        <v>75.449101796407192</v>
      </c>
      <c r="AF1192" s="106">
        <v>3.2009885760452786E-2</v>
      </c>
      <c r="AG1192" s="106">
        <v>29170</v>
      </c>
      <c r="AH1192" s="106">
        <v>16285.432372505544</v>
      </c>
      <c r="AI1192" s="106">
        <v>18953.171840354767</v>
      </c>
      <c r="AJ1192" s="106">
        <v>19241.545454545456</v>
      </c>
      <c r="AK1192" s="104">
        <v>15503.019955654103</v>
      </c>
      <c r="AL1192" s="118"/>
      <c r="AM1192" s="118">
        <v>1308</v>
      </c>
      <c r="AN1192" s="118">
        <v>50400</v>
      </c>
      <c r="AO1192" s="118">
        <v>425</v>
      </c>
      <c r="AP1192" s="118">
        <f t="shared" si="18"/>
        <v>500</v>
      </c>
    </row>
    <row r="1193" spans="1:42" ht="12.75">
      <c r="A1193" s="106">
        <v>2018</v>
      </c>
      <c r="B1193" s="106">
        <v>3047</v>
      </c>
      <c r="C1193" s="106">
        <v>1</v>
      </c>
      <c r="D1193" s="106">
        <v>482158</v>
      </c>
      <c r="E1193" s="106" t="s">
        <v>3859</v>
      </c>
      <c r="F1193" s="106" t="s">
        <v>1944</v>
      </c>
      <c r="G1193" s="106" t="s">
        <v>63</v>
      </c>
      <c r="H1193" s="106">
        <v>3</v>
      </c>
      <c r="I1193" s="104" t="s">
        <v>26</v>
      </c>
      <c r="J1193" s="106">
        <v>3942</v>
      </c>
      <c r="K1193" s="106">
        <v>9378</v>
      </c>
      <c r="L1193" s="106">
        <v>8203</v>
      </c>
      <c r="M1193" s="106">
        <v>0.56000000000000005</v>
      </c>
      <c r="N1193" s="106">
        <v>0.51</v>
      </c>
      <c r="O1193" s="106">
        <v>0.05</v>
      </c>
      <c r="P1193" s="106">
        <v>6926</v>
      </c>
      <c r="Q1193" s="106">
        <v>717.89068069937196</v>
      </c>
      <c r="R1193" s="106">
        <v>0.12873333988197769</v>
      </c>
      <c r="S1193" s="106">
        <v>16457.854014598539</v>
      </c>
      <c r="T1193" s="106">
        <v>20097.838567306058</v>
      </c>
      <c r="U1193" s="106">
        <v>12965.358738602275</v>
      </c>
      <c r="V1193" s="106">
        <v>0.37474326527166946</v>
      </c>
      <c r="W1193" s="106">
        <v>73805.423956931365</v>
      </c>
      <c r="X1193" s="110">
        <v>0.46316818150340711</v>
      </c>
      <c r="Y1193" s="106">
        <v>578.03829321663011</v>
      </c>
      <c r="Z1193" s="106">
        <v>19.335886214442013</v>
      </c>
      <c r="AA1193" s="106">
        <v>59254.405220408073</v>
      </c>
      <c r="AB1193" s="106">
        <v>433.70258379245809</v>
      </c>
      <c r="AC1193" s="106">
        <v>1.687638237664034</v>
      </c>
      <c r="AD1193" s="106">
        <v>22.69765803838704</v>
      </c>
      <c r="AE1193" s="106">
        <v>136.62451512800621</v>
      </c>
      <c r="AF1193" s="106">
        <v>-0.15016083288908896</v>
      </c>
      <c r="AG1193" s="106">
        <v>2660</v>
      </c>
      <c r="AH1193" s="106">
        <v>15405.228653878798</v>
      </c>
      <c r="AI1193" s="106">
        <v>16182.902732982515</v>
      </c>
      <c r="AJ1193" s="106">
        <v>16489.312171108471</v>
      </c>
      <c r="AK1193" s="104">
        <v>14476.09268375488</v>
      </c>
      <c r="AL1193" s="118">
        <v>33362424</v>
      </c>
      <c r="AM1193" s="118">
        <v>7221</v>
      </c>
      <c r="AN1193" s="118">
        <v>176109</v>
      </c>
      <c r="AO1193" s="118">
        <v>1208</v>
      </c>
      <c r="AP1193" s="118">
        <f t="shared" si="18"/>
        <v>1282</v>
      </c>
    </row>
    <row r="1194" spans="1:42" ht="12.75">
      <c r="A1194" s="106">
        <v>2018</v>
      </c>
      <c r="B1194" s="106">
        <v>-220978</v>
      </c>
      <c r="C1194" s="106">
        <v>0</v>
      </c>
      <c r="D1194" s="106">
        <v>220978</v>
      </c>
      <c r="E1194" s="106" t="s">
        <v>1980</v>
      </c>
      <c r="F1194" s="106" t="s">
        <v>731</v>
      </c>
      <c r="G1194" s="106" t="s">
        <v>255</v>
      </c>
      <c r="H1194" s="106">
        <v>1</v>
      </c>
      <c r="I1194" s="106" t="s">
        <v>23</v>
      </c>
      <c r="J1194" s="106">
        <v>8612</v>
      </c>
      <c r="K1194" s="106">
        <v>12294</v>
      </c>
      <c r="L1194" s="106">
        <v>9136</v>
      </c>
      <c r="M1194" s="106">
        <v>0.47</v>
      </c>
      <c r="N1194" s="106">
        <v>0.53</v>
      </c>
      <c r="O1194" s="106">
        <v>0.31</v>
      </c>
      <c r="P1194" s="106">
        <v>5266</v>
      </c>
      <c r="Q1194" s="106">
        <v>1474.6923697370544</v>
      </c>
      <c r="R1194" s="106">
        <v>0.13986108571130743</v>
      </c>
      <c r="S1194" s="106">
        <v>19718.298435231489</v>
      </c>
      <c r="T1194" s="106">
        <v>19842.504973920524</v>
      </c>
      <c r="U1194" s="106">
        <v>15457.085144460736</v>
      </c>
      <c r="V1194" s="106">
        <v>0.58673978191372678</v>
      </c>
      <c r="W1194" s="106">
        <v>99532.434517766495</v>
      </c>
      <c r="X1194" s="110">
        <v>0.61992371963155091</v>
      </c>
      <c r="Y1194" s="106">
        <v>530.16054158607346</v>
      </c>
      <c r="Z1194" s="106">
        <v>17.985493230174082</v>
      </c>
      <c r="AA1194" s="106">
        <v>58628.474899354747</v>
      </c>
      <c r="AB1194" s="106">
        <v>524.37569079023604</v>
      </c>
      <c r="AC1194" s="106">
        <v>1.7056558297255073</v>
      </c>
      <c r="AD1194" s="106">
        <v>26.274047478698893</v>
      </c>
      <c r="AE1194" s="106">
        <v>111.80624107689169</v>
      </c>
      <c r="AF1194" s="106">
        <v>2.269260444844742E-2</v>
      </c>
      <c r="AG1194" s="106">
        <v>6840</v>
      </c>
      <c r="AH1194" s="106">
        <v>19865.946819379471</v>
      </c>
      <c r="AI1194" s="106">
        <v>20118.974028069042</v>
      </c>
      <c r="AJ1194" s="106">
        <v>19862.97311394311</v>
      </c>
      <c r="AK1194" s="104">
        <v>18393.104909393987</v>
      </c>
      <c r="AL1194" s="119">
        <v>97834560</v>
      </c>
      <c r="AM1194" s="118">
        <v>19523</v>
      </c>
      <c r="AN1194" s="118">
        <v>548186</v>
      </c>
      <c r="AO1194" s="118">
        <v>4002</v>
      </c>
      <c r="AP1194" s="118">
        <f t="shared" si="18"/>
        <v>1772</v>
      </c>
    </row>
    <row r="1195" spans="1:42" ht="12.75">
      <c r="A1195" s="106">
        <v>2018</v>
      </c>
      <c r="B1195" s="106">
        <v>2901</v>
      </c>
      <c r="C1195" s="106">
        <v>1</v>
      </c>
      <c r="D1195" s="106">
        <v>230959</v>
      </c>
      <c r="E1195" s="106" t="s">
        <v>3860</v>
      </c>
      <c r="F1195" s="106" t="s">
        <v>1981</v>
      </c>
      <c r="G1195" s="106" t="s">
        <v>345</v>
      </c>
      <c r="H1195" s="106">
        <v>7</v>
      </c>
      <c r="I1195" s="106" t="s">
        <v>3641</v>
      </c>
      <c r="J1195" s="106">
        <v>52496</v>
      </c>
      <c r="K1195" s="106">
        <v>23136</v>
      </c>
      <c r="L1195" s="106">
        <v>5381</v>
      </c>
      <c r="M1195" s="106">
        <v>0.16</v>
      </c>
      <c r="N1195" s="106">
        <v>0.26</v>
      </c>
      <c r="O1195" s="106">
        <v>0.46</v>
      </c>
      <c r="P1195" s="106">
        <v>44505</v>
      </c>
      <c r="Q1195" s="106">
        <v>17234.517250000001</v>
      </c>
      <c r="R1195" s="106">
        <v>0.30276039486928757</v>
      </c>
      <c r="S1195" s="106">
        <v>57799.5</v>
      </c>
      <c r="T1195" s="106">
        <v>70420.25</v>
      </c>
      <c r="U1195" s="106">
        <v>54943.199700798818</v>
      </c>
      <c r="V1195" s="106">
        <v>0.72238407056993714</v>
      </c>
      <c r="W1195" s="106">
        <v>123337.39255014327</v>
      </c>
      <c r="X1195" s="110">
        <v>0.61125528523400585</v>
      </c>
      <c r="Y1195" s="106">
        <v>277.97297297297297</v>
      </c>
      <c r="Z1195" s="106">
        <v>9.8280098280098276</v>
      </c>
      <c r="AA1195" s="106">
        <v>177665.96507938177</v>
      </c>
      <c r="AB1195" s="106">
        <v>1942.5712538400608</v>
      </c>
      <c r="AC1195" s="106">
        <v>0.56285400501620919</v>
      </c>
      <c r="AD1195" s="106">
        <v>38.003072196620586</v>
      </c>
      <c r="AE1195" s="106">
        <v>91.4591754244139</v>
      </c>
      <c r="AF1195" s="106">
        <v>4.283773944810379E-2</v>
      </c>
      <c r="AG1195" s="106">
        <v>52080</v>
      </c>
      <c r="AH1195" s="106">
        <v>43912.342250000002</v>
      </c>
      <c r="AI1195" s="106">
        <v>57977.342250000002</v>
      </c>
      <c r="AJ1195" s="106">
        <v>82996.5</v>
      </c>
      <c r="AK1195" s="104">
        <v>59115.5</v>
      </c>
      <c r="AM1195" s="118">
        <v>2562</v>
      </c>
      <c r="AN1195" s="118">
        <v>113135</v>
      </c>
      <c r="AO1195" s="118">
        <v>661</v>
      </c>
      <c r="AP1195" s="118">
        <f t="shared" si="18"/>
        <v>416</v>
      </c>
    </row>
    <row r="1196" spans="1:42" ht="12.75">
      <c r="A1196" s="106">
        <v>2018</v>
      </c>
      <c r="B1196" s="106">
        <v>-129756</v>
      </c>
      <c r="C1196" s="106">
        <v>0</v>
      </c>
      <c r="D1196" s="106">
        <v>129756</v>
      </c>
      <c r="E1196" s="106" t="s">
        <v>3910</v>
      </c>
      <c r="F1196" s="106" t="s">
        <v>1827</v>
      </c>
      <c r="G1196" s="106" t="s">
        <v>99</v>
      </c>
      <c r="H1196" s="106">
        <v>4</v>
      </c>
      <c r="I1196" s="106" t="s">
        <v>24</v>
      </c>
      <c r="J1196" s="106">
        <v>4276</v>
      </c>
      <c r="K1196" s="106">
        <v>4752</v>
      </c>
      <c r="L1196" s="106">
        <v>5912</v>
      </c>
      <c r="M1196" s="106">
        <v>0.46</v>
      </c>
      <c r="N1196" s="106">
        <v>0.05</v>
      </c>
      <c r="O1196" s="106">
        <v>0.21</v>
      </c>
      <c r="P1196" s="106">
        <v>1559</v>
      </c>
      <c r="Q1196" s="106">
        <v>730.74486094316808</v>
      </c>
      <c r="R1196" s="106">
        <v>0.12097728545497403</v>
      </c>
      <c r="S1196" s="106">
        <v>14608.98730350665</v>
      </c>
      <c r="T1196" s="106">
        <v>15915.417775090689</v>
      </c>
      <c r="U1196" s="106">
        <v>13469.765038758138</v>
      </c>
      <c r="V1196" s="106">
        <v>0.39418674088662231</v>
      </c>
      <c r="W1196" s="106">
        <v>125327.68220338982</v>
      </c>
      <c r="X1196" s="110">
        <v>0.74905585569664845</v>
      </c>
      <c r="Y1196" s="106">
        <v>525.87985865724374</v>
      </c>
      <c r="Z1196" s="106">
        <v>17.533568904593636</v>
      </c>
      <c r="AA1196" s="106">
        <v>59889.761758349356</v>
      </c>
      <c r="AB1196" s="106">
        <v>449.10077757833335</v>
      </c>
      <c r="AC1196" s="106">
        <v>1.6697344765452968</v>
      </c>
      <c r="AD1196" s="106">
        <v>23.815620998719591</v>
      </c>
      <c r="AE1196" s="106">
        <v>133.35483870967741</v>
      </c>
      <c r="AF1196" s="106">
        <v>-5.5474287105237823E-2</v>
      </c>
      <c r="AG1196" s="106">
        <v>3816</v>
      </c>
      <c r="AH1196" s="106">
        <v>14224.466142684401</v>
      </c>
      <c r="AI1196" s="106">
        <v>14254.634220072552</v>
      </c>
      <c r="AJ1196" s="106">
        <v>14641.972188633616</v>
      </c>
      <c r="AK1196" s="104">
        <v>14219.362756952842</v>
      </c>
      <c r="AL1196" s="118">
        <v>13616764</v>
      </c>
      <c r="AM1196" s="118">
        <v>2682</v>
      </c>
      <c r="AN1196" s="118">
        <v>49608</v>
      </c>
      <c r="AO1196" s="118">
        <v>327</v>
      </c>
      <c r="AP1196" s="118">
        <f t="shared" si="18"/>
        <v>460</v>
      </c>
    </row>
    <row r="1197" spans="1:42" ht="12.75">
      <c r="A1197" s="106">
        <v>2018</v>
      </c>
      <c r="B1197" s="106">
        <v>-166887</v>
      </c>
      <c r="C1197" s="106">
        <v>0</v>
      </c>
      <c r="D1197" s="106">
        <v>166887</v>
      </c>
      <c r="E1197" s="106" t="s">
        <v>3911</v>
      </c>
      <c r="F1197" s="106" t="s">
        <v>1983</v>
      </c>
      <c r="G1197" s="106" t="s">
        <v>150</v>
      </c>
      <c r="H1197" s="106">
        <v>4</v>
      </c>
      <c r="I1197" s="106" t="s">
        <v>24</v>
      </c>
      <c r="J1197" s="106">
        <v>4752</v>
      </c>
      <c r="K1197" s="106">
        <v>4250</v>
      </c>
      <c r="L1197" s="106">
        <v>3025</v>
      </c>
      <c r="M1197" s="106">
        <v>0.44</v>
      </c>
      <c r="N1197" s="106">
        <v>0.15</v>
      </c>
      <c r="O1197" s="106">
        <v>0.28000000000000003</v>
      </c>
      <c r="P1197" s="106">
        <v>726</v>
      </c>
      <c r="Q1197" s="106">
        <v>219.15085691510561</v>
      </c>
      <c r="R1197" s="106">
        <v>3.2266085921581221E-2</v>
      </c>
      <c r="S1197" s="106">
        <v>14546.627740135513</v>
      </c>
      <c r="T1197" s="106">
        <v>14240.293343961737</v>
      </c>
      <c r="U1197" s="106">
        <v>13379.150379646549</v>
      </c>
      <c r="V1197" s="106">
        <v>0.4912746027254391</v>
      </c>
      <c r="W1197" s="106">
        <v>87320.400681044266</v>
      </c>
      <c r="X1197" s="110">
        <v>0.71771294024869958</v>
      </c>
      <c r="Y1197" s="106">
        <v>598.18807947019866</v>
      </c>
      <c r="Z1197" s="106">
        <v>19.93907284768212</v>
      </c>
      <c r="AA1197" s="106">
        <v>53410.164363616859</v>
      </c>
      <c r="AB1197" s="106">
        <v>445.95982971799867</v>
      </c>
      <c r="AC1197" s="106">
        <v>1.8723027946366002</v>
      </c>
      <c r="AD1197" s="106">
        <v>27.020636285468612</v>
      </c>
      <c r="AE1197" s="106">
        <v>119.76451869530628</v>
      </c>
      <c r="AF1197" s="106">
        <v>0.33477631457139634</v>
      </c>
      <c r="AG1197" s="106">
        <v>576</v>
      </c>
      <c r="AH1197" s="106">
        <v>14943.134316460741</v>
      </c>
      <c r="AI1197" s="106">
        <v>14967.627142287763</v>
      </c>
      <c r="AJ1197" s="106">
        <v>14646.964726982862</v>
      </c>
      <c r="AK1197" s="104">
        <v>14240.293343961737</v>
      </c>
      <c r="AL1197" s="118">
        <v>31790093</v>
      </c>
      <c r="AM1197" s="118">
        <v>8206</v>
      </c>
      <c r="AN1197" s="118">
        <v>150544</v>
      </c>
      <c r="AO1197" s="118">
        <v>1036</v>
      </c>
      <c r="AP1197" s="118">
        <f t="shared" si="18"/>
        <v>4176</v>
      </c>
    </row>
    <row r="1198" spans="1:42" ht="12.75">
      <c r="A1198" s="106">
        <v>2018</v>
      </c>
      <c r="B1198" s="106">
        <v>-185536</v>
      </c>
      <c r="C1198" s="106">
        <v>0</v>
      </c>
      <c r="D1198" s="106">
        <v>185536</v>
      </c>
      <c r="E1198" s="106" t="s">
        <v>4251</v>
      </c>
      <c r="F1198" s="106" t="s">
        <v>1984</v>
      </c>
      <c r="G1198" s="106" t="s">
        <v>234</v>
      </c>
      <c r="H1198" s="106">
        <v>4</v>
      </c>
      <c r="I1198" s="106" t="s">
        <v>24</v>
      </c>
      <c r="J1198" s="106">
        <v>3468</v>
      </c>
      <c r="K1198" s="106">
        <v>8236</v>
      </c>
      <c r="L1198" s="106">
        <v>7329</v>
      </c>
      <c r="M1198" s="106">
        <v>0.46</v>
      </c>
      <c r="N1198" s="106">
        <v>0.08</v>
      </c>
      <c r="O1198" s="106">
        <v>0.02</v>
      </c>
      <c r="P1198" s="107">
        <v>1033</v>
      </c>
      <c r="Q1198" s="106">
        <v>77.682187905222207</v>
      </c>
      <c r="R1198" s="106">
        <v>1.5366206173429025E-2</v>
      </c>
      <c r="S1198" s="106">
        <v>10795.059530826358</v>
      </c>
      <c r="T1198" s="106">
        <v>12093.341978073795</v>
      </c>
      <c r="U1198" s="106">
        <v>9063.6593575190691</v>
      </c>
      <c r="V1198" s="106">
        <v>0.54919421666320911</v>
      </c>
      <c r="W1198" s="106">
        <v>90498.736128236749</v>
      </c>
      <c r="X1198" s="110">
        <v>0.7154306914797488</v>
      </c>
      <c r="Y1198" s="106">
        <v>699.79743354720449</v>
      </c>
      <c r="Z1198" s="106">
        <v>23.326306141154905</v>
      </c>
      <c r="AA1198" s="106">
        <v>49508.707231058768</v>
      </c>
      <c r="AB1198" s="106">
        <v>302.11841712673538</v>
      </c>
      <c r="AC1198" s="106">
        <v>2.0198467217755596</v>
      </c>
      <c r="AD1198" s="106">
        <v>21.023419520779747</v>
      </c>
      <c r="AE1198" s="106">
        <v>163.8718609143593</v>
      </c>
      <c r="AF1198" s="106">
        <v>-6.1534308885420066E-2</v>
      </c>
      <c r="AG1198" s="106">
        <v>2640</v>
      </c>
      <c r="AH1198" s="106">
        <v>10351.365672521513</v>
      </c>
      <c r="AI1198" s="106">
        <v>10351.365672521513</v>
      </c>
      <c r="AJ1198" s="106">
        <v>10835.362725450901</v>
      </c>
      <c r="AK1198" s="104">
        <v>11136.354709418838</v>
      </c>
      <c r="AL1198" s="118">
        <v>26704082</v>
      </c>
      <c r="AM1198" s="118">
        <v>11381</v>
      </c>
      <c r="AN1198" s="118">
        <v>254493</v>
      </c>
      <c r="AO1198" s="118">
        <v>1518</v>
      </c>
      <c r="AP1198" s="118">
        <f t="shared" si="18"/>
        <v>828</v>
      </c>
    </row>
    <row r="1199" spans="1:42" ht="12.75">
      <c r="A1199" s="106">
        <v>2018</v>
      </c>
      <c r="B1199" s="106">
        <v>-226806</v>
      </c>
      <c r="C1199" s="106">
        <v>0</v>
      </c>
      <c r="D1199" s="106">
        <v>226806</v>
      </c>
      <c r="E1199" s="106" t="s">
        <v>1985</v>
      </c>
      <c r="F1199" s="106" t="s">
        <v>1986</v>
      </c>
      <c r="G1199" s="106" t="s">
        <v>60</v>
      </c>
      <c r="H1199" s="106">
        <v>4</v>
      </c>
      <c r="I1199" s="106" t="s">
        <v>24</v>
      </c>
      <c r="J1199" s="106">
        <v>2670</v>
      </c>
      <c r="K1199" s="106">
        <v>6832</v>
      </c>
      <c r="L1199" s="106">
        <v>5895</v>
      </c>
      <c r="M1199" s="106">
        <v>0.3</v>
      </c>
      <c r="N1199" s="106">
        <v>0.03</v>
      </c>
      <c r="O1199" s="106">
        <v>0.35</v>
      </c>
      <c r="P1199" s="106">
        <v>3233</v>
      </c>
      <c r="Q1199" s="106">
        <v>1073.8917858144098</v>
      </c>
      <c r="R1199" s="106">
        <v>0.26671414351450845</v>
      </c>
      <c r="S1199" s="106">
        <v>17680.05298570227</v>
      </c>
      <c r="T1199" s="106">
        <v>16008.85758340342</v>
      </c>
      <c r="U1199" s="106">
        <v>12040.707793420936</v>
      </c>
      <c r="V1199" s="106">
        <v>0.2452086382920316</v>
      </c>
      <c r="W1199" s="106">
        <v>64875.633720930229</v>
      </c>
      <c r="X1199" s="110">
        <v>0.58622976364272683</v>
      </c>
      <c r="Y1199" s="106">
        <v>550.65694682675814</v>
      </c>
      <c r="Z1199" s="106">
        <v>18.355060034305318</v>
      </c>
      <c r="AA1199" s="106">
        <v>50469.100704033466</v>
      </c>
      <c r="AB1199" s="106">
        <v>401.35317583362905</v>
      </c>
      <c r="AC1199" s="106">
        <v>1.9814103799160432</v>
      </c>
      <c r="AD1199" s="106">
        <v>26.585442049359575</v>
      </c>
      <c r="AE1199" s="106">
        <v>125.74735605170387</v>
      </c>
      <c r="AF1199" s="106">
        <v>6.7242146293570351E-2</v>
      </c>
      <c r="AG1199" s="106">
        <v>1950</v>
      </c>
      <c r="AH1199" s="106">
        <v>16318.233809924306</v>
      </c>
      <c r="AI1199" s="106">
        <v>16801.527333894028</v>
      </c>
      <c r="AJ1199" s="106">
        <v>17798.494533221194</v>
      </c>
      <c r="AK1199" s="104">
        <v>14611.560695262126</v>
      </c>
      <c r="AL1199" s="118">
        <v>39267867</v>
      </c>
      <c r="AM1199" s="118">
        <v>5564</v>
      </c>
      <c r="AN1199" s="118">
        <v>107011</v>
      </c>
      <c r="AO1199" s="118">
        <v>603</v>
      </c>
      <c r="AP1199" s="118">
        <f t="shared" si="18"/>
        <v>720</v>
      </c>
    </row>
    <row r="1200" spans="1:42" ht="12.75">
      <c r="A1200" s="106">
        <v>2018</v>
      </c>
      <c r="B1200" s="106">
        <v>-181330</v>
      </c>
      <c r="C1200" s="106">
        <v>0</v>
      </c>
      <c r="D1200" s="106">
        <v>181330</v>
      </c>
      <c r="E1200" s="106" t="s">
        <v>1987</v>
      </c>
      <c r="F1200" s="106" t="s">
        <v>1988</v>
      </c>
      <c r="G1200" s="106" t="s">
        <v>323</v>
      </c>
      <c r="H1200" s="106">
        <v>7</v>
      </c>
      <c r="I1200" s="106" t="s">
        <v>3641</v>
      </c>
      <c r="J1200" s="106">
        <v>31675</v>
      </c>
      <c r="K1200" s="106">
        <v>23601</v>
      </c>
      <c r="L1200" s="106">
        <v>21413</v>
      </c>
      <c r="M1200" s="106">
        <v>0.4</v>
      </c>
      <c r="N1200" s="106">
        <v>0.87</v>
      </c>
      <c r="O1200" s="106">
        <v>0.99</v>
      </c>
      <c r="P1200" s="106">
        <v>17004</v>
      </c>
      <c r="Q1200" s="106">
        <v>14242.776734104047</v>
      </c>
      <c r="R1200" s="106">
        <v>0.51999972670473071</v>
      </c>
      <c r="S1200" s="106">
        <v>21090.259393063585</v>
      </c>
      <c r="T1200" s="106">
        <v>19540.459537572253</v>
      </c>
      <c r="U1200" s="106">
        <v>16135.254335260115</v>
      </c>
      <c r="V1200" s="106">
        <v>0.81481163208842589</v>
      </c>
      <c r="W1200" s="106">
        <v>56371.34765625</v>
      </c>
      <c r="X1200" s="110">
        <v>0.53361437414796242</v>
      </c>
      <c r="Y1200" s="106">
        <v>502.67901234567898</v>
      </c>
      <c r="Z1200" s="106">
        <v>17.086419753086421</v>
      </c>
      <c r="AA1200" s="106">
        <v>86555.007751937985</v>
      </c>
      <c r="AB1200" s="106">
        <v>548.44885428690714</v>
      </c>
      <c r="AC1200" s="106">
        <v>1.1553346547734666</v>
      </c>
      <c r="AD1200" s="106">
        <v>17.397167902899525</v>
      </c>
      <c r="AE1200" s="106">
        <v>157.81782945736435</v>
      </c>
      <c r="AF1200" s="106">
        <v>0.19184699271864408</v>
      </c>
      <c r="AG1200" s="106">
        <v>31070</v>
      </c>
      <c r="AH1200" s="106">
        <v>17730.558526011562</v>
      </c>
      <c r="AI1200" s="106">
        <v>21301.842485549132</v>
      </c>
      <c r="AJ1200" s="106">
        <v>21460.367052023121</v>
      </c>
      <c r="AK1200" s="104">
        <v>16135.254335260115</v>
      </c>
      <c r="AL1200" s="118"/>
      <c r="AM1200" s="118">
        <v>1658</v>
      </c>
      <c r="AN1200" s="118">
        <v>40717</v>
      </c>
      <c r="AO1200" s="118">
        <v>206</v>
      </c>
      <c r="AP1200" s="118">
        <f t="shared" si="18"/>
        <v>605</v>
      </c>
    </row>
    <row r="1201" spans="1:42" ht="12.75">
      <c r="A1201" s="106">
        <v>2018</v>
      </c>
      <c r="B1201" s="106">
        <v>-218353</v>
      </c>
      <c r="C1201" s="106">
        <v>0</v>
      </c>
      <c r="D1201" s="106">
        <v>218353</v>
      </c>
      <c r="E1201" s="106" t="s">
        <v>1989</v>
      </c>
      <c r="F1201" s="106" t="s">
        <v>1990</v>
      </c>
      <c r="G1201" s="106" t="s">
        <v>79</v>
      </c>
      <c r="H1201" s="106">
        <v>4</v>
      </c>
      <c r="I1201" s="106" t="s">
        <v>24</v>
      </c>
      <c r="J1201" s="106">
        <v>4214</v>
      </c>
      <c r="K1201" s="106">
        <v>5633</v>
      </c>
      <c r="L1201" s="106">
        <v>4061</v>
      </c>
      <c r="M1201" s="106">
        <v>0.48</v>
      </c>
      <c r="N1201" s="106">
        <v>0.28999999999999998</v>
      </c>
      <c r="O1201" s="106">
        <v>0.01</v>
      </c>
      <c r="P1201" s="106">
        <v>1010</v>
      </c>
      <c r="Q1201" s="106">
        <v>761.39776551352804</v>
      </c>
      <c r="R1201" s="106">
        <v>9.9364733479440304E-2</v>
      </c>
      <c r="S1201" s="106">
        <v>13556.936330596312</v>
      </c>
      <c r="T1201" s="106">
        <v>13290.469107551487</v>
      </c>
      <c r="U1201" s="106">
        <v>11415.474626463858</v>
      </c>
      <c r="V1201" s="106">
        <v>0.60455289011059077</v>
      </c>
      <c r="W1201" s="106">
        <v>71984.104513064129</v>
      </c>
      <c r="X1201" s="110">
        <v>0.61387228902203217</v>
      </c>
      <c r="Y1201" s="106">
        <v>566.10584250635065</v>
      </c>
      <c r="Z1201" s="106">
        <v>18.871295512277733</v>
      </c>
      <c r="AA1201" s="106">
        <v>40230.342030360531</v>
      </c>
      <c r="AB1201" s="106">
        <v>380.53801765257543</v>
      </c>
      <c r="AC1201" s="106">
        <v>2.4856860507060379</v>
      </c>
      <c r="AD1201" s="106">
        <v>32.490752157829839</v>
      </c>
      <c r="AE1201" s="106">
        <v>105.7196394686907</v>
      </c>
      <c r="AF1201" s="106">
        <v>0.11742776646958633</v>
      </c>
      <c r="AG1201" s="106">
        <v>3984</v>
      </c>
      <c r="AH1201" s="106">
        <v>13622.019383497105</v>
      </c>
      <c r="AI1201" s="106">
        <v>13622.019383497105</v>
      </c>
      <c r="AJ1201" s="106">
        <v>13653.043882083726</v>
      </c>
      <c r="AK1201" s="104">
        <v>13010.920850720151</v>
      </c>
      <c r="AL1201" s="119">
        <v>30587369</v>
      </c>
      <c r="AM1201" s="118">
        <v>10625</v>
      </c>
      <c r="AN1201" s="118">
        <v>222857</v>
      </c>
      <c r="AO1201" s="118">
        <v>1095</v>
      </c>
      <c r="AP1201" s="118">
        <f t="shared" si="18"/>
        <v>230</v>
      </c>
    </row>
    <row r="1202" spans="1:42" ht="12.75">
      <c r="A1202" s="106">
        <v>2018</v>
      </c>
      <c r="B1202" s="106">
        <v>-181312</v>
      </c>
      <c r="C1202" s="106">
        <v>0</v>
      </c>
      <c r="D1202" s="106">
        <v>181312</v>
      </c>
      <c r="E1202" s="106" t="s">
        <v>1974</v>
      </c>
      <c r="F1202" s="106" t="s">
        <v>1975</v>
      </c>
      <c r="G1202" s="106" t="s">
        <v>323</v>
      </c>
      <c r="H1202" s="106">
        <v>4</v>
      </c>
      <c r="I1202" s="106" t="s">
        <v>24</v>
      </c>
      <c r="J1202" s="106">
        <v>3120</v>
      </c>
      <c r="K1202" s="106">
        <v>6812</v>
      </c>
      <c r="L1202" s="106">
        <v>4460</v>
      </c>
      <c r="M1202" s="106">
        <v>0.41</v>
      </c>
      <c r="N1202" s="106">
        <v>0.32</v>
      </c>
      <c r="O1202" s="106">
        <v>0.78</v>
      </c>
      <c r="P1202" s="106">
        <v>2795</v>
      </c>
      <c r="Q1202" s="106">
        <v>70.253990284524633</v>
      </c>
      <c r="R1202" s="106">
        <v>2.4537480276409011E-2</v>
      </c>
      <c r="S1202" s="106">
        <v>21722.67036780014</v>
      </c>
      <c r="T1202" s="106">
        <v>20920.851492019432</v>
      </c>
      <c r="U1202" s="106">
        <v>14375.043719639139</v>
      </c>
      <c r="V1202" s="106">
        <v>0.19428641993569895</v>
      </c>
      <c r="W1202" s="106">
        <v>58051.0920770878</v>
      </c>
      <c r="X1202" s="110">
        <v>0.59950481884616713</v>
      </c>
      <c r="Y1202" s="106">
        <v>380.83646017699112</v>
      </c>
      <c r="Z1202" s="106">
        <v>12.752212389380531</v>
      </c>
      <c r="AA1202" s="106">
        <v>48173.111627906976</v>
      </c>
      <c r="AB1202" s="106">
        <v>481.34469723375565</v>
      </c>
      <c r="AC1202" s="106">
        <v>2.0758468079124328</v>
      </c>
      <c r="AD1202" s="106">
        <v>33.672670321064999</v>
      </c>
      <c r="AE1202" s="106">
        <v>100.08027906976743</v>
      </c>
      <c r="AF1202" s="106">
        <v>0.11887394050012234</v>
      </c>
      <c r="AG1202" s="106">
        <v>2670</v>
      </c>
      <c r="AH1202" s="106">
        <v>20938.771686328939</v>
      </c>
      <c r="AI1202" s="106">
        <v>20938.771686328939</v>
      </c>
      <c r="AJ1202" s="106">
        <v>21797.514226231782</v>
      </c>
      <c r="AK1202" s="104">
        <v>15315.659264399723</v>
      </c>
      <c r="AL1202" s="118">
        <v>22969818</v>
      </c>
      <c r="AM1202" s="118">
        <v>2221</v>
      </c>
      <c r="AN1202" s="118">
        <v>43034.52</v>
      </c>
      <c r="AO1202" s="118">
        <v>303</v>
      </c>
      <c r="AP1202" s="118">
        <f t="shared" si="18"/>
        <v>450</v>
      </c>
    </row>
    <row r="1203" spans="1:42" ht="12.75">
      <c r="A1203" s="106">
        <v>2018</v>
      </c>
      <c r="B1203" s="106">
        <v>-239220</v>
      </c>
      <c r="C1203" s="106">
        <v>0</v>
      </c>
      <c r="D1203" s="106">
        <v>239220</v>
      </c>
      <c r="E1203" s="106" t="s">
        <v>1976</v>
      </c>
      <c r="F1203" s="106" t="s">
        <v>1977</v>
      </c>
      <c r="G1203" s="106" t="s">
        <v>139</v>
      </c>
      <c r="H1203" s="106">
        <v>4</v>
      </c>
      <c r="I1203" s="106" t="s">
        <v>24</v>
      </c>
      <c r="J1203" s="106">
        <v>4371</v>
      </c>
      <c r="K1203" s="106">
        <v>9224</v>
      </c>
      <c r="L1203" s="106">
        <v>8217</v>
      </c>
      <c r="M1203" s="106">
        <v>0.61</v>
      </c>
      <c r="N1203" s="106">
        <v>0.49</v>
      </c>
      <c r="O1203" s="106">
        <v>0.08</v>
      </c>
      <c r="P1203" s="106">
        <v>1080</v>
      </c>
      <c r="Q1203" s="107">
        <v>196.95958948043616</v>
      </c>
      <c r="R1203" s="106">
        <v>4.4949195376319591E-2</v>
      </c>
      <c r="S1203" s="106">
        <v>24974.806927517639</v>
      </c>
      <c r="T1203" s="106">
        <v>25285.291212315587</v>
      </c>
      <c r="U1203" s="106">
        <v>19017.824246311739</v>
      </c>
      <c r="V1203" s="106">
        <v>0.22004973694034305</v>
      </c>
      <c r="W1203" s="106">
        <v>103112.583218707</v>
      </c>
      <c r="X1203" s="110">
        <v>0.63388539897329177</v>
      </c>
      <c r="Y1203" s="106">
        <v>421.30630630630628</v>
      </c>
      <c r="Z1203" s="106">
        <v>14.045045045045045</v>
      </c>
      <c r="AA1203" s="106">
        <v>34315.726851851854</v>
      </c>
      <c r="AB1203" s="106">
        <v>633.99525286004496</v>
      </c>
      <c r="AC1203" s="106">
        <v>2.9141157473283563</v>
      </c>
      <c r="AD1203" s="106">
        <v>59.833795013850413</v>
      </c>
      <c r="AE1203" s="106">
        <v>54.126157407407405</v>
      </c>
      <c r="AF1203" s="106">
        <v>-6.7849534695146768E-5</v>
      </c>
      <c r="AG1203" s="106">
        <v>3966</v>
      </c>
      <c r="AH1203" s="106">
        <v>23365.885182809492</v>
      </c>
      <c r="AI1203" s="106">
        <v>23365.885182809492</v>
      </c>
      <c r="AJ1203" s="106">
        <v>25102.904425914046</v>
      </c>
      <c r="AK1203" s="104">
        <v>20685.437459910198</v>
      </c>
      <c r="AL1203" s="118">
        <v>25196492</v>
      </c>
      <c r="AM1203" s="118">
        <v>2749</v>
      </c>
      <c r="AN1203" s="118">
        <v>46765</v>
      </c>
      <c r="AO1203" s="118">
        <v>328</v>
      </c>
      <c r="AP1203" s="118">
        <f t="shared" si="18"/>
        <v>405</v>
      </c>
    </row>
    <row r="1204" spans="1:42" ht="12.75">
      <c r="A1204" s="106">
        <v>2018</v>
      </c>
      <c r="B1204" s="106">
        <v>-157377</v>
      </c>
      <c r="C1204" s="106">
        <v>0</v>
      </c>
      <c r="D1204" s="106">
        <v>157377</v>
      </c>
      <c r="E1204" s="106" t="s">
        <v>1991</v>
      </c>
      <c r="F1204" s="106" t="s">
        <v>1992</v>
      </c>
      <c r="G1204" s="106" t="s">
        <v>118</v>
      </c>
      <c r="H1204" s="106">
        <v>6</v>
      </c>
      <c r="I1204" s="106" t="s">
        <v>3640</v>
      </c>
      <c r="J1204" s="106">
        <v>23950</v>
      </c>
      <c r="K1204" s="106">
        <v>22791</v>
      </c>
      <c r="L1204" s="106">
        <v>18443</v>
      </c>
      <c r="M1204" s="106">
        <v>0.39</v>
      </c>
      <c r="N1204" s="106">
        <v>0.72</v>
      </c>
      <c r="O1204" s="106">
        <v>1</v>
      </c>
      <c r="P1204" s="106">
        <v>11194</v>
      </c>
      <c r="Q1204" s="106">
        <v>5519.100487804878</v>
      </c>
      <c r="R1204" s="106">
        <v>0.31271220895764129</v>
      </c>
      <c r="S1204" s="106">
        <v>17991.463414634145</v>
      </c>
      <c r="T1204" s="106">
        <v>16980.744390243901</v>
      </c>
      <c r="U1204" s="106">
        <v>14319.506341463415</v>
      </c>
      <c r="V1204" s="106">
        <v>0.84709876222739389</v>
      </c>
      <c r="W1204" s="106">
        <v>61215.622377622378</v>
      </c>
      <c r="X1204" s="110">
        <v>0.50294178260908784</v>
      </c>
      <c r="Y1204" s="106">
        <v>511.86206896551727</v>
      </c>
      <c r="Z1204" s="106">
        <v>17.672413793103448</v>
      </c>
      <c r="AA1204" s="106">
        <v>44076.558558558558</v>
      </c>
      <c r="AB1204" s="106">
        <v>494.391471301536</v>
      </c>
      <c r="AC1204" s="106">
        <v>2.2687796704260279</v>
      </c>
      <c r="AD1204" s="106">
        <v>31.774809160305345</v>
      </c>
      <c r="AE1204" s="106">
        <v>89.153153153153156</v>
      </c>
      <c r="AF1204" s="106">
        <v>4.9003294649787511E-2</v>
      </c>
      <c r="AG1204" s="106">
        <v>23700</v>
      </c>
      <c r="AH1204" s="106">
        <v>15375.035121951219</v>
      </c>
      <c r="AI1204" s="106">
        <v>17991.463414634145</v>
      </c>
      <c r="AJ1204" s="106">
        <v>19711.198048780487</v>
      </c>
      <c r="AK1204" s="104">
        <v>14319.506341463415</v>
      </c>
      <c r="AL1204" s="118"/>
      <c r="AM1204" s="118">
        <v>1002</v>
      </c>
      <c r="AN1204" s="118">
        <v>29688</v>
      </c>
      <c r="AO1204" s="118">
        <v>259</v>
      </c>
      <c r="AP1204" s="118">
        <f t="shared" si="18"/>
        <v>250</v>
      </c>
    </row>
    <row r="1205" spans="1:42" ht="12.75">
      <c r="A1205" s="106">
        <v>2018</v>
      </c>
      <c r="B1205" s="106">
        <v>-226833</v>
      </c>
      <c r="C1205" s="106">
        <v>0</v>
      </c>
      <c r="D1205" s="106">
        <v>226833</v>
      </c>
      <c r="E1205" s="106" t="s">
        <v>1993</v>
      </c>
      <c r="F1205" s="106" t="s">
        <v>1994</v>
      </c>
      <c r="G1205" s="106" t="s">
        <v>60</v>
      </c>
      <c r="H1205" s="106">
        <v>2</v>
      </c>
      <c r="I1205" s="106" t="s">
        <v>25</v>
      </c>
      <c r="J1205" s="106">
        <v>8486</v>
      </c>
      <c r="K1205" s="106">
        <v>10395</v>
      </c>
      <c r="L1205" s="106">
        <v>8044</v>
      </c>
      <c r="M1205" s="106">
        <v>0.49</v>
      </c>
      <c r="N1205" s="106">
        <v>0.56000000000000005</v>
      </c>
      <c r="O1205" s="106">
        <v>0.62</v>
      </c>
      <c r="P1205" s="106">
        <v>3620</v>
      </c>
      <c r="Q1205" s="106">
        <v>2443.5132657042527</v>
      </c>
      <c r="R1205" s="106">
        <v>0.24636804075310426</v>
      </c>
      <c r="S1205" s="106">
        <v>20180.248536870855</v>
      </c>
      <c r="T1205" s="106">
        <v>20921.671283651969</v>
      </c>
      <c r="U1205" s="106">
        <v>16494.498885330031</v>
      </c>
      <c r="V1205" s="106">
        <v>0.45315889875845328</v>
      </c>
      <c r="W1205" s="106">
        <v>70024.377192982458</v>
      </c>
      <c r="X1205" s="110">
        <v>0.44661199227891313</v>
      </c>
      <c r="Y1205" s="106">
        <v>560.1126237623763</v>
      </c>
      <c r="Z1205" s="106">
        <v>19.032178217821784</v>
      </c>
      <c r="AA1205" s="106">
        <v>61806.14129108315</v>
      </c>
      <c r="AB1205" s="106">
        <v>560.46985745574784</v>
      </c>
      <c r="AC1205" s="106">
        <v>1.6179621945501901</v>
      </c>
      <c r="AD1205" s="106">
        <v>27.019553624333398</v>
      </c>
      <c r="AE1205" s="106">
        <v>110.27558479532163</v>
      </c>
      <c r="AF1205" s="106">
        <v>0.16862724648555569</v>
      </c>
      <c r="AG1205" s="106">
        <v>5216</v>
      </c>
      <c r="AH1205" s="106">
        <v>17756.158603199376</v>
      </c>
      <c r="AI1205" s="106">
        <v>18727.306476785019</v>
      </c>
      <c r="AJ1205" s="106">
        <v>20620.31525555989</v>
      </c>
      <c r="AK1205" s="104">
        <v>19411.290089738588</v>
      </c>
      <c r="AL1205" s="118">
        <v>27373121</v>
      </c>
      <c r="AM1205" s="118">
        <v>5330</v>
      </c>
      <c r="AN1205" s="118">
        <v>150857</v>
      </c>
      <c r="AO1205" s="118">
        <v>1138</v>
      </c>
      <c r="AP1205" s="118">
        <f t="shared" si="18"/>
        <v>3270</v>
      </c>
    </row>
    <row r="1206" spans="1:42" ht="12.75">
      <c r="A1206" s="106">
        <v>2018</v>
      </c>
      <c r="B1206" s="106">
        <v>-101675</v>
      </c>
      <c r="C1206" s="106">
        <v>0</v>
      </c>
      <c r="D1206" s="106">
        <v>101675</v>
      </c>
      <c r="E1206" s="106" t="s">
        <v>1995</v>
      </c>
      <c r="F1206" s="106" t="s">
        <v>1206</v>
      </c>
      <c r="G1206" s="106" t="s">
        <v>85</v>
      </c>
      <c r="H1206" s="106">
        <v>7</v>
      </c>
      <c r="I1206" s="106" t="s">
        <v>3641</v>
      </c>
      <c r="J1206" s="106">
        <v>11794</v>
      </c>
      <c r="K1206" s="106">
        <v>15246</v>
      </c>
      <c r="L1206" s="106">
        <v>15071</v>
      </c>
      <c r="M1206" s="106">
        <v>0.91</v>
      </c>
      <c r="N1206" s="106">
        <v>0.93</v>
      </c>
      <c r="O1206" s="106">
        <v>0.36</v>
      </c>
      <c r="P1206" s="106">
        <v>5853</v>
      </c>
      <c r="Q1206" s="106">
        <v>2319.6208853575481</v>
      </c>
      <c r="R1206" s="106">
        <v>0.3291528307361527</v>
      </c>
      <c r="S1206" s="106">
        <v>17074.144721906923</v>
      </c>
      <c r="T1206" s="106">
        <v>17546.203178206582</v>
      </c>
      <c r="U1206" s="106">
        <v>11880.812381975851</v>
      </c>
      <c r="V1206" s="106">
        <v>0.39792100961782417</v>
      </c>
      <c r="W1206" s="106">
        <v>50736.455865921787</v>
      </c>
      <c r="X1206" s="110">
        <v>0.48959035023794806</v>
      </c>
      <c r="Y1206" s="106">
        <v>504.984076433121</v>
      </c>
      <c r="Z1206" s="106">
        <v>16.834394904458598</v>
      </c>
      <c r="AA1206" s="106">
        <v>70962.68276963204</v>
      </c>
      <c r="AB1206" s="106">
        <v>396.06454293901146</v>
      </c>
      <c r="AC1206" s="106">
        <v>1.4091913678719357</v>
      </c>
      <c r="AD1206" s="106">
        <v>18.530150753768844</v>
      </c>
      <c r="AE1206" s="106">
        <v>179.16949152542372</v>
      </c>
      <c r="AF1206" s="106">
        <v>4.33707143775391E-3</v>
      </c>
      <c r="AG1206" s="106">
        <v>10632</v>
      </c>
      <c r="AH1206" s="106">
        <v>11081.9438138479</v>
      </c>
      <c r="AI1206" s="106">
        <v>12309.023836549375</v>
      </c>
      <c r="AJ1206" s="106">
        <v>17687.087400681045</v>
      </c>
      <c r="AK1206" s="104">
        <v>11886.726447219069</v>
      </c>
      <c r="AM1206" s="118">
        <v>1650</v>
      </c>
      <c r="AN1206" s="118">
        <v>52855</v>
      </c>
      <c r="AO1206" s="118">
        <v>295</v>
      </c>
      <c r="AP1206" s="118">
        <f t="shared" si="18"/>
        <v>1162</v>
      </c>
    </row>
    <row r="1207" spans="1:42" ht="12.75">
      <c r="A1207" s="106">
        <v>2018</v>
      </c>
      <c r="B1207" s="106">
        <v>-180373</v>
      </c>
      <c r="C1207" s="106">
        <v>0</v>
      </c>
      <c r="D1207" s="106">
        <v>180373</v>
      </c>
      <c r="E1207" s="106" t="s">
        <v>1996</v>
      </c>
      <c r="F1207" s="106" t="s">
        <v>1997</v>
      </c>
      <c r="G1207" s="106" t="s">
        <v>608</v>
      </c>
      <c r="H1207" s="106">
        <v>4</v>
      </c>
      <c r="I1207" s="106" t="s">
        <v>24</v>
      </c>
      <c r="J1207" s="106">
        <v>4125</v>
      </c>
      <c r="K1207" s="106">
        <v>7739</v>
      </c>
      <c r="L1207" s="106">
        <v>5994</v>
      </c>
      <c r="M1207" s="106">
        <v>0.33</v>
      </c>
      <c r="N1207" s="106">
        <v>0.67</v>
      </c>
      <c r="O1207" s="106">
        <v>0.43</v>
      </c>
      <c r="P1207" s="106">
        <v>5082</v>
      </c>
      <c r="Q1207" s="106">
        <v>2318.3528037383176</v>
      </c>
      <c r="R1207" s="106">
        <v>0.41663867395149085</v>
      </c>
      <c r="S1207" s="106">
        <v>20832.766355140186</v>
      </c>
      <c r="T1207" s="106">
        <v>23364.537383177569</v>
      </c>
      <c r="U1207" s="106">
        <v>14120.718152460255</v>
      </c>
      <c r="V1207" s="106">
        <v>0.22987979237045977</v>
      </c>
      <c r="W1207" s="106">
        <v>59838.962686567167</v>
      </c>
      <c r="X1207" s="110">
        <v>0.53456022396750724</v>
      </c>
      <c r="Y1207" s="106">
        <v>377.94117647058823</v>
      </c>
      <c r="Z1207" s="106">
        <v>12.588235294117647</v>
      </c>
      <c r="AA1207" s="106">
        <v>52100.580769422319</v>
      </c>
      <c r="AB1207" s="106">
        <v>470.32430889128318</v>
      </c>
      <c r="AC1207" s="106">
        <v>1.9193644009951172</v>
      </c>
      <c r="AD1207" s="106">
        <v>34.017595307917887</v>
      </c>
      <c r="AE1207" s="106">
        <v>110.77586206896552</v>
      </c>
      <c r="AF1207" s="106">
        <v>-0.1432102339375069</v>
      </c>
      <c r="AG1207" s="106">
        <v>2550</v>
      </c>
      <c r="AH1207" s="106">
        <v>18244.964953271028</v>
      </c>
      <c r="AI1207" s="106">
        <v>18244.964953271028</v>
      </c>
      <c r="AJ1207" s="106">
        <v>20895.663551401871</v>
      </c>
      <c r="AK1207" s="104">
        <v>17198.794392523363</v>
      </c>
      <c r="AL1207" s="118">
        <v>3753975</v>
      </c>
      <c r="AM1207" s="118">
        <v>459</v>
      </c>
      <c r="AN1207" s="118">
        <v>12850</v>
      </c>
      <c r="AO1207" s="118">
        <v>95</v>
      </c>
      <c r="AP1207" s="118">
        <f t="shared" si="18"/>
        <v>1575</v>
      </c>
    </row>
    <row r="1208" spans="1:42" ht="12.75">
      <c r="A1208" s="106">
        <v>2018</v>
      </c>
      <c r="B1208" s="106">
        <v>-214041</v>
      </c>
      <c r="C1208" s="106">
        <v>0</v>
      </c>
      <c r="D1208" s="106">
        <v>214041</v>
      </c>
      <c r="E1208" s="106" t="s">
        <v>1998</v>
      </c>
      <c r="F1208" s="106" t="s">
        <v>1999</v>
      </c>
      <c r="G1208" s="106" t="s">
        <v>104</v>
      </c>
      <c r="H1208" s="106">
        <v>2</v>
      </c>
      <c r="I1208" s="106" t="s">
        <v>25</v>
      </c>
      <c r="J1208" s="106">
        <v>11858</v>
      </c>
      <c r="K1208" s="106">
        <v>19481</v>
      </c>
      <c r="L1208" s="106">
        <v>16974</v>
      </c>
      <c r="M1208" s="106">
        <v>0.35</v>
      </c>
      <c r="N1208" s="106">
        <v>0.75</v>
      </c>
      <c r="O1208" s="106">
        <v>0.39</v>
      </c>
      <c r="P1208" s="106">
        <v>3802</v>
      </c>
      <c r="Q1208" s="106">
        <v>843.36580775911989</v>
      </c>
      <c r="R1208" s="106">
        <v>6.9961109187151024E-2</v>
      </c>
      <c r="S1208" s="106">
        <v>22926.282136653157</v>
      </c>
      <c r="T1208" s="106">
        <v>24639.455269253041</v>
      </c>
      <c r="U1208" s="106">
        <v>15879.820791976937</v>
      </c>
      <c r="V1208" s="106">
        <v>0.70601644304714462</v>
      </c>
      <c r="W1208" s="106">
        <v>121014.66002256487</v>
      </c>
      <c r="X1208" s="110">
        <v>0.63016116675653733</v>
      </c>
      <c r="Y1208" s="106">
        <v>588.33590733590734</v>
      </c>
      <c r="Z1208" s="106">
        <v>20.003861003861005</v>
      </c>
      <c r="AA1208" s="106">
        <v>63963.732962668619</v>
      </c>
      <c r="AB1208" s="106">
        <v>539.92578717036145</v>
      </c>
      <c r="AC1208" s="106">
        <v>1.5633859277469526</v>
      </c>
      <c r="AD1208" s="106">
        <v>25.97697667373523</v>
      </c>
      <c r="AE1208" s="106">
        <v>118.46763848396502</v>
      </c>
      <c r="AF1208" s="106">
        <v>0.37542835353361353</v>
      </c>
      <c r="AG1208" s="106">
        <v>9270</v>
      </c>
      <c r="AH1208" s="106">
        <v>22371.976259409381</v>
      </c>
      <c r="AI1208" s="106">
        <v>22962.272003474234</v>
      </c>
      <c r="AJ1208" s="106">
        <v>23262.398089171973</v>
      </c>
      <c r="AK1208" s="104">
        <v>17918.110596409959</v>
      </c>
      <c r="AL1208" s="119">
        <v>33793847</v>
      </c>
      <c r="AM1208" s="118">
        <v>6758</v>
      </c>
      <c r="AN1208" s="118">
        <v>203172</v>
      </c>
      <c r="AO1208" s="118">
        <v>1450</v>
      </c>
      <c r="AP1208" s="118">
        <f t="shared" si="18"/>
        <v>2588</v>
      </c>
    </row>
    <row r="1209" spans="1:42" ht="12.75">
      <c r="A1209" s="106">
        <v>2018</v>
      </c>
      <c r="B1209" s="106">
        <v>-486901</v>
      </c>
      <c r="C1209" s="106">
        <v>0</v>
      </c>
      <c r="D1209" s="106">
        <v>486901</v>
      </c>
      <c r="E1209" s="106" t="s">
        <v>2000</v>
      </c>
      <c r="F1209" s="106" t="s">
        <v>2000</v>
      </c>
      <c r="G1209" s="106" t="s">
        <v>255</v>
      </c>
      <c r="H1209" s="106">
        <v>6</v>
      </c>
      <c r="I1209" s="106" t="s">
        <v>3640</v>
      </c>
      <c r="J1209" s="106">
        <v>32500</v>
      </c>
      <c r="K1209" s="106">
        <v>20362</v>
      </c>
      <c r="L1209" s="106">
        <v>14060</v>
      </c>
      <c r="M1209" s="106">
        <v>0.27</v>
      </c>
      <c r="N1209" s="106">
        <v>0.62</v>
      </c>
      <c r="O1209" s="106">
        <v>1</v>
      </c>
      <c r="P1209" s="106">
        <v>19933</v>
      </c>
      <c r="Q1209" s="106">
        <v>11988.580017683465</v>
      </c>
      <c r="R1209" s="106">
        <v>0.46743466728296829</v>
      </c>
      <c r="S1209" s="106">
        <v>22826.607427055704</v>
      </c>
      <c r="T1209" s="106">
        <v>23673.733863837311</v>
      </c>
      <c r="U1209" s="106">
        <v>20053.712643678162</v>
      </c>
      <c r="V1209" s="106">
        <v>0.68112203878275801</v>
      </c>
      <c r="W1209" s="106">
        <v>60344.080779944285</v>
      </c>
      <c r="X1209" s="110">
        <v>0.53939696641564017</v>
      </c>
      <c r="Y1209" s="106">
        <v>296.06481481481484</v>
      </c>
      <c r="Z1209" s="106">
        <v>10.472222222222221</v>
      </c>
      <c r="AA1209" s="106">
        <v>81879.960288808667</v>
      </c>
      <c r="AB1209" s="106">
        <v>709.32756841282253</v>
      </c>
      <c r="AC1209" s="106">
        <v>1.2213000549496844</v>
      </c>
      <c r="AD1209" s="106">
        <v>26.132075471698112</v>
      </c>
      <c r="AE1209" s="106">
        <v>115.4332129963899</v>
      </c>
      <c r="AF1209" s="106">
        <v>3.0917541505360753E-2</v>
      </c>
      <c r="AG1209" s="106">
        <v>31300</v>
      </c>
      <c r="AH1209" s="106">
        <v>18334.456233421752</v>
      </c>
      <c r="AI1209" s="106">
        <v>22826.611847922191</v>
      </c>
      <c r="AJ1209" s="106">
        <v>26020.733863837311</v>
      </c>
      <c r="AK1209" s="104">
        <v>20053.712643678162</v>
      </c>
      <c r="AL1209" s="118"/>
      <c r="AM1209" s="118">
        <v>859</v>
      </c>
      <c r="AN1209" s="118">
        <v>31975</v>
      </c>
      <c r="AO1209" s="118">
        <v>172</v>
      </c>
      <c r="AP1209" s="118">
        <f t="shared" si="18"/>
        <v>1200</v>
      </c>
    </row>
    <row r="1210" spans="1:42" ht="12.75">
      <c r="A1210" s="106">
        <v>2018</v>
      </c>
      <c r="B1210" s="106">
        <v>-147244</v>
      </c>
      <c r="C1210" s="106">
        <v>0</v>
      </c>
      <c r="D1210" s="106">
        <v>147244</v>
      </c>
      <c r="E1210" s="106" t="s">
        <v>2001</v>
      </c>
      <c r="F1210" s="106" t="s">
        <v>76</v>
      </c>
      <c r="G1210" s="106" t="s">
        <v>243</v>
      </c>
      <c r="H1210" s="106">
        <v>7</v>
      </c>
      <c r="I1210" s="106" t="s">
        <v>3641</v>
      </c>
      <c r="J1210" s="106">
        <v>33066</v>
      </c>
      <c r="K1210" s="106">
        <v>21348</v>
      </c>
      <c r="L1210" s="106">
        <v>16053</v>
      </c>
      <c r="M1210" s="106">
        <v>0.41</v>
      </c>
      <c r="N1210" s="106">
        <v>0.75</v>
      </c>
      <c r="O1210" s="106">
        <v>1</v>
      </c>
      <c r="P1210" s="106">
        <v>20924</v>
      </c>
      <c r="Q1210" s="106">
        <v>15123.445800093852</v>
      </c>
      <c r="R1210" s="106">
        <v>0.52877606415195544</v>
      </c>
      <c r="S1210" s="106">
        <v>22252.003754106052</v>
      </c>
      <c r="T1210" s="106">
        <v>26359.730642890663</v>
      </c>
      <c r="U1210" s="106">
        <v>22384.238854997653</v>
      </c>
      <c r="V1210" s="106">
        <v>0.60209355341595538</v>
      </c>
      <c r="W1210" s="106">
        <v>77155.189884649502</v>
      </c>
      <c r="X1210" s="110">
        <v>0.51599249854724505</v>
      </c>
      <c r="Y1210" s="106">
        <v>346.84786641929503</v>
      </c>
      <c r="Z1210" s="106">
        <v>11.860853432282005</v>
      </c>
      <c r="AA1210" s="106">
        <v>109155.17848970252</v>
      </c>
      <c r="AB1210" s="106">
        <v>765.45425806762205</v>
      </c>
      <c r="AC1210" s="106">
        <v>0.91612694316132515</v>
      </c>
      <c r="AD1210" s="106">
        <v>22.330097087378643</v>
      </c>
      <c r="AE1210" s="106">
        <v>142.60183066361557</v>
      </c>
      <c r="AF1210" s="106">
        <v>-4.2682009443658613E-3</v>
      </c>
      <c r="AG1210" s="106">
        <v>32274</v>
      </c>
      <c r="AH1210" s="106">
        <v>17655.269357109337</v>
      </c>
      <c r="AI1210" s="106">
        <v>22252.003754106052</v>
      </c>
      <c r="AJ1210" s="106">
        <v>25785.96292820272</v>
      </c>
      <c r="AK1210" s="104">
        <v>22384.238854997653</v>
      </c>
      <c r="AL1210" s="118"/>
      <c r="AM1210" s="118">
        <v>1950</v>
      </c>
      <c r="AN1210" s="118">
        <v>62317</v>
      </c>
      <c r="AO1210" s="118">
        <v>388</v>
      </c>
      <c r="AP1210" s="118">
        <f t="shared" si="18"/>
        <v>792</v>
      </c>
    </row>
    <row r="1211" spans="1:42" ht="12.75">
      <c r="A1211" s="106">
        <v>2018</v>
      </c>
      <c r="B1211" s="106">
        <v>-118888</v>
      </c>
      <c r="C1211" s="106">
        <v>0</v>
      </c>
      <c r="D1211" s="106">
        <v>118888</v>
      </c>
      <c r="E1211" s="106" t="s">
        <v>2002</v>
      </c>
      <c r="F1211" s="106" t="s">
        <v>1504</v>
      </c>
      <c r="G1211" s="106" t="s">
        <v>121</v>
      </c>
      <c r="H1211" s="106">
        <v>6</v>
      </c>
      <c r="I1211" s="106" t="s">
        <v>3640</v>
      </c>
      <c r="J1211" s="106">
        <v>46236</v>
      </c>
      <c r="K1211" s="106">
        <v>24900</v>
      </c>
      <c r="L1211" s="106">
        <v>18291</v>
      </c>
      <c r="M1211" s="106">
        <v>0.56000000000000005</v>
      </c>
      <c r="N1211" s="106">
        <v>0.68</v>
      </c>
      <c r="O1211" s="106">
        <v>1</v>
      </c>
      <c r="P1211" s="106">
        <v>30755</v>
      </c>
      <c r="Q1211" s="106">
        <v>19218.502904564317</v>
      </c>
      <c r="R1211" s="106">
        <v>0.52006947795083391</v>
      </c>
      <c r="S1211" s="106">
        <v>41377.667219917013</v>
      </c>
      <c r="T1211" s="106">
        <v>51419.334439834027</v>
      </c>
      <c r="U1211" s="106">
        <v>37514.228861002681</v>
      </c>
      <c r="V1211" s="106">
        <v>0.47275979343329366</v>
      </c>
      <c r="W1211" s="106">
        <v>107754.45342205322</v>
      </c>
      <c r="X1211" s="110">
        <v>0.60984043362735274</v>
      </c>
      <c r="Y1211" s="106">
        <v>254.17766497461926</v>
      </c>
      <c r="Z1211" s="106">
        <v>9.1751269035532985</v>
      </c>
      <c r="AA1211" s="106">
        <v>97845.553630970186</v>
      </c>
      <c r="AB1211" s="106">
        <v>1354.1622963725429</v>
      </c>
      <c r="AC1211" s="106">
        <v>1.0220188479606893</v>
      </c>
      <c r="AD1211" s="106">
        <v>39.588688946015424</v>
      </c>
      <c r="AE1211" s="106">
        <v>72.255411255411261</v>
      </c>
      <c r="AF1211" s="106">
        <v>-2.81716464359956E-3</v>
      </c>
      <c r="AG1211" s="106">
        <v>44765</v>
      </c>
      <c r="AH1211" s="106">
        <v>33315.51867219917</v>
      </c>
      <c r="AI1211" s="106">
        <v>40067.648132780087</v>
      </c>
      <c r="AJ1211" s="106">
        <v>50745.399170124481</v>
      </c>
      <c r="AK1211" s="104">
        <v>43269.165145228217</v>
      </c>
      <c r="AL1211" s="118"/>
      <c r="AM1211" s="118">
        <v>761</v>
      </c>
      <c r="AN1211" s="118">
        <v>33382</v>
      </c>
      <c r="AO1211" s="118">
        <v>196</v>
      </c>
      <c r="AP1211" s="118">
        <f t="shared" si="18"/>
        <v>1471</v>
      </c>
    </row>
    <row r="1212" spans="1:42" ht="12.75">
      <c r="A1212" s="106">
        <v>2018</v>
      </c>
      <c r="B1212" s="106">
        <v>-175980</v>
      </c>
      <c r="C1212" s="106">
        <v>0</v>
      </c>
      <c r="D1212" s="106">
        <v>175980</v>
      </c>
      <c r="E1212" s="106" t="s">
        <v>2003</v>
      </c>
      <c r="F1212" s="106" t="s">
        <v>273</v>
      </c>
      <c r="G1212" s="106" t="s">
        <v>107</v>
      </c>
      <c r="H1212" s="106">
        <v>7</v>
      </c>
      <c r="I1212" s="106" t="s">
        <v>3641</v>
      </c>
      <c r="J1212" s="106">
        <v>38930</v>
      </c>
      <c r="K1212" s="106">
        <v>24125</v>
      </c>
      <c r="L1212" s="106">
        <v>19872</v>
      </c>
      <c r="M1212" s="106">
        <v>0.34</v>
      </c>
      <c r="N1212" s="106">
        <v>0.76</v>
      </c>
      <c r="O1212" s="106">
        <v>1</v>
      </c>
      <c r="P1212" s="106">
        <v>28034</v>
      </c>
      <c r="Q1212" s="106">
        <v>21631.402323125661</v>
      </c>
      <c r="R1212" s="106">
        <v>0.62756198705996047</v>
      </c>
      <c r="S1212" s="106">
        <v>37784.26082365364</v>
      </c>
      <c r="T1212" s="106">
        <v>41568.953537486799</v>
      </c>
      <c r="U1212" s="106">
        <v>35655.295670538544</v>
      </c>
      <c r="V1212" s="106">
        <v>0.3600460113728291</v>
      </c>
      <c r="W1212" s="106">
        <v>70627.522595596747</v>
      </c>
      <c r="X1212" s="110">
        <v>0.51611257782421738</v>
      </c>
      <c r="Y1212" s="106">
        <v>295.73239436619718</v>
      </c>
      <c r="Z1212" s="106">
        <v>10.003521126760562</v>
      </c>
      <c r="AA1212" s="106">
        <v>153479.84090909091</v>
      </c>
      <c r="AB1212" s="106">
        <v>1206.0853336190885</v>
      </c>
      <c r="AC1212" s="106">
        <v>0.65155136601445884</v>
      </c>
      <c r="AD1212" s="106">
        <v>26.128266033254157</v>
      </c>
      <c r="AE1212" s="106">
        <v>127.25454545454545</v>
      </c>
      <c r="AF1212" s="106">
        <v>3.5638055885220482E-2</v>
      </c>
      <c r="AG1212" s="106">
        <v>36380</v>
      </c>
      <c r="AH1212" s="106">
        <v>32918.204857444565</v>
      </c>
      <c r="AI1212" s="106">
        <v>37784.26082365364</v>
      </c>
      <c r="AJ1212" s="106">
        <v>46403.313621964095</v>
      </c>
      <c r="AK1212" s="104">
        <v>35655.295670538544</v>
      </c>
      <c r="AL1212" s="118"/>
      <c r="AM1212" s="118">
        <v>807</v>
      </c>
      <c r="AN1212" s="118">
        <v>27996</v>
      </c>
      <c r="AO1212" s="118">
        <v>185</v>
      </c>
      <c r="AP1212" s="118">
        <f t="shared" si="18"/>
        <v>2550</v>
      </c>
    </row>
    <row r="1213" spans="1:42" ht="12.75">
      <c r="A1213" s="106">
        <v>2018</v>
      </c>
      <c r="B1213" s="106">
        <v>-239248</v>
      </c>
      <c r="C1213" s="106">
        <v>0</v>
      </c>
      <c r="D1213" s="106">
        <v>239248</v>
      </c>
      <c r="E1213" s="106" t="s">
        <v>2004</v>
      </c>
      <c r="F1213" s="106" t="s">
        <v>138</v>
      </c>
      <c r="G1213" s="106" t="s">
        <v>139</v>
      </c>
      <c r="H1213" s="106">
        <v>4</v>
      </c>
      <c r="I1213" s="106" t="s">
        <v>24</v>
      </c>
      <c r="J1213" s="106">
        <v>4491</v>
      </c>
      <c r="K1213" s="106">
        <v>7183</v>
      </c>
      <c r="L1213" s="106">
        <v>6594</v>
      </c>
      <c r="M1213" s="106">
        <v>0.69</v>
      </c>
      <c r="N1213" s="106">
        <v>0.36</v>
      </c>
      <c r="O1213" s="106">
        <v>0.11</v>
      </c>
      <c r="P1213" s="106">
        <v>818</v>
      </c>
      <c r="Q1213" s="106">
        <v>287.5266210416425</v>
      </c>
      <c r="R1213" s="106">
        <v>6.1162741199152118E-2</v>
      </c>
      <c r="S1213" s="106">
        <v>29212.114951861731</v>
      </c>
      <c r="T1213" s="106">
        <v>28516.713258322699</v>
      </c>
      <c r="U1213" s="106">
        <v>23385.292193481033</v>
      </c>
      <c r="V1213" s="106">
        <v>0.18872899847068969</v>
      </c>
      <c r="W1213" s="106">
        <v>107664.20774193549</v>
      </c>
      <c r="X1213" s="110">
        <v>0.67880640776698631</v>
      </c>
      <c r="Y1213" s="106">
        <v>355.43334860284017</v>
      </c>
      <c r="Z1213" s="106">
        <v>11.847457627118645</v>
      </c>
      <c r="AA1213" s="106">
        <v>60834.219674109838</v>
      </c>
      <c r="AB1213" s="106">
        <v>779.48864238295369</v>
      </c>
      <c r="AC1213" s="106">
        <v>1.6438116661264341</v>
      </c>
      <c r="AD1213" s="106">
        <v>42.722702075544674</v>
      </c>
      <c r="AE1213" s="106">
        <v>78.043753771876879</v>
      </c>
      <c r="AF1213" s="106"/>
      <c r="AG1213" s="106">
        <v>3966</v>
      </c>
      <c r="AH1213" s="106">
        <v>27636.056837953834</v>
      </c>
      <c r="AI1213" s="106">
        <v>28315.508873680548</v>
      </c>
      <c r="AJ1213" s="106">
        <v>29683.378146386731</v>
      </c>
      <c r="AK1213" s="104">
        <v>24880.438928198586</v>
      </c>
      <c r="AL1213" s="118">
        <v>167529213</v>
      </c>
      <c r="AM1213" s="118">
        <v>13587</v>
      </c>
      <c r="AN1213" s="118">
        <v>258637</v>
      </c>
      <c r="AO1213" s="118">
        <v>1344</v>
      </c>
      <c r="AP1213" s="118">
        <f t="shared" si="18"/>
        <v>525</v>
      </c>
    </row>
    <row r="1214" spans="1:42" ht="12.75">
      <c r="A1214" s="106">
        <v>2018</v>
      </c>
      <c r="B1214" s="106">
        <v>-239318</v>
      </c>
      <c r="C1214" s="106">
        <v>0</v>
      </c>
      <c r="D1214" s="106">
        <v>239318</v>
      </c>
      <c r="E1214" s="106" t="s">
        <v>2005</v>
      </c>
      <c r="F1214" s="106" t="s">
        <v>138</v>
      </c>
      <c r="G1214" s="106" t="s">
        <v>139</v>
      </c>
      <c r="H1214" s="106">
        <v>6</v>
      </c>
      <c r="I1214" s="106" t="s">
        <v>3640</v>
      </c>
      <c r="J1214" s="106">
        <v>39419</v>
      </c>
      <c r="K1214" s="106">
        <v>24337</v>
      </c>
      <c r="L1214" s="106">
        <v>16327</v>
      </c>
      <c r="M1214" s="106">
        <v>0.28999999999999998</v>
      </c>
      <c r="N1214" s="106">
        <v>0.78</v>
      </c>
      <c r="O1214" s="106">
        <v>0.99</v>
      </c>
      <c r="P1214" s="106">
        <v>24461</v>
      </c>
      <c r="Q1214" s="106">
        <v>19197.500735835172</v>
      </c>
      <c r="R1214" s="106">
        <v>0.51391863944168525</v>
      </c>
      <c r="S1214" s="106">
        <v>41676.704194260485</v>
      </c>
      <c r="T1214" s="106">
        <v>27122.907284768211</v>
      </c>
      <c r="U1214" s="106">
        <v>20094.931530377798</v>
      </c>
      <c r="V1214" s="106">
        <v>0.90359279732915021</v>
      </c>
      <c r="W1214" s="106">
        <v>94982.31112852665</v>
      </c>
      <c r="X1214" s="110">
        <v>0.54800744741641694</v>
      </c>
      <c r="Y1214" s="106">
        <v>663.82417582417577</v>
      </c>
      <c r="Z1214" s="106">
        <v>14.934065934065934</v>
      </c>
      <c r="AA1214" s="106">
        <v>77692.779373494821</v>
      </c>
      <c r="AB1214" s="106">
        <v>452.07608180677113</v>
      </c>
      <c r="AC1214" s="106">
        <v>1.2871208985749758</v>
      </c>
      <c r="AD1214" s="106">
        <v>26.398798347728125</v>
      </c>
      <c r="AE1214" s="106">
        <v>171.85775248933143</v>
      </c>
      <c r="AF1214" s="106">
        <v>0.18550769183033247</v>
      </c>
      <c r="AG1214" s="106">
        <v>37709</v>
      </c>
      <c r="AH1214" s="106">
        <v>25865.579102281088</v>
      </c>
      <c r="AI1214" s="106">
        <v>42702.091979396617</v>
      </c>
      <c r="AJ1214" s="106">
        <v>44460.534584253124</v>
      </c>
      <c r="AK1214" s="104">
        <v>24507.744665194998</v>
      </c>
      <c r="AM1214" s="118">
        <v>2610</v>
      </c>
      <c r="AN1214" s="118">
        <v>120816</v>
      </c>
      <c r="AO1214" s="118">
        <v>581</v>
      </c>
      <c r="AP1214" s="118">
        <f t="shared" si="18"/>
        <v>1710</v>
      </c>
    </row>
    <row r="1215" spans="1:42" ht="12.75">
      <c r="A1215" s="106">
        <v>2018</v>
      </c>
      <c r="B1215" s="106">
        <v>-178217</v>
      </c>
      <c r="C1215" s="106">
        <v>0</v>
      </c>
      <c r="D1215" s="106">
        <v>178217</v>
      </c>
      <c r="E1215" s="106" t="s">
        <v>2006</v>
      </c>
      <c r="F1215" s="106" t="s">
        <v>2007</v>
      </c>
      <c r="G1215" s="106" t="s">
        <v>264</v>
      </c>
      <c r="H1215" s="106">
        <v>4</v>
      </c>
      <c r="I1215" s="106" t="s">
        <v>24</v>
      </c>
      <c r="J1215" s="106">
        <v>3320</v>
      </c>
      <c r="K1215" s="106">
        <v>8220</v>
      </c>
      <c r="L1215" s="106">
        <v>7548</v>
      </c>
      <c r="M1215" s="106">
        <v>0.56999999999999995</v>
      </c>
      <c r="N1215" s="106">
        <v>0.21</v>
      </c>
      <c r="O1215" s="106">
        <v>0.18</v>
      </c>
      <c r="P1215" s="106">
        <v>4951</v>
      </c>
      <c r="Q1215" s="106">
        <v>678.39625647152525</v>
      </c>
      <c r="R1215" s="106">
        <v>0.18125486733554591</v>
      </c>
      <c r="S1215" s="106">
        <v>11350.00079649542</v>
      </c>
      <c r="T1215" s="106">
        <v>11456.661887694147</v>
      </c>
      <c r="U1215" s="106">
        <v>7573.4425363177152</v>
      </c>
      <c r="V1215" s="106">
        <v>0.40462169180330565</v>
      </c>
      <c r="W1215" s="106">
        <v>55507.838002436052</v>
      </c>
      <c r="X1215" s="110">
        <v>0.52804557253456463</v>
      </c>
      <c r="Y1215" s="106">
        <v>594.70263157894738</v>
      </c>
      <c r="Z1215" s="106">
        <v>19.823684210526316</v>
      </c>
      <c r="AA1215" s="106">
        <v>27640.863675427012</v>
      </c>
      <c r="AB1215" s="106">
        <v>252.4514358174645</v>
      </c>
      <c r="AC1215" s="106">
        <v>3.6178319597480937</v>
      </c>
      <c r="AD1215" s="106">
        <v>24.641833810888254</v>
      </c>
      <c r="AE1215" s="106">
        <v>109.48982558139535</v>
      </c>
      <c r="AF1215" s="106">
        <v>3.1797662440355944E-2</v>
      </c>
      <c r="AG1215" s="106">
        <v>3300</v>
      </c>
      <c r="AH1215" s="106">
        <v>10099.339307048984</v>
      </c>
      <c r="AI1215" s="106">
        <v>10241.064914376742</v>
      </c>
      <c r="AJ1215" s="106">
        <v>11420.906810035842</v>
      </c>
      <c r="AK1215" s="104">
        <v>9391.9968140183191</v>
      </c>
      <c r="AL1215" s="119">
        <v>9810321</v>
      </c>
      <c r="AM1215" s="118">
        <v>3700</v>
      </c>
      <c r="AN1215" s="118">
        <v>75329</v>
      </c>
      <c r="AO1215" s="118">
        <v>572</v>
      </c>
      <c r="AP1215" s="118">
        <f t="shared" si="18"/>
        <v>20</v>
      </c>
    </row>
    <row r="1216" spans="1:42" ht="12.75">
      <c r="A1216" s="106">
        <v>2018</v>
      </c>
      <c r="B1216" s="106">
        <v>-174136</v>
      </c>
      <c r="C1216" s="106">
        <v>0</v>
      </c>
      <c r="D1216" s="106">
        <v>174136</v>
      </c>
      <c r="E1216" s="106" t="s">
        <v>2008</v>
      </c>
      <c r="F1216" s="106" t="s">
        <v>238</v>
      </c>
      <c r="G1216" s="106" t="s">
        <v>113</v>
      </c>
      <c r="H1216" s="106">
        <v>4</v>
      </c>
      <c r="I1216" s="106" t="s">
        <v>24</v>
      </c>
      <c r="J1216" s="106">
        <v>5396</v>
      </c>
      <c r="K1216" s="106">
        <v>12868</v>
      </c>
      <c r="L1216" s="106">
        <v>12447</v>
      </c>
      <c r="M1216" s="106">
        <v>0.67</v>
      </c>
      <c r="N1216" s="106">
        <v>0.26</v>
      </c>
      <c r="O1216" s="106">
        <v>0.02</v>
      </c>
      <c r="P1216" s="106">
        <v>1570</v>
      </c>
      <c r="Q1216" s="106">
        <v>14.398998330550919</v>
      </c>
      <c r="R1216" s="106">
        <v>2.7854028742128208E-3</v>
      </c>
      <c r="S1216" s="106">
        <v>13414.649415692822</v>
      </c>
      <c r="T1216" s="106">
        <v>15224.33222036728</v>
      </c>
      <c r="U1216" s="106">
        <v>12298.58164781151</v>
      </c>
      <c r="V1216" s="106">
        <v>0.4191580973396048</v>
      </c>
      <c r="W1216" s="106">
        <v>115060.6544293695</v>
      </c>
      <c r="X1216" s="110">
        <v>0.6587211294633678</v>
      </c>
      <c r="Y1216" s="106">
        <v>807.71348314606746</v>
      </c>
      <c r="Z1216" s="106">
        <v>26.921348314606742</v>
      </c>
      <c r="AA1216" s="106">
        <v>48110.043474541024</v>
      </c>
      <c r="AB1216" s="106">
        <v>409.91565353934857</v>
      </c>
      <c r="AC1216" s="106">
        <v>2.0785680655831915</v>
      </c>
      <c r="AD1216" s="106">
        <v>29.062870699881376</v>
      </c>
      <c r="AE1216" s="106">
        <v>117.36571428571429</v>
      </c>
      <c r="AF1216" s="106">
        <v>-9.5485579103489704E-2</v>
      </c>
      <c r="AG1216" s="106">
        <v>4658</v>
      </c>
      <c r="AH1216" s="106">
        <v>13358.722871452421</v>
      </c>
      <c r="AI1216" s="106">
        <v>13476.627712854757</v>
      </c>
      <c r="AJ1216" s="106">
        <v>13549.457429048414</v>
      </c>
      <c r="AK1216" s="104">
        <v>12998.539232053423</v>
      </c>
      <c r="AL1216" s="119">
        <v>27191000</v>
      </c>
      <c r="AM1216" s="118">
        <v>7486</v>
      </c>
      <c r="AN1216" s="118">
        <v>143773</v>
      </c>
      <c r="AO1216" s="118">
        <v>813</v>
      </c>
      <c r="AP1216" s="118">
        <f t="shared" si="18"/>
        <v>738</v>
      </c>
    </row>
    <row r="1217" spans="1:42" ht="12.75">
      <c r="A1217" s="106">
        <v>2018</v>
      </c>
      <c r="B1217" s="106">
        <v>-175263</v>
      </c>
      <c r="C1217" s="106">
        <v>0</v>
      </c>
      <c r="D1217" s="106">
        <v>175263</v>
      </c>
      <c r="E1217" s="106" t="s">
        <v>4146</v>
      </c>
      <c r="F1217" s="106" t="s">
        <v>2009</v>
      </c>
      <c r="G1217" s="106" t="s">
        <v>113</v>
      </c>
      <c r="H1217" s="106">
        <v>4</v>
      </c>
      <c r="I1217" s="106" t="s">
        <v>24</v>
      </c>
      <c r="J1217" s="106">
        <v>5630</v>
      </c>
      <c r="K1217" s="106">
        <v>12854</v>
      </c>
      <c r="L1217" s="106">
        <v>12427</v>
      </c>
      <c r="M1217" s="106">
        <v>0.45</v>
      </c>
      <c r="N1217" s="106">
        <v>0.47</v>
      </c>
      <c r="O1217" s="106">
        <v>0.01</v>
      </c>
      <c r="P1217" s="106">
        <v>968</v>
      </c>
      <c r="Q1217" s="106">
        <v>9.0163934426229506</v>
      </c>
      <c r="R1217" s="106">
        <v>1.5145256780944513E-3</v>
      </c>
      <c r="S1217" s="106">
        <v>15364.754098360656</v>
      </c>
      <c r="T1217" s="106">
        <v>18111.475409836065</v>
      </c>
      <c r="U1217" s="106">
        <v>14780.164377703668</v>
      </c>
      <c r="V1217" s="106">
        <v>0.40217836170002746</v>
      </c>
      <c r="W1217" s="106">
        <v>123217.05426356589</v>
      </c>
      <c r="X1217" s="110">
        <v>0.71936097031136859</v>
      </c>
      <c r="Y1217" s="106">
        <v>540.99014778325125</v>
      </c>
      <c r="Z1217" s="106">
        <v>18.029556650246302</v>
      </c>
      <c r="AA1217" s="106">
        <v>39543.422238593143</v>
      </c>
      <c r="AB1217" s="106">
        <v>492.57793702839552</v>
      </c>
      <c r="AC1217" s="106">
        <v>2.5288655948043646</v>
      </c>
      <c r="AD1217" s="106">
        <v>39.208942390369735</v>
      </c>
      <c r="AE1217" s="106">
        <v>80.278508771929822</v>
      </c>
      <c r="AF1217" s="106">
        <v>-0.71091783016708632</v>
      </c>
      <c r="AG1217" s="106">
        <v>5019</v>
      </c>
      <c r="AH1217" s="106">
        <v>15720.491803278688</v>
      </c>
      <c r="AI1217" s="106">
        <v>15763.934426229509</v>
      </c>
      <c r="AJ1217" s="106">
        <v>15422.131147540984</v>
      </c>
      <c r="AK1217" s="104">
        <v>15193.442622950819</v>
      </c>
      <c r="AL1217" s="118">
        <v>9296000</v>
      </c>
      <c r="AM1217" s="118">
        <v>1920</v>
      </c>
      <c r="AN1217" s="118">
        <v>36607</v>
      </c>
      <c r="AO1217" s="118">
        <v>222</v>
      </c>
      <c r="AP1217" s="118">
        <f t="shared" si="18"/>
        <v>611</v>
      </c>
    </row>
    <row r="1218" spans="1:42" ht="12.75">
      <c r="A1218" s="106">
        <v>2018</v>
      </c>
      <c r="B1218" s="106">
        <v>-173559</v>
      </c>
      <c r="C1218" s="106">
        <v>0</v>
      </c>
      <c r="D1218" s="106">
        <v>173559</v>
      </c>
      <c r="E1218" s="106" t="s">
        <v>2010</v>
      </c>
      <c r="F1218" s="106" t="s">
        <v>2011</v>
      </c>
      <c r="G1218" s="106" t="s">
        <v>113</v>
      </c>
      <c r="H1218" s="106">
        <v>4</v>
      </c>
      <c r="I1218" s="106" t="s">
        <v>24</v>
      </c>
      <c r="J1218" s="106">
        <v>5335</v>
      </c>
      <c r="K1218" s="106">
        <v>10235</v>
      </c>
      <c r="L1218" s="106">
        <v>8979</v>
      </c>
      <c r="M1218" s="106">
        <v>0.46</v>
      </c>
      <c r="N1218" s="106">
        <v>0.56999999999999995</v>
      </c>
      <c r="O1218" s="106">
        <v>0.05</v>
      </c>
      <c r="P1218" s="106">
        <v>1558</v>
      </c>
      <c r="Q1218" s="106">
        <v>118.74846021187484</v>
      </c>
      <c r="R1218" s="106">
        <v>2.2076672926304219E-2</v>
      </c>
      <c r="S1218" s="106">
        <v>13302.044838630205</v>
      </c>
      <c r="T1218" s="106">
        <v>14375.954668637596</v>
      </c>
      <c r="U1218" s="106">
        <v>11814.605766057814</v>
      </c>
      <c r="V1218" s="106">
        <v>0.44522540199673355</v>
      </c>
      <c r="W1218" s="106">
        <v>116749.02723735408</v>
      </c>
      <c r="X1218" s="110">
        <v>0.68559775157663838</v>
      </c>
      <c r="Y1218" s="106">
        <v>745.54897959183666</v>
      </c>
      <c r="Z1218" s="106">
        <v>24.851020408163265</v>
      </c>
      <c r="AA1218" s="106">
        <v>37939.465826288499</v>
      </c>
      <c r="AB1218" s="106">
        <v>393.810490046469</v>
      </c>
      <c r="AC1218" s="106">
        <v>2.6357777533786297</v>
      </c>
      <c r="AD1218" s="106">
        <v>33.02848183956101</v>
      </c>
      <c r="AE1218" s="106">
        <v>96.339398734177209</v>
      </c>
      <c r="AF1218" s="106">
        <v>-0.11143878152864033</v>
      </c>
      <c r="AG1218" s="106">
        <v>4821</v>
      </c>
      <c r="AH1218" s="106">
        <v>13345.651638334564</v>
      </c>
      <c r="AI1218" s="106">
        <v>13591.032273959103</v>
      </c>
      <c r="AJ1218" s="106">
        <v>13379.157427937917</v>
      </c>
      <c r="AK1218" s="104">
        <v>12060.852426706086</v>
      </c>
      <c r="AL1218" s="118">
        <v>23701000</v>
      </c>
      <c r="AM1218" s="118">
        <v>6422</v>
      </c>
      <c r="AN1218" s="118">
        <v>121773</v>
      </c>
      <c r="AO1218" s="118">
        <v>869</v>
      </c>
      <c r="AP1218" s="118">
        <f t="shared" si="18"/>
        <v>514</v>
      </c>
    </row>
    <row r="1219" spans="1:42" ht="12.75">
      <c r="A1219" s="106">
        <v>2018</v>
      </c>
      <c r="B1219" s="106">
        <v>-174358</v>
      </c>
      <c r="C1219" s="106">
        <v>0</v>
      </c>
      <c r="D1219" s="106">
        <v>174358</v>
      </c>
      <c r="E1219" s="106" t="s">
        <v>2012</v>
      </c>
      <c r="F1219" s="106" t="s">
        <v>919</v>
      </c>
      <c r="G1219" s="106" t="s">
        <v>113</v>
      </c>
      <c r="H1219" s="106">
        <v>2</v>
      </c>
      <c r="I1219" s="106" t="s">
        <v>25</v>
      </c>
      <c r="J1219" s="106">
        <v>8468</v>
      </c>
      <c r="K1219" s="106">
        <v>16397</v>
      </c>
      <c r="L1219" s="106">
        <v>12163</v>
      </c>
      <c r="M1219" s="106">
        <v>0.34</v>
      </c>
      <c r="N1219" s="106">
        <v>0.72</v>
      </c>
      <c r="O1219" s="106">
        <v>0.57999999999999996</v>
      </c>
      <c r="P1219" s="106">
        <v>2041</v>
      </c>
      <c r="Q1219" s="106">
        <v>874.95168148434482</v>
      </c>
      <c r="R1219" s="106">
        <v>0.10316773017319963</v>
      </c>
      <c r="S1219" s="106">
        <v>19149.207576343255</v>
      </c>
      <c r="T1219" s="106">
        <v>20783.533049864709</v>
      </c>
      <c r="U1219" s="106">
        <v>15225.208856270161</v>
      </c>
      <c r="V1219" s="106">
        <v>0.49956058127792913</v>
      </c>
      <c r="W1219" s="106">
        <v>114809.79498861048</v>
      </c>
      <c r="X1219" s="110">
        <v>0.62493722915542993</v>
      </c>
      <c r="Y1219" s="106">
        <v>594.88743455497388</v>
      </c>
      <c r="Z1219" s="106">
        <v>20.316753926701573</v>
      </c>
      <c r="AA1219" s="106">
        <v>55436.474751823938</v>
      </c>
      <c r="AB1219" s="106">
        <v>519.97538332084787</v>
      </c>
      <c r="AC1219" s="106">
        <v>1.8038665057198622</v>
      </c>
      <c r="AD1219" s="106">
        <v>28.539867443261702</v>
      </c>
      <c r="AE1219" s="106">
        <v>106.61365235749473</v>
      </c>
      <c r="AF1219" s="106">
        <v>-8.8588266170400595E-2</v>
      </c>
      <c r="AG1219" s="106">
        <v>7410</v>
      </c>
      <c r="AH1219" s="106">
        <v>19174.139930421337</v>
      </c>
      <c r="AI1219" s="106">
        <v>19736.374178585233</v>
      </c>
      <c r="AJ1219" s="106">
        <v>19316.196366447624</v>
      </c>
      <c r="AK1219" s="104">
        <v>15695.013529184384</v>
      </c>
      <c r="AL1219" s="118">
        <v>31699000</v>
      </c>
      <c r="AM1219" s="118">
        <v>5130</v>
      </c>
      <c r="AN1219" s="118">
        <v>151498</v>
      </c>
      <c r="AO1219" s="118">
        <v>1093</v>
      </c>
      <c r="AP1219" s="118">
        <f t="shared" si="18"/>
        <v>1058</v>
      </c>
    </row>
    <row r="1220" spans="1:42" ht="12.75">
      <c r="A1220" s="106">
        <v>2018</v>
      </c>
      <c r="B1220" s="106">
        <v>-173920</v>
      </c>
      <c r="C1220" s="106">
        <v>0</v>
      </c>
      <c r="D1220" s="106">
        <v>173920</v>
      </c>
      <c r="E1220" s="106" t="s">
        <v>2013</v>
      </c>
      <c r="F1220" s="106" t="s">
        <v>361</v>
      </c>
      <c r="G1220" s="106" t="s">
        <v>113</v>
      </c>
      <c r="H1220" s="106">
        <v>2</v>
      </c>
      <c r="I1220" s="106" t="s">
        <v>25</v>
      </c>
      <c r="J1220" s="106">
        <v>8164</v>
      </c>
      <c r="K1220" s="106">
        <v>14519</v>
      </c>
      <c r="L1220" s="106">
        <v>11604</v>
      </c>
      <c r="M1220" s="106">
        <v>0.3</v>
      </c>
      <c r="N1220" s="106">
        <v>0.63</v>
      </c>
      <c r="O1220" s="106">
        <v>0.3</v>
      </c>
      <c r="P1220" s="106">
        <v>3218</v>
      </c>
      <c r="Q1220" s="106">
        <v>849.16243462442208</v>
      </c>
      <c r="R1220" s="106">
        <v>9.4484270894830052E-2</v>
      </c>
      <c r="S1220" s="106">
        <v>18108.921397710907</v>
      </c>
      <c r="T1220" s="106">
        <v>19026.074433411657</v>
      </c>
      <c r="U1220" s="106">
        <v>13764.597095440664</v>
      </c>
      <c r="V1220" s="106">
        <v>0.59123992377685641</v>
      </c>
      <c r="W1220" s="106">
        <v>120149.68976215099</v>
      </c>
      <c r="X1220" s="110">
        <v>0.6171562202453279</v>
      </c>
      <c r="Y1220" s="106">
        <v>706.64480874316939</v>
      </c>
      <c r="Z1220" s="106">
        <v>24.03096539162113</v>
      </c>
      <c r="AA1220" s="106">
        <v>51869.845609868229</v>
      </c>
      <c r="AB1220" s="106">
        <v>468.09451132664344</v>
      </c>
      <c r="AC1220" s="106">
        <v>1.9279024031059582</v>
      </c>
      <c r="AD1220" s="106">
        <v>27.543072928959166</v>
      </c>
      <c r="AE1220" s="106">
        <v>110.81062553556127</v>
      </c>
      <c r="AF1220" s="106">
        <v>-5.7542961004626567E-2</v>
      </c>
      <c r="AG1220" s="106">
        <v>7178</v>
      </c>
      <c r="AH1220" s="106">
        <v>17932.843174410671</v>
      </c>
      <c r="AI1220" s="106">
        <v>18173.122110209959</v>
      </c>
      <c r="AJ1220" s="106">
        <v>18238.762980368378</v>
      </c>
      <c r="AK1220" s="104">
        <v>15152.808307435762</v>
      </c>
      <c r="AL1220" s="118">
        <v>63586000</v>
      </c>
      <c r="AM1220" s="118">
        <v>12782</v>
      </c>
      <c r="AN1220" s="118">
        <v>387948</v>
      </c>
      <c r="AO1220" s="118">
        <v>2656</v>
      </c>
      <c r="AP1220" s="118">
        <f t="shared" si="18"/>
        <v>986</v>
      </c>
    </row>
    <row r="1221" spans="1:42" ht="12.75">
      <c r="A1221" s="106">
        <v>2018</v>
      </c>
      <c r="B1221" s="106">
        <v>-173638</v>
      </c>
      <c r="C1221" s="106">
        <v>0</v>
      </c>
      <c r="D1221" s="106">
        <v>173638</v>
      </c>
      <c r="E1221" s="106" t="s">
        <v>2014</v>
      </c>
      <c r="F1221" s="106" t="s">
        <v>2015</v>
      </c>
      <c r="G1221" s="106" t="s">
        <v>113</v>
      </c>
      <c r="H1221" s="106">
        <v>4</v>
      </c>
      <c r="I1221" s="106" t="s">
        <v>24</v>
      </c>
      <c r="J1221" s="106">
        <v>5692</v>
      </c>
      <c r="K1221" s="106">
        <v>10068</v>
      </c>
      <c r="L1221" s="106">
        <v>8830</v>
      </c>
      <c r="M1221" s="106">
        <v>0.63</v>
      </c>
      <c r="N1221" s="106">
        <v>0.5</v>
      </c>
      <c r="O1221" s="106">
        <v>0.05</v>
      </c>
      <c r="P1221" s="106">
        <v>686</v>
      </c>
      <c r="Q1221" s="107">
        <v>5.7381324986958786</v>
      </c>
      <c r="R1221" s="106">
        <v>9.9376637455958071E-4</v>
      </c>
      <c r="S1221" s="106">
        <v>15864.371413667188</v>
      </c>
      <c r="T1221" s="106">
        <v>16869.587897756912</v>
      </c>
      <c r="U1221" s="106">
        <v>13478.71221688791</v>
      </c>
      <c r="V1221" s="106">
        <v>0.42796285087153035</v>
      </c>
      <c r="W1221" s="106">
        <v>122606.93641618497</v>
      </c>
      <c r="X1221" s="110">
        <v>0.65589535854540959</v>
      </c>
      <c r="Y1221" s="106">
        <v>565.62295081967216</v>
      </c>
      <c r="Z1221" s="106">
        <v>18.855737704918031</v>
      </c>
      <c r="AA1221" s="106">
        <v>24193.53119829038</v>
      </c>
      <c r="AB1221" s="106">
        <v>449.32947256367487</v>
      </c>
      <c r="AC1221" s="106">
        <v>4.1333362699474989</v>
      </c>
      <c r="AD1221" s="106">
        <v>59.070796460176986</v>
      </c>
      <c r="AE1221" s="106">
        <v>53.8436329588015</v>
      </c>
      <c r="AF1221" s="106">
        <v>-3.6060586855947777E-2</v>
      </c>
      <c r="AG1221" s="106">
        <v>5146</v>
      </c>
      <c r="AH1221" s="106">
        <v>15724.569640062598</v>
      </c>
      <c r="AI1221" s="106">
        <v>16323.422013562858</v>
      </c>
      <c r="AJ1221" s="106">
        <v>15986.958789775692</v>
      </c>
      <c r="AK1221" s="104">
        <v>14078.247261345852</v>
      </c>
      <c r="AL1221" s="118">
        <v>13552000</v>
      </c>
      <c r="AM1221" s="118">
        <v>3162</v>
      </c>
      <c r="AN1221" s="118">
        <v>57505</v>
      </c>
      <c r="AO1221" s="118">
        <v>322</v>
      </c>
      <c r="AP1221" s="118">
        <f t="shared" si="18"/>
        <v>546</v>
      </c>
    </row>
    <row r="1222" spans="1:42" ht="12.75">
      <c r="A1222" s="106">
        <v>2018</v>
      </c>
      <c r="B1222" s="106">
        <v>-200253</v>
      </c>
      <c r="C1222" s="106">
        <v>0</v>
      </c>
      <c r="D1222" s="106">
        <v>200253</v>
      </c>
      <c r="E1222" s="106" t="s">
        <v>2016</v>
      </c>
      <c r="F1222" s="106" t="s">
        <v>2017</v>
      </c>
      <c r="G1222" s="106" t="s">
        <v>382</v>
      </c>
      <c r="H1222" s="106">
        <v>2</v>
      </c>
      <c r="I1222" s="106" t="s">
        <v>25</v>
      </c>
      <c r="J1222" s="106">
        <v>6809</v>
      </c>
      <c r="K1222" s="106">
        <v>10153</v>
      </c>
      <c r="L1222" s="106">
        <v>6900</v>
      </c>
      <c r="M1222" s="106">
        <v>0.27</v>
      </c>
      <c r="N1222" s="106">
        <v>0.55000000000000004</v>
      </c>
      <c r="O1222" s="106">
        <v>0.71</v>
      </c>
      <c r="P1222" s="106">
        <v>3547</v>
      </c>
      <c r="Q1222" s="106">
        <v>1092.9493087557603</v>
      </c>
      <c r="R1222" s="106">
        <v>0.1439481842375312</v>
      </c>
      <c r="S1222" s="106">
        <v>19967.089477726575</v>
      </c>
      <c r="T1222" s="106">
        <v>21419.770737327188</v>
      </c>
      <c r="U1222" s="106">
        <v>12461.419861997796</v>
      </c>
      <c r="V1222" s="106">
        <v>0.52158651239792175</v>
      </c>
      <c r="W1222" s="106">
        <v>74913.062098501076</v>
      </c>
      <c r="X1222" s="110">
        <v>0.62721817130522939</v>
      </c>
      <c r="Y1222" s="106">
        <v>314.76229508196724</v>
      </c>
      <c r="Z1222" s="106">
        <v>10.672131147540984</v>
      </c>
      <c r="AA1222" s="106">
        <v>44390.61192974318</v>
      </c>
      <c r="AB1222" s="106">
        <v>422.50901435694726</v>
      </c>
      <c r="AC1222" s="106">
        <v>2.2527285759941664</v>
      </c>
      <c r="AD1222" s="106">
        <v>28.996429988099958</v>
      </c>
      <c r="AE1222" s="106">
        <v>105.06429548563611</v>
      </c>
      <c r="AF1222" s="106">
        <v>-1.5351786007146904E-2</v>
      </c>
      <c r="AG1222" s="106">
        <v>5400</v>
      </c>
      <c r="AH1222" s="106">
        <v>18503.941628264209</v>
      </c>
      <c r="AI1222" s="106">
        <v>19369.936251920124</v>
      </c>
      <c r="AJ1222" s="106">
        <v>20074.152841781874</v>
      </c>
      <c r="AK1222" s="104">
        <v>15503.931643625192</v>
      </c>
      <c r="AL1222" s="118">
        <v>19508567</v>
      </c>
      <c r="AM1222" s="118">
        <v>2956</v>
      </c>
      <c r="AN1222" s="118">
        <v>76802</v>
      </c>
      <c r="AO1222" s="118">
        <v>542</v>
      </c>
      <c r="AP1222" s="118">
        <f t="shared" ref="AP1222:AP1285" si="19">J1222-AG1222</f>
        <v>1409</v>
      </c>
    </row>
    <row r="1223" spans="1:42" ht="12.75">
      <c r="A1223" s="106">
        <v>2018</v>
      </c>
      <c r="B1223" s="106">
        <v>-118912</v>
      </c>
      <c r="C1223" s="106">
        <v>0</v>
      </c>
      <c r="D1223" s="106">
        <v>118912</v>
      </c>
      <c r="E1223" s="106" t="s">
        <v>2018</v>
      </c>
      <c r="F1223" s="106" t="s">
        <v>2019</v>
      </c>
      <c r="G1223" s="106" t="s">
        <v>121</v>
      </c>
      <c r="H1223" s="106">
        <v>4</v>
      </c>
      <c r="I1223" s="106" t="s">
        <v>24</v>
      </c>
      <c r="J1223" s="106">
        <v>1152</v>
      </c>
      <c r="K1223" s="106">
        <v>5524</v>
      </c>
      <c r="L1223" s="106">
        <v>3125</v>
      </c>
      <c r="M1223" s="106">
        <v>0.41</v>
      </c>
      <c r="N1223" s="106">
        <v>0.01</v>
      </c>
      <c r="O1223" s="106">
        <v>0</v>
      </c>
      <c r="P1223" s="106">
        <v>1000</v>
      </c>
      <c r="Q1223" s="106">
        <v>1083.4063975955346</v>
      </c>
      <c r="R1223" s="106">
        <v>0.48403775844165858</v>
      </c>
      <c r="S1223" s="106">
        <v>19700.880098754831</v>
      </c>
      <c r="T1223" s="106">
        <v>18798.859918419923</v>
      </c>
      <c r="U1223" s="106">
        <v>13857.2968436841</v>
      </c>
      <c r="V1223" s="106">
        <v>8.3339627558618665E-2</v>
      </c>
      <c r="W1223" s="106">
        <v>161464.35398230091</v>
      </c>
      <c r="X1223" s="110">
        <v>0.65982149198853957</v>
      </c>
      <c r="Y1223" s="106">
        <v>727.80208333333337</v>
      </c>
      <c r="Z1223" s="106">
        <v>24.260416666666668</v>
      </c>
      <c r="AA1223" s="106">
        <v>36323.741529476945</v>
      </c>
      <c r="AB1223" s="106">
        <v>461.91650587442598</v>
      </c>
      <c r="AC1223" s="106">
        <v>2.7530203604947845</v>
      </c>
      <c r="AD1223" s="106">
        <v>39.590063495599864</v>
      </c>
      <c r="AE1223" s="106">
        <v>78.637028700056277</v>
      </c>
      <c r="AF1223" s="106">
        <v>0.24607763398896162</v>
      </c>
      <c r="AG1223" s="106">
        <v>1104</v>
      </c>
      <c r="AH1223" s="106">
        <v>17748.531451266637</v>
      </c>
      <c r="AI1223" s="106">
        <v>17748.531451266637</v>
      </c>
      <c r="AJ1223" s="106">
        <v>19884.251824817518</v>
      </c>
      <c r="AK1223" s="104">
        <v>17503.03424216402</v>
      </c>
      <c r="AL1223" s="118">
        <v>123085019</v>
      </c>
      <c r="AM1223" s="118">
        <v>14617</v>
      </c>
      <c r="AN1223" s="118">
        <v>279476</v>
      </c>
      <c r="AO1223" s="118">
        <v>1652</v>
      </c>
      <c r="AP1223" s="118">
        <f t="shared" si="19"/>
        <v>48</v>
      </c>
    </row>
    <row r="1224" spans="1:42" ht="12.75">
      <c r="A1224" s="106">
        <v>2018</v>
      </c>
      <c r="B1224" s="106">
        <v>-214069</v>
      </c>
      <c r="C1224" s="106">
        <v>0</v>
      </c>
      <c r="D1224" s="106">
        <v>214069</v>
      </c>
      <c r="E1224" s="106" t="s">
        <v>2020</v>
      </c>
      <c r="F1224" s="106" t="s">
        <v>992</v>
      </c>
      <c r="G1224" s="106" t="s">
        <v>104</v>
      </c>
      <c r="H1224" s="106">
        <v>6</v>
      </c>
      <c r="I1224" s="106" t="s">
        <v>3640</v>
      </c>
      <c r="J1224" s="106">
        <v>31660</v>
      </c>
      <c r="K1224" s="106">
        <v>24669</v>
      </c>
      <c r="L1224" s="106">
        <v>18746</v>
      </c>
      <c r="M1224" s="106">
        <v>0.23</v>
      </c>
      <c r="N1224" s="106">
        <v>0.81</v>
      </c>
      <c r="O1224" s="106">
        <v>1</v>
      </c>
      <c r="P1224" s="106">
        <v>18926</v>
      </c>
      <c r="Q1224" s="106">
        <v>11056.624754420433</v>
      </c>
      <c r="R1224" s="106">
        <v>0.40509552581305991</v>
      </c>
      <c r="S1224" s="106">
        <v>23975.139489194498</v>
      </c>
      <c r="T1224" s="106">
        <v>23551.302946954813</v>
      </c>
      <c r="U1224" s="106">
        <v>19866.679764243614</v>
      </c>
      <c r="V1224" s="106">
        <v>0.81731048027420505</v>
      </c>
      <c r="W1224" s="106">
        <v>76081.457686882932</v>
      </c>
      <c r="X1224" s="110">
        <v>0.59997212789615195</v>
      </c>
      <c r="Y1224" s="106">
        <v>342.90206185567013</v>
      </c>
      <c r="Z1224" s="106">
        <v>13.118556701030927</v>
      </c>
      <c r="AA1224" s="106">
        <v>58049.024110218139</v>
      </c>
      <c r="AB1224" s="106">
        <v>760.04840431129082</v>
      </c>
      <c r="AC1224" s="106">
        <v>1.7226818457814073</v>
      </c>
      <c r="AD1224" s="106">
        <v>38.285714285714285</v>
      </c>
      <c r="AE1224" s="106">
        <v>76.375430539609638</v>
      </c>
      <c r="AF1224" s="106">
        <v>4.8592504224519148E-2</v>
      </c>
      <c r="AG1224" s="106">
        <v>30030</v>
      </c>
      <c r="AH1224" s="106">
        <v>21620.330451866404</v>
      </c>
      <c r="AI1224" s="106">
        <v>23503.533202357565</v>
      </c>
      <c r="AJ1224" s="106">
        <v>25894.113555992142</v>
      </c>
      <c r="AK1224" s="104">
        <v>20452.766208251473</v>
      </c>
      <c r="AL1224" s="118"/>
      <c r="AM1224" s="118">
        <v>2146</v>
      </c>
      <c r="AN1224" s="118">
        <v>66523</v>
      </c>
      <c r="AO1224" s="118">
        <v>558</v>
      </c>
      <c r="AP1224" s="118">
        <f t="shared" si="19"/>
        <v>1630</v>
      </c>
    </row>
    <row r="1225" spans="1:42" ht="12.75">
      <c r="A1225" s="106">
        <v>2018</v>
      </c>
      <c r="B1225" s="106">
        <v>-176053</v>
      </c>
      <c r="C1225" s="106">
        <v>0</v>
      </c>
      <c r="D1225" s="106">
        <v>176053</v>
      </c>
      <c r="E1225" s="106" t="s">
        <v>2022</v>
      </c>
      <c r="F1225" s="106" t="s">
        <v>1417</v>
      </c>
      <c r="G1225" s="106" t="s">
        <v>107</v>
      </c>
      <c r="H1225" s="106">
        <v>6</v>
      </c>
      <c r="I1225" s="106" t="s">
        <v>3640</v>
      </c>
      <c r="J1225" s="106">
        <v>17392</v>
      </c>
      <c r="K1225" s="106">
        <v>17520</v>
      </c>
      <c r="L1225" s="106">
        <v>15163</v>
      </c>
      <c r="M1225" s="106">
        <v>0.32</v>
      </c>
      <c r="N1225" s="106">
        <v>0.52</v>
      </c>
      <c r="O1225" s="106">
        <v>0.99</v>
      </c>
      <c r="P1225" s="106">
        <v>12487</v>
      </c>
      <c r="Q1225" s="106">
        <v>7300.7590564448192</v>
      </c>
      <c r="R1225" s="106">
        <v>0.41021456879760471</v>
      </c>
      <c r="S1225" s="106">
        <v>18269.934919966301</v>
      </c>
      <c r="T1225" s="106">
        <v>17178.437447346252</v>
      </c>
      <c r="U1225" s="106">
        <v>14801.613100252738</v>
      </c>
      <c r="V1225" s="106">
        <v>0.70915623893369051</v>
      </c>
      <c r="W1225" s="106">
        <v>73033.529656607701</v>
      </c>
      <c r="X1225" s="110">
        <v>0.57366724151318149</v>
      </c>
      <c r="Y1225" s="106">
        <v>409.15229563269872</v>
      </c>
      <c r="Z1225" s="106">
        <v>15.950727883538633</v>
      </c>
      <c r="AA1225" s="106">
        <v>52485.480955937266</v>
      </c>
      <c r="AB1225" s="106">
        <v>577.03819658267037</v>
      </c>
      <c r="AC1225" s="106">
        <v>1.9052888185201584</v>
      </c>
      <c r="AD1225" s="106">
        <v>30.888119953863896</v>
      </c>
      <c r="AE1225" s="106">
        <v>90.956684092606423</v>
      </c>
      <c r="AF1225" s="106">
        <v>6.533574679409615E-2</v>
      </c>
      <c r="AG1225" s="106">
        <v>16400</v>
      </c>
      <c r="AH1225" s="106">
        <v>14847.816554338669</v>
      </c>
      <c r="AI1225" s="106">
        <v>17670.525905644481</v>
      </c>
      <c r="AJ1225" s="106">
        <v>19247.42438921651</v>
      </c>
      <c r="AK1225" s="104">
        <v>15401.022114574558</v>
      </c>
      <c r="AL1225" s="118"/>
      <c r="AM1225" s="118">
        <v>3242</v>
      </c>
      <c r="AN1225" s="118">
        <v>121791</v>
      </c>
      <c r="AO1225" s="118">
        <v>633</v>
      </c>
      <c r="AP1225" s="118">
        <f t="shared" si="19"/>
        <v>992</v>
      </c>
    </row>
    <row r="1226" spans="1:42" ht="12.75">
      <c r="A1226" s="106">
        <v>2018</v>
      </c>
      <c r="B1226" s="106">
        <v>-176008</v>
      </c>
      <c r="C1226" s="106">
        <v>0</v>
      </c>
      <c r="D1226" s="106">
        <v>176008</v>
      </c>
      <c r="E1226" s="106" t="s">
        <v>2023</v>
      </c>
      <c r="F1226" s="106" t="s">
        <v>919</v>
      </c>
      <c r="G1226" s="106" t="s">
        <v>107</v>
      </c>
      <c r="H1226" s="106">
        <v>4</v>
      </c>
      <c r="I1226" s="106" t="s">
        <v>24</v>
      </c>
      <c r="J1226" s="106">
        <v>3030</v>
      </c>
      <c r="K1226" s="106">
        <v>3240</v>
      </c>
      <c r="L1226" s="106">
        <v>2713</v>
      </c>
      <c r="M1226" s="106">
        <v>0.89</v>
      </c>
      <c r="N1226" s="106">
        <v>0</v>
      </c>
      <c r="O1226" s="106">
        <v>0.57999999999999996</v>
      </c>
      <c r="P1226" s="106">
        <v>1274</v>
      </c>
      <c r="Q1226" s="106">
        <v>543.24602150537635</v>
      </c>
      <c r="R1226" s="106">
        <v>0.16807867013333216</v>
      </c>
      <c r="S1226" s="106">
        <v>13369.142795698925</v>
      </c>
      <c r="T1226" s="106">
        <v>13576.578494623656</v>
      </c>
      <c r="U1226" s="106">
        <v>9490.829677419355</v>
      </c>
      <c r="V1226" s="106">
        <v>0.28331008281950398</v>
      </c>
      <c r="W1226" s="106">
        <v>62203.724999999999</v>
      </c>
      <c r="X1226" s="110">
        <v>0.55177387242957476</v>
      </c>
      <c r="Y1226" s="106">
        <v>574.85439560439568</v>
      </c>
      <c r="Z1226" s="106">
        <v>19.162087912087912</v>
      </c>
      <c r="AA1226" s="106">
        <v>39474.381037567087</v>
      </c>
      <c r="AB1226" s="106">
        <v>316.36552495376276</v>
      </c>
      <c r="AC1226" s="106">
        <v>2.533288613311802</v>
      </c>
      <c r="AD1226" s="106">
        <v>28.303797468354432</v>
      </c>
      <c r="AE1226" s="106">
        <v>124.77459749552773</v>
      </c>
      <c r="AF1226" s="106">
        <v>7.2509704707772928E-3</v>
      </c>
      <c r="AG1226" s="106">
        <v>3000</v>
      </c>
      <c r="AH1226" s="106">
        <v>12483.831827956988</v>
      </c>
      <c r="AI1226" s="106">
        <v>12483.831827956988</v>
      </c>
      <c r="AJ1226" s="106">
        <v>13409.809462365591</v>
      </c>
      <c r="AK1226" s="104">
        <v>10514.951827956989</v>
      </c>
      <c r="AL1226" s="118">
        <v>14032571</v>
      </c>
      <c r="AM1226" s="118">
        <v>2320</v>
      </c>
      <c r="AN1226" s="118">
        <v>69749</v>
      </c>
      <c r="AO1226" s="118">
        <v>428</v>
      </c>
      <c r="AP1226" s="118">
        <f t="shared" si="19"/>
        <v>30</v>
      </c>
    </row>
    <row r="1227" spans="1:42" ht="12.75">
      <c r="A1227" s="106">
        <v>2018</v>
      </c>
      <c r="B1227" s="106">
        <v>-176071</v>
      </c>
      <c r="C1227" s="106">
        <v>0</v>
      </c>
      <c r="D1227" s="106">
        <v>176071</v>
      </c>
      <c r="E1227" s="106" t="s">
        <v>2024</v>
      </c>
      <c r="F1227" s="106" t="s">
        <v>2025</v>
      </c>
      <c r="G1227" s="106" t="s">
        <v>107</v>
      </c>
      <c r="H1227" s="106">
        <v>4</v>
      </c>
      <c r="I1227" s="106" t="s">
        <v>24</v>
      </c>
      <c r="J1227" s="106">
        <v>3670</v>
      </c>
      <c r="K1227" s="106">
        <v>7795</v>
      </c>
      <c r="L1227" s="106">
        <v>6940</v>
      </c>
      <c r="M1227" s="106">
        <v>0.64</v>
      </c>
      <c r="N1227" s="106">
        <v>0.32</v>
      </c>
      <c r="O1227" s="106">
        <v>0.53</v>
      </c>
      <c r="P1227" s="106">
        <v>2735</v>
      </c>
      <c r="Q1227" s="106">
        <v>765.36314363143629</v>
      </c>
      <c r="R1227" s="106">
        <v>0.18799221252873785</v>
      </c>
      <c r="S1227" s="106">
        <v>13520.899470899471</v>
      </c>
      <c r="T1227" s="106">
        <v>14898.567686153052</v>
      </c>
      <c r="U1227" s="106">
        <v>11282.268421731836</v>
      </c>
      <c r="V1227" s="106">
        <v>0.29301607852593736</v>
      </c>
      <c r="W1227" s="106">
        <v>73876.579150579157</v>
      </c>
      <c r="X1227" s="110">
        <v>0.4972074379404981</v>
      </c>
      <c r="Y1227" s="106">
        <v>670.54903846153843</v>
      </c>
      <c r="Z1227" s="106">
        <v>22.352884615384614</v>
      </c>
      <c r="AA1227" s="106">
        <v>25238.538683602772</v>
      </c>
      <c r="AB1227" s="106">
        <v>376.09664583127204</v>
      </c>
      <c r="AC1227" s="106">
        <v>3.9621945332741872</v>
      </c>
      <c r="AD1227" s="106">
        <v>50.650679923965491</v>
      </c>
      <c r="AE1227" s="106">
        <v>67.106524249422634</v>
      </c>
      <c r="AF1227" s="106">
        <v>4.5734633251911183E-2</v>
      </c>
      <c r="AG1227" s="106">
        <v>3100</v>
      </c>
      <c r="AH1227" s="106">
        <v>11086.399922570654</v>
      </c>
      <c r="AI1227" s="106">
        <v>11086.399922570654</v>
      </c>
      <c r="AJ1227" s="106">
        <v>13664.598657891342</v>
      </c>
      <c r="AK1227" s="104">
        <v>13882.039747064136</v>
      </c>
      <c r="AL1227" s="118">
        <v>35765290</v>
      </c>
      <c r="AM1227" s="118">
        <v>8961</v>
      </c>
      <c r="AN1227" s="118">
        <v>232457</v>
      </c>
      <c r="AO1227" s="118">
        <v>2096</v>
      </c>
      <c r="AP1227" s="118">
        <f t="shared" si="19"/>
        <v>570</v>
      </c>
    </row>
    <row r="1228" spans="1:42" ht="12.75">
      <c r="A1228" s="106">
        <v>2018</v>
      </c>
      <c r="B1228" s="106">
        <v>-176080</v>
      </c>
      <c r="C1228" s="106">
        <v>0</v>
      </c>
      <c r="D1228" s="106">
        <v>176080</v>
      </c>
      <c r="E1228" s="106" t="s">
        <v>2026</v>
      </c>
      <c r="F1228" s="106" t="s">
        <v>2027</v>
      </c>
      <c r="G1228" s="106" t="s">
        <v>107</v>
      </c>
      <c r="H1228" s="106">
        <v>1</v>
      </c>
      <c r="I1228" s="106" t="s">
        <v>23</v>
      </c>
      <c r="J1228" s="106">
        <v>8318</v>
      </c>
      <c r="K1228" s="106">
        <v>16670</v>
      </c>
      <c r="L1228" s="106">
        <v>14632</v>
      </c>
      <c r="M1228" s="106">
        <v>0.34</v>
      </c>
      <c r="N1228" s="106">
        <v>0.52</v>
      </c>
      <c r="O1228" s="106">
        <v>0.86</v>
      </c>
      <c r="P1228" s="106">
        <v>8539</v>
      </c>
      <c r="Q1228" s="106">
        <v>4550.5912301493245</v>
      </c>
      <c r="R1228" s="106">
        <v>0.34454008461910318</v>
      </c>
      <c r="S1228" s="106">
        <v>34392.506375918463</v>
      </c>
      <c r="T1228" s="106">
        <v>34028.190661294146</v>
      </c>
      <c r="U1228" s="106">
        <v>11250.44148173644</v>
      </c>
      <c r="V1228" s="106">
        <v>0.76949294427082471</v>
      </c>
      <c r="W1228" s="106">
        <v>98547.079821153704</v>
      </c>
      <c r="X1228" s="110">
        <v>0.62432970227680185</v>
      </c>
      <c r="Y1228" s="106">
        <v>475.69347133757964</v>
      </c>
      <c r="Z1228" s="106">
        <v>16.795382165605094</v>
      </c>
      <c r="AA1228" s="106">
        <v>49890.28023065591</v>
      </c>
      <c r="AB1228" s="106">
        <v>397.22105852372778</v>
      </c>
      <c r="AC1228" s="106">
        <v>2.0043984426961257</v>
      </c>
      <c r="AD1228" s="106">
        <v>23.830277527301874</v>
      </c>
      <c r="AE1228" s="106">
        <v>125.59827622451125</v>
      </c>
      <c r="AF1228" s="106">
        <v>6.2750044458313642E-2</v>
      </c>
      <c r="AG1228" s="106">
        <v>8208</v>
      </c>
      <c r="AH1228" s="106">
        <v>31829.694477364304</v>
      </c>
      <c r="AI1228" s="106">
        <v>33560.680682626218</v>
      </c>
      <c r="AJ1228" s="106">
        <v>34585.875136288218</v>
      </c>
      <c r="AK1228" s="104">
        <v>29327.948992652287</v>
      </c>
      <c r="AL1228" s="118">
        <v>168714693</v>
      </c>
      <c r="AM1228" s="118">
        <v>18312</v>
      </c>
      <c r="AN1228" s="118">
        <v>597471</v>
      </c>
      <c r="AO1228" s="118">
        <v>3726</v>
      </c>
      <c r="AP1228" s="118">
        <f t="shared" si="19"/>
        <v>110</v>
      </c>
    </row>
    <row r="1229" spans="1:42" ht="12.75">
      <c r="A1229" s="106">
        <v>2018</v>
      </c>
      <c r="B1229" s="106">
        <v>-176035</v>
      </c>
      <c r="C1229" s="106">
        <v>0</v>
      </c>
      <c r="D1229" s="106">
        <v>176035</v>
      </c>
      <c r="E1229" s="106" t="s">
        <v>2028</v>
      </c>
      <c r="F1229" s="106" t="s">
        <v>593</v>
      </c>
      <c r="G1229" s="106" t="s">
        <v>107</v>
      </c>
      <c r="H1229" s="106">
        <v>2</v>
      </c>
      <c r="I1229" s="106" t="s">
        <v>25</v>
      </c>
      <c r="J1229" s="106">
        <v>6614</v>
      </c>
      <c r="K1229" s="106">
        <v>11152</v>
      </c>
      <c r="L1229" s="106">
        <v>9575</v>
      </c>
      <c r="M1229" s="106">
        <v>0.61</v>
      </c>
      <c r="N1229" s="106">
        <v>0.7</v>
      </c>
      <c r="O1229" s="106">
        <v>0.81</v>
      </c>
      <c r="P1229" s="106">
        <v>8107</v>
      </c>
      <c r="Q1229" s="106">
        <v>3523.4037878787881</v>
      </c>
      <c r="R1229" s="106">
        <v>0.40270585422751731</v>
      </c>
      <c r="S1229" s="106">
        <v>18517.545075757575</v>
      </c>
      <c r="T1229" s="106">
        <v>20013.79356060606</v>
      </c>
      <c r="U1229" s="106">
        <v>15210.692329557005</v>
      </c>
      <c r="V1229" s="106">
        <v>0.34356882538573419</v>
      </c>
      <c r="W1229" s="106">
        <v>88489.064896755168</v>
      </c>
      <c r="X1229" s="110">
        <v>0.56774845530303297</v>
      </c>
      <c r="Y1229" s="106">
        <v>478.78278688524591</v>
      </c>
      <c r="Z1229" s="106">
        <v>16.229508196721312</v>
      </c>
      <c r="AA1229" s="106">
        <v>44917.480704732101</v>
      </c>
      <c r="AB1229" s="106">
        <v>515.60344816556449</v>
      </c>
      <c r="AC1229" s="106">
        <v>2.2263047355072367</v>
      </c>
      <c r="AD1229" s="106">
        <v>36.460032626427406</v>
      </c>
      <c r="AE1229" s="106">
        <v>87.116331096196873</v>
      </c>
      <c r="AF1229" s="106">
        <v>3.5248410958671206E-2</v>
      </c>
      <c r="AG1229" s="106">
        <v>6514</v>
      </c>
      <c r="AH1229" s="106">
        <v>16587.222348484847</v>
      </c>
      <c r="AI1229" s="106">
        <v>16587.222348484847</v>
      </c>
      <c r="AJ1229" s="106">
        <v>18540.99659090909</v>
      </c>
      <c r="AK1229" s="104">
        <v>18220.518181818181</v>
      </c>
      <c r="AL1229" s="119">
        <v>14861213</v>
      </c>
      <c r="AM1229" s="118">
        <v>2577</v>
      </c>
      <c r="AN1229" s="118">
        <v>77882</v>
      </c>
      <c r="AO1229" s="118">
        <v>803</v>
      </c>
      <c r="AP1229" s="118">
        <f t="shared" si="19"/>
        <v>100</v>
      </c>
    </row>
    <row r="1230" spans="1:42" ht="12.75">
      <c r="A1230" s="106">
        <v>2018</v>
      </c>
      <c r="B1230" s="106">
        <v>-176044</v>
      </c>
      <c r="C1230" s="106">
        <v>0</v>
      </c>
      <c r="D1230" s="106">
        <v>176044</v>
      </c>
      <c r="E1230" s="106" t="s">
        <v>2029</v>
      </c>
      <c r="F1230" s="106" t="s">
        <v>2030</v>
      </c>
      <c r="G1230" s="106" t="s">
        <v>107</v>
      </c>
      <c r="H1230" s="106">
        <v>2</v>
      </c>
      <c r="I1230" s="106" t="s">
        <v>25</v>
      </c>
      <c r="J1230" s="106">
        <v>6422</v>
      </c>
      <c r="K1230" s="106">
        <v>11768</v>
      </c>
      <c r="L1230" s="106">
        <v>15842</v>
      </c>
      <c r="M1230" s="106">
        <v>0.87</v>
      </c>
      <c r="N1230" s="106">
        <v>0.93</v>
      </c>
      <c r="O1230" s="106">
        <v>0.37</v>
      </c>
      <c r="P1230" s="106">
        <v>5740</v>
      </c>
      <c r="Q1230" s="107">
        <v>1559.5186938002839</v>
      </c>
      <c r="R1230" s="106">
        <v>0.23723269806359418</v>
      </c>
      <c r="S1230" s="106">
        <v>24140.771888310461</v>
      </c>
      <c r="T1230" s="106">
        <v>24375.757217226692</v>
      </c>
      <c r="U1230" s="106">
        <v>15722.538950981658</v>
      </c>
      <c r="V1230" s="106">
        <v>0.31892269479361685</v>
      </c>
      <c r="W1230" s="106">
        <v>63013.952316991272</v>
      </c>
      <c r="X1230" s="110">
        <v>0.60722906420080391</v>
      </c>
      <c r="Y1230" s="106">
        <v>464.66165413533832</v>
      </c>
      <c r="Z1230" s="106">
        <v>15.887218045112782</v>
      </c>
      <c r="AA1230" s="106">
        <v>80831.447210277969</v>
      </c>
      <c r="AB1230" s="106">
        <v>537.56836251495542</v>
      </c>
      <c r="AC1230" s="106">
        <v>1.2371422688976019</v>
      </c>
      <c r="AD1230" s="106">
        <v>20.31636183885319</v>
      </c>
      <c r="AE1230" s="106">
        <v>150.36496350364965</v>
      </c>
      <c r="AF1230" s="106">
        <v>4.3801161564161133E-2</v>
      </c>
      <c r="AG1230" s="106">
        <v>6402</v>
      </c>
      <c r="AH1230" s="106">
        <v>22939.671557027923</v>
      </c>
      <c r="AI1230" s="106">
        <v>23428.547089446285</v>
      </c>
      <c r="AJ1230" s="106">
        <v>24152.918125887365</v>
      </c>
      <c r="AK1230" s="104">
        <v>19411.128726928539</v>
      </c>
      <c r="AL1230" s="118">
        <v>15915705</v>
      </c>
      <c r="AM1230" s="118">
        <v>1977</v>
      </c>
      <c r="AN1230" s="118">
        <v>61800</v>
      </c>
      <c r="AO1230" s="118">
        <v>302</v>
      </c>
      <c r="AP1230" s="118">
        <f t="shared" si="19"/>
        <v>20</v>
      </c>
    </row>
    <row r="1231" spans="1:42" ht="12.75">
      <c r="A1231" s="106">
        <v>2018</v>
      </c>
      <c r="B1231" s="106">
        <v>-178244</v>
      </c>
      <c r="C1231" s="106">
        <v>0</v>
      </c>
      <c r="D1231" s="106">
        <v>178244</v>
      </c>
      <c r="E1231" s="106" t="s">
        <v>2031</v>
      </c>
      <c r="F1231" s="106" t="s">
        <v>1259</v>
      </c>
      <c r="G1231" s="106" t="s">
        <v>264</v>
      </c>
      <c r="H1231" s="106">
        <v>6</v>
      </c>
      <c r="I1231" s="106" t="s">
        <v>3640</v>
      </c>
      <c r="J1231" s="106">
        <v>26020</v>
      </c>
      <c r="K1231" s="106">
        <v>20863</v>
      </c>
      <c r="L1231" s="106">
        <v>18936</v>
      </c>
      <c r="M1231" s="106">
        <v>0.38</v>
      </c>
      <c r="N1231" s="106">
        <v>0.71</v>
      </c>
      <c r="O1231" s="106">
        <v>0.99</v>
      </c>
      <c r="P1231" s="106">
        <v>15745</v>
      </c>
      <c r="Q1231" s="106">
        <v>5595.2987804878048</v>
      </c>
      <c r="R1231" s="106">
        <v>0.35347086672037115</v>
      </c>
      <c r="S1231" s="106">
        <v>12526.987804878048</v>
      </c>
      <c r="T1231" s="106">
        <v>12048.954088952654</v>
      </c>
      <c r="U1231" s="106">
        <v>11146.258967001435</v>
      </c>
      <c r="V1231" s="106">
        <v>0.918181689464171</v>
      </c>
      <c r="W1231" s="106">
        <v>50370.996466431097</v>
      </c>
      <c r="X1231" s="110">
        <v>0.56580084997584579</v>
      </c>
      <c r="Y1231" s="106">
        <v>522.44444444444446</v>
      </c>
      <c r="Z1231" s="106">
        <v>18.222222222222221</v>
      </c>
      <c r="AA1231" s="106">
        <v>35925.745664739887</v>
      </c>
      <c r="AB1231" s="106">
        <v>388.76785848324869</v>
      </c>
      <c r="AC1231" s="106">
        <v>2.7835191211673918</v>
      </c>
      <c r="AD1231" s="106">
        <v>27.261266939804603</v>
      </c>
      <c r="AE1231" s="106">
        <v>92.40924855491329</v>
      </c>
      <c r="AF1231" s="106">
        <v>4.9449578634129437E-2</v>
      </c>
      <c r="AG1231" s="106">
        <v>24764</v>
      </c>
      <c r="AH1231" s="106">
        <v>12101.422883787662</v>
      </c>
      <c r="AI1231" s="106">
        <v>12526.987804878048</v>
      </c>
      <c r="AJ1231" s="106">
        <v>12821.001793400286</v>
      </c>
      <c r="AK1231" s="104">
        <v>11146.258967001435</v>
      </c>
      <c r="AL1231" s="118"/>
      <c r="AM1231" s="118">
        <v>4508</v>
      </c>
      <c r="AN1231" s="118">
        <v>79934</v>
      </c>
      <c r="AO1231" s="118">
        <v>443</v>
      </c>
      <c r="AP1231" s="118">
        <f t="shared" si="19"/>
        <v>1256</v>
      </c>
    </row>
    <row r="1232" spans="1:42" ht="12.75">
      <c r="A1232" s="106">
        <v>2018</v>
      </c>
      <c r="B1232" s="106">
        <v>-178341</v>
      </c>
      <c r="C1232" s="106">
        <v>0</v>
      </c>
      <c r="D1232" s="106">
        <v>178341</v>
      </c>
      <c r="E1232" s="106" t="s">
        <v>2032</v>
      </c>
      <c r="F1232" s="106" t="s">
        <v>2033</v>
      </c>
      <c r="G1232" s="106" t="s">
        <v>264</v>
      </c>
      <c r="H1232" s="106">
        <v>3</v>
      </c>
      <c r="I1232" s="104" t="s">
        <v>26</v>
      </c>
      <c r="J1232" s="106">
        <v>6067</v>
      </c>
      <c r="K1232" s="106">
        <v>9446</v>
      </c>
      <c r="L1232" s="106">
        <v>8118</v>
      </c>
      <c r="M1232" s="106">
        <v>0.55000000000000004</v>
      </c>
      <c r="N1232" s="106">
        <v>0.54</v>
      </c>
      <c r="O1232" s="106">
        <v>0.66</v>
      </c>
      <c r="P1232" s="106">
        <v>2899</v>
      </c>
      <c r="Q1232" s="106">
        <v>1902.5905752753979</v>
      </c>
      <c r="R1232" s="106">
        <v>0.31317821778354821</v>
      </c>
      <c r="S1232" s="106">
        <v>14654.074663402693</v>
      </c>
      <c r="T1232" s="106">
        <v>15829.351489188086</v>
      </c>
      <c r="U1232" s="106">
        <v>10201.418306757263</v>
      </c>
      <c r="V1232" s="106">
        <v>0.40901317428776734</v>
      </c>
      <c r="W1232" s="106">
        <v>83670.057294429702</v>
      </c>
      <c r="X1232" s="110">
        <v>0.67752252222007614</v>
      </c>
      <c r="Y1232" s="106">
        <v>578.91304347826087</v>
      </c>
      <c r="Z1232" s="106">
        <v>19.375494071146246</v>
      </c>
      <c r="AA1232" s="106">
        <v>37769.903730909442</v>
      </c>
      <c r="AB1232" s="106">
        <v>341.42868630542523</v>
      </c>
      <c r="AC1232" s="106">
        <v>2.6476106667479757</v>
      </c>
      <c r="AD1232" s="106">
        <v>25.940438871473354</v>
      </c>
      <c r="AE1232" s="106">
        <v>110.62311178247734</v>
      </c>
      <c r="AF1232" s="106">
        <v>-1.8369456946288068E-2</v>
      </c>
      <c r="AG1232" s="106">
        <v>5501</v>
      </c>
      <c r="AH1232" s="106">
        <v>13068.468992248061</v>
      </c>
      <c r="AI1232" s="106">
        <v>13640.312933496532</v>
      </c>
      <c r="AJ1232" s="106">
        <v>14716.035495716034</v>
      </c>
      <c r="AK1232" s="104">
        <v>11950.085475316197</v>
      </c>
      <c r="AL1232" s="119">
        <v>22340305</v>
      </c>
      <c r="AM1232" s="118">
        <v>6021</v>
      </c>
      <c r="AN1232" s="118">
        <v>146465</v>
      </c>
      <c r="AO1232" s="118">
        <v>1143</v>
      </c>
      <c r="AP1232" s="118">
        <f t="shared" si="19"/>
        <v>566</v>
      </c>
    </row>
    <row r="1233" spans="1:42" ht="12.75">
      <c r="A1233" s="106">
        <v>2018</v>
      </c>
      <c r="B1233" s="106">
        <v>-179566</v>
      </c>
      <c r="C1233" s="106">
        <v>0</v>
      </c>
      <c r="D1233" s="106">
        <v>179566</v>
      </c>
      <c r="E1233" s="106" t="s">
        <v>2034</v>
      </c>
      <c r="F1233" s="106" t="s">
        <v>149</v>
      </c>
      <c r="G1233" s="106" t="s">
        <v>264</v>
      </c>
      <c r="H1233" s="106">
        <v>2</v>
      </c>
      <c r="I1233" s="106" t="s">
        <v>25</v>
      </c>
      <c r="J1233" s="106">
        <v>7306</v>
      </c>
      <c r="K1233" s="106">
        <v>15783</v>
      </c>
      <c r="L1233" s="106">
        <v>12401</v>
      </c>
      <c r="M1233" s="106">
        <v>0.31</v>
      </c>
      <c r="N1233" s="106">
        <v>0.6</v>
      </c>
      <c r="O1233" s="106">
        <v>0.57999999999999996</v>
      </c>
      <c r="P1233" s="106">
        <v>3108</v>
      </c>
      <c r="Q1233" s="106">
        <v>1860.7403391271994</v>
      </c>
      <c r="R1233" s="106">
        <v>0.21090788019141476</v>
      </c>
      <c r="S1233" s="106">
        <v>17652.770743634719</v>
      </c>
      <c r="T1233" s="106">
        <v>18813.660979110191</v>
      </c>
      <c r="U1233" s="106">
        <v>10755.044863522924</v>
      </c>
      <c r="V1233" s="106">
        <v>0.6473042316922093</v>
      </c>
      <c r="W1233" s="106">
        <v>88611.099326599331</v>
      </c>
      <c r="X1233" s="110">
        <v>0.5948441454450466</v>
      </c>
      <c r="Y1233" s="106">
        <v>615.95968048687712</v>
      </c>
      <c r="Z1233" s="106">
        <v>21.467858501331303</v>
      </c>
      <c r="AA1233" s="106">
        <v>40662.109931160929</v>
      </c>
      <c r="AB1233" s="106">
        <v>374.84236163490118</v>
      </c>
      <c r="AC1233" s="106">
        <v>2.4592919592538456</v>
      </c>
      <c r="AD1233" s="106">
        <v>25.456591804368955</v>
      </c>
      <c r="AE1233" s="106">
        <v>108.47789389067525</v>
      </c>
      <c r="AF1233" s="106">
        <v>-2.0191918370381843E-2</v>
      </c>
      <c r="AG1233" s="106">
        <v>6300</v>
      </c>
      <c r="AH1233" s="106">
        <v>16224.726040503907</v>
      </c>
      <c r="AI1233" s="106">
        <v>16691.478233136662</v>
      </c>
      <c r="AJ1233" s="106">
        <v>17693.190400255142</v>
      </c>
      <c r="AK1233" s="104">
        <v>13946.245734332642</v>
      </c>
      <c r="AL1233" s="118">
        <v>75072816</v>
      </c>
      <c r="AM1233" s="118">
        <v>20364</v>
      </c>
      <c r="AN1233" s="118">
        <v>539786</v>
      </c>
      <c r="AO1233" s="118">
        <v>3340</v>
      </c>
      <c r="AP1233" s="118">
        <f t="shared" si="19"/>
        <v>1006</v>
      </c>
    </row>
    <row r="1234" spans="1:42" ht="12.75">
      <c r="A1234" s="106">
        <v>2018</v>
      </c>
      <c r="B1234" s="106">
        <v>-179344</v>
      </c>
      <c r="C1234" s="106">
        <v>0</v>
      </c>
      <c r="D1234" s="106">
        <v>179344</v>
      </c>
      <c r="E1234" s="106" t="s">
        <v>2035</v>
      </c>
      <c r="F1234" s="106" t="s">
        <v>2036</v>
      </c>
      <c r="G1234" s="106" t="s">
        <v>264</v>
      </c>
      <c r="H1234" s="106">
        <v>4</v>
      </c>
      <c r="I1234" s="106" t="s">
        <v>24</v>
      </c>
      <c r="J1234" s="106">
        <v>4230</v>
      </c>
      <c r="K1234" s="106">
        <v>7552</v>
      </c>
      <c r="L1234" s="106">
        <v>7540</v>
      </c>
      <c r="M1234" s="106">
        <v>0.63</v>
      </c>
      <c r="N1234" s="106">
        <v>0.24</v>
      </c>
      <c r="O1234" s="106">
        <v>0.19</v>
      </c>
      <c r="P1234" s="106">
        <v>3167</v>
      </c>
      <c r="Q1234" s="107">
        <v>356.47594050743658</v>
      </c>
      <c r="R1234" s="106">
        <v>8.2941916719355413E-2</v>
      </c>
      <c r="S1234" s="106">
        <v>11905.556430446195</v>
      </c>
      <c r="T1234" s="106">
        <v>14267.838145231846</v>
      </c>
      <c r="U1234" s="106">
        <v>9968.0249002839082</v>
      </c>
      <c r="V1234" s="106">
        <v>0.39540657368002946</v>
      </c>
      <c r="W1234" s="106">
        <v>60124.541743970316</v>
      </c>
      <c r="X1234" s="110">
        <v>0.66239170514796319</v>
      </c>
      <c r="Y1234" s="106">
        <v>522.38071065989845</v>
      </c>
      <c r="Z1234" s="106">
        <v>17.406091370558375</v>
      </c>
      <c r="AA1234" s="106">
        <v>41131.597332218444</v>
      </c>
      <c r="AB1234" s="106">
        <v>332.14157540228285</v>
      </c>
      <c r="AC1234" s="106">
        <v>2.4312209222584666</v>
      </c>
      <c r="AD1234" s="106">
        <v>22.411003236245953</v>
      </c>
      <c r="AE1234" s="106">
        <v>123.83754512635379</v>
      </c>
      <c r="AF1234" s="106">
        <v>-4.4167931168547902E-3</v>
      </c>
      <c r="AG1234" s="106">
        <v>3720</v>
      </c>
      <c r="AH1234" s="106">
        <v>11359.185476815399</v>
      </c>
      <c r="AI1234" s="106">
        <v>11382.692038495188</v>
      </c>
      <c r="AJ1234" s="106">
        <v>12011.564304461943</v>
      </c>
      <c r="AK1234" s="104">
        <v>12215.907261592301</v>
      </c>
      <c r="AL1234" s="119">
        <v>5826212</v>
      </c>
      <c r="AM1234" s="118">
        <v>1918</v>
      </c>
      <c r="AN1234" s="118">
        <v>34303</v>
      </c>
      <c r="AO1234" s="118">
        <v>275</v>
      </c>
      <c r="AP1234" s="118">
        <f t="shared" si="19"/>
        <v>510</v>
      </c>
    </row>
    <row r="1235" spans="1:42" ht="12.75">
      <c r="A1235" s="106">
        <v>2018</v>
      </c>
      <c r="B1235" s="106">
        <v>-178411</v>
      </c>
      <c r="C1235" s="106">
        <v>0</v>
      </c>
      <c r="D1235" s="106">
        <v>178411</v>
      </c>
      <c r="E1235" s="106" t="s">
        <v>2037</v>
      </c>
      <c r="F1235" s="106" t="s">
        <v>2038</v>
      </c>
      <c r="G1235" s="106" t="s">
        <v>264</v>
      </c>
      <c r="H1235" s="106">
        <v>1</v>
      </c>
      <c r="I1235" s="106" t="s">
        <v>23</v>
      </c>
      <c r="J1235" s="106">
        <v>9839</v>
      </c>
      <c r="K1235" s="106">
        <v>13994</v>
      </c>
      <c r="L1235" s="106">
        <v>9937</v>
      </c>
      <c r="M1235" s="106">
        <v>0.25</v>
      </c>
      <c r="N1235" s="106">
        <v>0.54</v>
      </c>
      <c r="O1235" s="106">
        <v>0.84</v>
      </c>
      <c r="P1235" s="106">
        <v>7066</v>
      </c>
      <c r="Q1235" s="106">
        <v>5141.4239499796113</v>
      </c>
      <c r="R1235" s="106">
        <v>0.28675314102154631</v>
      </c>
      <c r="S1235" s="106">
        <v>28977.329210275926</v>
      </c>
      <c r="T1235" s="106">
        <v>30251.690634769606</v>
      </c>
      <c r="U1235" s="106">
        <v>20995.919901642854</v>
      </c>
      <c r="V1235" s="106">
        <v>0.60908820995581725</v>
      </c>
      <c r="W1235" s="106">
        <v>100900.56846473028</v>
      </c>
      <c r="X1235" s="110">
        <v>0.61913864977515809</v>
      </c>
      <c r="Y1235" s="106">
        <v>482.0264150943396</v>
      </c>
      <c r="Z1235" s="106">
        <v>16.657358490566036</v>
      </c>
      <c r="AA1235" s="106">
        <v>58026.665182714678</v>
      </c>
      <c r="AB1235" s="106">
        <v>725.55476979913317</v>
      </c>
      <c r="AC1235" s="106">
        <v>1.7233456323074825</v>
      </c>
      <c r="AD1235" s="106">
        <v>33.551802369548781</v>
      </c>
      <c r="AE1235" s="106">
        <v>79.975582268970697</v>
      </c>
      <c r="AF1235" s="106">
        <v>3.6294868173042082E-2</v>
      </c>
      <c r="AG1235" s="106">
        <v>8460</v>
      </c>
      <c r="AH1235" s="106">
        <v>28272.623895609624</v>
      </c>
      <c r="AI1235" s="106">
        <v>28715.497077613156</v>
      </c>
      <c r="AJ1235" s="106">
        <v>31004.047301889357</v>
      </c>
      <c r="AK1235" s="104">
        <v>27660.950659236103</v>
      </c>
      <c r="AL1235" s="119">
        <v>49409508</v>
      </c>
      <c r="AM1235" s="118">
        <v>6919</v>
      </c>
      <c r="AN1235" s="118">
        <v>212895</v>
      </c>
      <c r="AO1235" s="118">
        <v>1416</v>
      </c>
      <c r="AP1235" s="118">
        <f t="shared" si="19"/>
        <v>1379</v>
      </c>
    </row>
    <row r="1236" spans="1:42" ht="12.75">
      <c r="A1236" s="106">
        <v>2018</v>
      </c>
      <c r="B1236" s="106">
        <v>-178369</v>
      </c>
      <c r="C1236" s="106">
        <v>0</v>
      </c>
      <c r="D1236" s="106">
        <v>178369</v>
      </c>
      <c r="E1236" s="106" t="s">
        <v>2039</v>
      </c>
      <c r="F1236" s="106" t="s">
        <v>1099</v>
      </c>
      <c r="G1236" s="106" t="s">
        <v>264</v>
      </c>
      <c r="H1236" s="106">
        <v>7</v>
      </c>
      <c r="I1236" s="106" t="s">
        <v>3641</v>
      </c>
      <c r="J1236" s="106">
        <v>20200</v>
      </c>
      <c r="K1236" s="106">
        <v>18820</v>
      </c>
      <c r="L1236" s="106">
        <v>17324</v>
      </c>
      <c r="M1236" s="106">
        <v>0.57999999999999996</v>
      </c>
      <c r="N1236" s="106">
        <v>0.77</v>
      </c>
      <c r="O1236" s="106">
        <v>1</v>
      </c>
      <c r="P1236" s="106">
        <v>11684</v>
      </c>
      <c r="Q1236" s="106">
        <v>11445.560168895145</v>
      </c>
      <c r="R1236" s="106">
        <v>0.62939303454785966</v>
      </c>
      <c r="S1236" s="106">
        <v>15892.048557353975</v>
      </c>
      <c r="T1236" s="106">
        <v>14304.664320900774</v>
      </c>
      <c r="U1236" s="106">
        <v>11351.260380014075</v>
      </c>
      <c r="V1236" s="106">
        <v>0.59372401022408916</v>
      </c>
      <c r="W1236" s="106">
        <v>41606.809667673719</v>
      </c>
      <c r="X1236" s="110">
        <v>0.45167848284797391</v>
      </c>
      <c r="Y1236" s="106">
        <v>392.54769230769233</v>
      </c>
      <c r="Z1236" s="106">
        <v>13.116923076923078</v>
      </c>
      <c r="AA1236" s="106">
        <v>76446.165876777246</v>
      </c>
      <c r="AB1236" s="106">
        <v>379.30068663876216</v>
      </c>
      <c r="AC1236" s="106">
        <v>1.3081100778970252</v>
      </c>
      <c r="AD1236" s="106">
        <v>13.945803040317251</v>
      </c>
      <c r="AE1236" s="106">
        <v>201.54502369668248</v>
      </c>
      <c r="AF1236" s="106">
        <v>0.11798514953103642</v>
      </c>
      <c r="AG1236" s="106">
        <v>18900</v>
      </c>
      <c r="AH1236" s="106">
        <v>11943.087966220972</v>
      </c>
      <c r="AI1236" s="106">
        <v>14116.759324419423</v>
      </c>
      <c r="AJ1236" s="106">
        <v>16183.121745249824</v>
      </c>
      <c r="AK1236" s="104">
        <v>11351.260380014075</v>
      </c>
      <c r="AL1236" s="118"/>
      <c r="AM1236" s="118">
        <v>1798</v>
      </c>
      <c r="AN1236" s="118">
        <v>42526</v>
      </c>
      <c r="AO1236" s="118">
        <v>204</v>
      </c>
      <c r="AP1236" s="118">
        <f t="shared" si="19"/>
        <v>1300</v>
      </c>
    </row>
    <row r="1237" spans="1:42" ht="12.75">
      <c r="A1237" s="106">
        <v>2018</v>
      </c>
      <c r="B1237" s="106">
        <v>-178387</v>
      </c>
      <c r="C1237" s="106">
        <v>0</v>
      </c>
      <c r="D1237" s="106">
        <v>178387</v>
      </c>
      <c r="E1237" s="106" t="s">
        <v>2040</v>
      </c>
      <c r="F1237" s="106" t="s">
        <v>831</v>
      </c>
      <c r="G1237" s="106" t="s">
        <v>264</v>
      </c>
      <c r="H1237" s="106">
        <v>3</v>
      </c>
      <c r="I1237" s="104" t="s">
        <v>26</v>
      </c>
      <c r="J1237" s="106">
        <v>6434</v>
      </c>
      <c r="K1237" s="106">
        <v>10193</v>
      </c>
      <c r="L1237" s="106">
        <v>8528</v>
      </c>
      <c r="M1237" s="106">
        <v>0.49</v>
      </c>
      <c r="N1237" s="106">
        <v>0.54</v>
      </c>
      <c r="O1237" s="106">
        <v>0.78</v>
      </c>
      <c r="P1237" s="106">
        <v>4813</v>
      </c>
      <c r="Q1237" s="106">
        <v>2495.8574660633485</v>
      </c>
      <c r="R1237" s="106">
        <v>0.27266160998561406</v>
      </c>
      <c r="S1237" s="106">
        <v>16625.36752136752</v>
      </c>
      <c r="T1237" s="106">
        <v>19365.870789341378</v>
      </c>
      <c r="U1237" s="106">
        <v>14880.800718061206</v>
      </c>
      <c r="V1237" s="106">
        <v>0.4474103179618284</v>
      </c>
      <c r="W1237" s="106">
        <v>84242.176776429813</v>
      </c>
      <c r="X1237" s="110">
        <v>0.63096255256892386</v>
      </c>
      <c r="Y1237" s="106">
        <v>469.73183619550855</v>
      </c>
      <c r="Z1237" s="106">
        <v>15.764861294583882</v>
      </c>
      <c r="AA1237" s="106">
        <v>71063.415674006581</v>
      </c>
      <c r="AB1237" s="106">
        <v>499.42060809124752</v>
      </c>
      <c r="AC1237" s="106">
        <v>1.4071938289419683</v>
      </c>
      <c r="AD1237" s="106">
        <v>19.101123595505616</v>
      </c>
      <c r="AE1237" s="106">
        <v>142.29171668667468</v>
      </c>
      <c r="AF1237" s="106">
        <v>-0.20660844218382454</v>
      </c>
      <c r="AG1237" s="106">
        <v>5716</v>
      </c>
      <c r="AH1237" s="106">
        <v>15281.861488185017</v>
      </c>
      <c r="AI1237" s="106">
        <v>15742.486928104576</v>
      </c>
      <c r="AJ1237" s="106">
        <v>16688.817998994469</v>
      </c>
      <c r="AK1237" s="104">
        <v>16030.673453996984</v>
      </c>
      <c r="AL1237" s="119">
        <v>20609352</v>
      </c>
      <c r="AM1237" s="118">
        <v>5292</v>
      </c>
      <c r="AN1237" s="118">
        <v>118529</v>
      </c>
      <c r="AO1237" s="118">
        <v>732</v>
      </c>
      <c r="AP1237" s="118">
        <f t="shared" si="19"/>
        <v>718</v>
      </c>
    </row>
    <row r="1238" spans="1:42" ht="12.75">
      <c r="A1238" s="106">
        <v>2018</v>
      </c>
      <c r="B1238" s="106">
        <v>-129774</v>
      </c>
      <c r="C1238" s="106">
        <v>0</v>
      </c>
      <c r="D1238" s="106">
        <v>129774</v>
      </c>
      <c r="E1238" s="106" t="s">
        <v>2041</v>
      </c>
      <c r="F1238" s="106" t="s">
        <v>813</v>
      </c>
      <c r="G1238" s="106" t="s">
        <v>99</v>
      </c>
      <c r="H1238" s="106">
        <v>7</v>
      </c>
      <c r="I1238" s="106" t="s">
        <v>3641</v>
      </c>
      <c r="J1238" s="106">
        <v>32442</v>
      </c>
      <c r="K1238" s="106">
        <v>28002</v>
      </c>
      <c r="L1238" s="106">
        <v>23576</v>
      </c>
      <c r="M1238" s="106">
        <v>0.5</v>
      </c>
      <c r="N1238" s="106">
        <v>0.87</v>
      </c>
      <c r="O1238" s="106">
        <v>0.97</v>
      </c>
      <c r="P1238" s="106">
        <v>16349</v>
      </c>
      <c r="Q1238" s="106">
        <v>16041.827526132403</v>
      </c>
      <c r="R1238" s="106">
        <v>0.37171362964521487</v>
      </c>
      <c r="S1238" s="106">
        <v>35051.998257839725</v>
      </c>
      <c r="T1238" s="106">
        <v>35684.827526132402</v>
      </c>
      <c r="U1238" s="106">
        <v>25560.632404181186</v>
      </c>
      <c r="V1238" s="106">
        <v>1.0607948457323206</v>
      </c>
      <c r="W1238" s="106">
        <v>79352.471428571429</v>
      </c>
      <c r="X1238" s="110">
        <v>0.54236667698249252</v>
      </c>
      <c r="Y1238" s="106">
        <v>820.14285714285711</v>
      </c>
      <c r="Z1238" s="106">
        <v>27.333333333333332</v>
      </c>
      <c r="AA1238" s="106">
        <v>88920.018181818188</v>
      </c>
      <c r="AB1238" s="106">
        <v>851.87267026650409</v>
      </c>
      <c r="AC1238" s="106">
        <v>1.1246061578116882</v>
      </c>
      <c r="AD1238" s="106">
        <v>26.315789473684209</v>
      </c>
      <c r="AE1238" s="106">
        <v>104.38181818181818</v>
      </c>
      <c r="AF1238" s="106">
        <v>2.521918703730798E-2</v>
      </c>
      <c r="AG1238" s="106">
        <v>30488</v>
      </c>
      <c r="AH1238" s="106">
        <v>28872.461672473866</v>
      </c>
      <c r="AI1238" s="106">
        <v>31525.5</v>
      </c>
      <c r="AJ1238" s="106">
        <v>36405.236933797911</v>
      </c>
      <c r="AK1238" s="104">
        <v>25560.632404181186</v>
      </c>
      <c r="AM1238" s="118">
        <v>707</v>
      </c>
      <c r="AN1238" s="118">
        <v>17223</v>
      </c>
      <c r="AO1238" s="118">
        <v>165</v>
      </c>
      <c r="AP1238" s="118">
        <f t="shared" si="19"/>
        <v>1954</v>
      </c>
    </row>
    <row r="1239" spans="1:42" ht="12.75">
      <c r="A1239" s="106">
        <v>2018</v>
      </c>
      <c r="B1239" s="106">
        <v>-198987</v>
      </c>
      <c r="C1239" s="106">
        <v>0</v>
      </c>
      <c r="D1239" s="106">
        <v>198987</v>
      </c>
      <c r="E1239" s="106" t="s">
        <v>2042</v>
      </c>
      <c r="F1239" s="106" t="s">
        <v>2043</v>
      </c>
      <c r="G1239" s="106" t="s">
        <v>90</v>
      </c>
      <c r="H1239" s="106">
        <v>4</v>
      </c>
      <c r="I1239" s="106" t="s">
        <v>24</v>
      </c>
      <c r="J1239" s="106">
        <v>2651</v>
      </c>
      <c r="K1239" s="106">
        <v>9664</v>
      </c>
      <c r="L1239" s="106">
        <v>7785</v>
      </c>
      <c r="M1239" s="106">
        <v>0.47</v>
      </c>
      <c r="N1239" s="106">
        <v>0.01</v>
      </c>
      <c r="O1239" s="106">
        <v>0.11</v>
      </c>
      <c r="P1239" s="106">
        <v>899</v>
      </c>
      <c r="Q1239" s="106">
        <v>105.05701311806256</v>
      </c>
      <c r="R1239" s="106">
        <v>4.5386113165466854E-2</v>
      </c>
      <c r="S1239" s="106">
        <v>12213.335519677094</v>
      </c>
      <c r="T1239" s="106">
        <v>13587.510090817355</v>
      </c>
      <c r="U1239" s="106">
        <v>10532.619071644804</v>
      </c>
      <c r="V1239" s="106">
        <v>0.20979417599958919</v>
      </c>
      <c r="W1239" s="106">
        <v>51638.456567796609</v>
      </c>
      <c r="X1239" s="110">
        <v>0.60336548467728623</v>
      </c>
      <c r="Y1239" s="106">
        <v>378.77070063694265</v>
      </c>
      <c r="Z1239" s="106">
        <v>12.624203821656051</v>
      </c>
      <c r="AA1239" s="106">
        <v>29527.087694483733</v>
      </c>
      <c r="AB1239" s="106">
        <v>351.04597507861502</v>
      </c>
      <c r="AC1239" s="106">
        <v>3.3867207302900395</v>
      </c>
      <c r="AD1239" s="106">
        <v>38.888888888888893</v>
      </c>
      <c r="AE1239" s="106">
        <v>84.111739745403113</v>
      </c>
      <c r="AF1239" s="106">
        <v>5.5409964237624336E-2</v>
      </c>
      <c r="AG1239" s="106">
        <v>2432</v>
      </c>
      <c r="AH1239" s="106">
        <v>11182.836528758829</v>
      </c>
      <c r="AI1239" s="106">
        <v>11380.154389505549</v>
      </c>
      <c r="AJ1239" s="106">
        <v>12912.789101917255</v>
      </c>
      <c r="AK1239" s="104">
        <v>11617.416246215944</v>
      </c>
      <c r="AL1239" s="118">
        <v>15686545</v>
      </c>
      <c r="AM1239" s="118">
        <v>3204</v>
      </c>
      <c r="AN1239" s="118">
        <v>59467</v>
      </c>
      <c r="AO1239" s="118">
        <v>468</v>
      </c>
      <c r="AP1239" s="118">
        <f t="shared" si="19"/>
        <v>219</v>
      </c>
    </row>
    <row r="1240" spans="1:42" ht="12.75">
      <c r="A1240" s="106">
        <v>2018</v>
      </c>
      <c r="B1240" s="106">
        <v>-219189</v>
      </c>
      <c r="C1240" s="106">
        <v>0</v>
      </c>
      <c r="D1240" s="106">
        <v>219189</v>
      </c>
      <c r="E1240" s="106" t="s">
        <v>2044</v>
      </c>
      <c r="F1240" s="106" t="s">
        <v>990</v>
      </c>
      <c r="G1240" s="106" t="s">
        <v>246</v>
      </c>
      <c r="H1240" s="106">
        <v>4</v>
      </c>
      <c r="I1240" s="106" t="s">
        <v>24</v>
      </c>
      <c r="J1240" s="106">
        <v>6592</v>
      </c>
      <c r="K1240" s="106">
        <v>11096</v>
      </c>
      <c r="L1240" s="106">
        <v>9707</v>
      </c>
      <c r="M1240" s="106">
        <v>0.41</v>
      </c>
      <c r="N1240" s="106">
        <v>0.67</v>
      </c>
      <c r="O1240" s="106">
        <v>0.23</v>
      </c>
      <c r="P1240" s="106">
        <v>787</v>
      </c>
      <c r="Q1240" s="106">
        <v>174.54376657824935</v>
      </c>
      <c r="R1240" s="106">
        <v>2.2632952213628817E-2</v>
      </c>
      <c r="S1240" s="106">
        <v>15308.902740937223</v>
      </c>
      <c r="T1240" s="106">
        <v>15459.159151193633</v>
      </c>
      <c r="U1240" s="106">
        <v>12095.553492484527</v>
      </c>
      <c r="V1240" s="106">
        <v>0.62315356404217492</v>
      </c>
      <c r="W1240" s="106">
        <v>73730.266666666663</v>
      </c>
      <c r="X1240" s="110">
        <v>0.50603269480080681</v>
      </c>
      <c r="Y1240" s="106">
        <v>473.38604651162785</v>
      </c>
      <c r="Z1240" s="106">
        <v>15.781395348837208</v>
      </c>
      <c r="AA1240" s="106">
        <v>28921.926004228331</v>
      </c>
      <c r="AB1240" s="106">
        <v>403.2326534221541</v>
      </c>
      <c r="AC1240" s="106">
        <v>3.4575843941160831</v>
      </c>
      <c r="AD1240" s="106">
        <v>49.015544041450774</v>
      </c>
      <c r="AE1240" s="106">
        <v>71.725158562367866</v>
      </c>
      <c r="AF1240" s="106">
        <v>2.294508111148005E-2</v>
      </c>
      <c r="AG1240" s="106">
        <v>3648</v>
      </c>
      <c r="AH1240" s="106">
        <v>15410.790450928382</v>
      </c>
      <c r="AI1240" s="106">
        <v>15772.338638373121</v>
      </c>
      <c r="AJ1240" s="106">
        <v>15432.540229885057</v>
      </c>
      <c r="AK1240" s="104">
        <v>12095.553492484527</v>
      </c>
      <c r="AL1240" s="118">
        <v>4195209</v>
      </c>
      <c r="AM1240" s="118">
        <v>1187</v>
      </c>
      <c r="AN1240" s="118">
        <v>33926</v>
      </c>
      <c r="AO1240" s="118">
        <v>329</v>
      </c>
      <c r="AP1240" s="118">
        <f t="shared" si="19"/>
        <v>2944</v>
      </c>
    </row>
    <row r="1241" spans="1:42" ht="12.75">
      <c r="A1241" s="106">
        <v>2018</v>
      </c>
      <c r="B1241" s="106">
        <v>-178448</v>
      </c>
      <c r="C1241" s="106">
        <v>0</v>
      </c>
      <c r="D1241" s="106">
        <v>178448</v>
      </c>
      <c r="E1241" s="106" t="s">
        <v>2045</v>
      </c>
      <c r="F1241" s="106" t="s">
        <v>2046</v>
      </c>
      <c r="G1241" s="106" t="s">
        <v>264</v>
      </c>
      <c r="H1241" s="106">
        <v>4</v>
      </c>
      <c r="I1241" s="106" t="s">
        <v>24</v>
      </c>
      <c r="J1241" s="106">
        <v>3300</v>
      </c>
      <c r="K1241" s="106">
        <v>6792</v>
      </c>
      <c r="L1241" s="106">
        <v>6175</v>
      </c>
      <c r="M1241" s="106">
        <v>0.54</v>
      </c>
      <c r="N1241" s="106">
        <v>0.14000000000000001</v>
      </c>
      <c r="O1241" s="106">
        <v>0.12</v>
      </c>
      <c r="P1241" s="106">
        <v>956</v>
      </c>
      <c r="Q1241" s="106">
        <v>243.53505214368482</v>
      </c>
      <c r="R1241" s="106">
        <v>4.6404574599939435E-2</v>
      </c>
      <c r="S1241" s="106">
        <v>9358.8160486674387</v>
      </c>
      <c r="T1241" s="106">
        <v>8611.4788528389345</v>
      </c>
      <c r="U1241" s="106">
        <v>6978.0211471610664</v>
      </c>
      <c r="V1241" s="106">
        <v>0.71718725020112606</v>
      </c>
      <c r="W1241" s="106">
        <v>47412.25352112676</v>
      </c>
      <c r="X1241" s="110">
        <v>0.56620072947581856</v>
      </c>
      <c r="Y1241" s="106">
        <v>752.27360774818396</v>
      </c>
      <c r="Z1241" s="106">
        <v>25.075060532687647</v>
      </c>
      <c r="AA1241" s="106">
        <v>30223.499372647428</v>
      </c>
      <c r="AB1241" s="106">
        <v>232.59396695731101</v>
      </c>
      <c r="AC1241" s="106">
        <v>3.3086837088924592</v>
      </c>
      <c r="AD1241" s="106">
        <v>25.317662007623888</v>
      </c>
      <c r="AE1241" s="106">
        <v>129.94102885821832</v>
      </c>
      <c r="AF1241" s="106">
        <v>0.11995926754663895</v>
      </c>
      <c r="AG1241" s="106">
        <v>2700</v>
      </c>
      <c r="AH1241" s="106">
        <v>8223.1978563151788</v>
      </c>
      <c r="AI1241" s="106">
        <v>8498.1425260718424</v>
      </c>
      <c r="AJ1241" s="106">
        <v>9425.7369640787947</v>
      </c>
      <c r="AK1241" s="104">
        <v>7874.1089223638473</v>
      </c>
      <c r="AL1241" s="118">
        <v>6948776</v>
      </c>
      <c r="AM1241" s="118">
        <v>4898</v>
      </c>
      <c r="AN1241" s="118">
        <v>103563</v>
      </c>
      <c r="AO1241" s="118">
        <v>718</v>
      </c>
      <c r="AP1241" s="118">
        <f t="shared" si="19"/>
        <v>600</v>
      </c>
    </row>
    <row r="1242" spans="1:42" ht="12.75">
      <c r="A1242" s="106">
        <v>2018</v>
      </c>
      <c r="B1242" s="106">
        <v>-118976</v>
      </c>
      <c r="C1242" s="106">
        <v>0</v>
      </c>
      <c r="D1242" s="106">
        <v>118976</v>
      </c>
      <c r="E1242" s="106" t="s">
        <v>4147</v>
      </c>
      <c r="F1242" s="106" t="s">
        <v>4148</v>
      </c>
      <c r="G1242" s="106" t="s">
        <v>121</v>
      </c>
      <c r="H1242" s="106">
        <v>4</v>
      </c>
      <c r="I1242" s="106" t="s">
        <v>24</v>
      </c>
      <c r="J1242" s="106">
        <v>1162</v>
      </c>
      <c r="K1242" s="106">
        <v>9586</v>
      </c>
      <c r="L1242" s="106">
        <v>6709</v>
      </c>
      <c r="M1242" s="106">
        <v>0.53</v>
      </c>
      <c r="N1242" s="106">
        <v>0</v>
      </c>
      <c r="O1242" s="106">
        <v>0.08</v>
      </c>
      <c r="P1242" s="106">
        <v>1315</v>
      </c>
      <c r="Q1242" s="106">
        <v>21.428852571232994</v>
      </c>
      <c r="R1242" s="106">
        <v>1.3755869364638223E-2</v>
      </c>
      <c r="S1242" s="106">
        <v>5619.9130657996066</v>
      </c>
      <c r="T1242" s="106">
        <v>10024.887481817404</v>
      </c>
      <c r="U1242" s="106">
        <v>7435.9294100214347</v>
      </c>
      <c r="V1242" s="106">
        <v>0.20661414359363534</v>
      </c>
      <c r="W1242" s="106">
        <v>116365.36261381896</v>
      </c>
      <c r="X1242" s="110">
        <v>0.61810782201496306</v>
      </c>
      <c r="Y1242" s="106">
        <v>1034.2536873156341</v>
      </c>
      <c r="Z1242" s="106">
        <v>34.474926253687315</v>
      </c>
      <c r="AA1242" s="106">
        <v>29035.652193424827</v>
      </c>
      <c r="AB1242" s="106">
        <v>247.86289977217123</v>
      </c>
      <c r="AC1242" s="106">
        <v>3.4440418053583506</v>
      </c>
      <c r="AD1242" s="106">
        <v>28.121770177581507</v>
      </c>
      <c r="AE1242" s="106">
        <v>117.14400267290344</v>
      </c>
      <c r="AF1242" s="106"/>
      <c r="AG1242" s="106">
        <v>1104</v>
      </c>
      <c r="AH1242" s="106">
        <v>5893.1416959014286</v>
      </c>
      <c r="AI1242" s="106">
        <v>5893.1416959014286</v>
      </c>
      <c r="AJ1242" s="106">
        <v>5623.8794386925647</v>
      </c>
      <c r="AK1242" s="104">
        <v>7795.5167279883635</v>
      </c>
      <c r="AL1242" s="118"/>
      <c r="AM1242" s="118">
        <v>17880</v>
      </c>
      <c r="AN1242" s="118">
        <v>350612</v>
      </c>
      <c r="AO1242" s="118">
        <v>1797</v>
      </c>
      <c r="AP1242" s="118">
        <f t="shared" si="19"/>
        <v>58</v>
      </c>
    </row>
    <row r="1243" spans="1:42" ht="12.75">
      <c r="A1243" s="106">
        <v>2018</v>
      </c>
      <c r="B1243" s="106">
        <v>-105206</v>
      </c>
      <c r="C1243" s="106">
        <v>0</v>
      </c>
      <c r="D1243" s="106">
        <v>105206</v>
      </c>
      <c r="E1243" s="106" t="s">
        <v>2047</v>
      </c>
      <c r="F1243" s="106" t="s">
        <v>2048</v>
      </c>
      <c r="G1243" s="106" t="s">
        <v>147</v>
      </c>
      <c r="H1243" s="106">
        <v>4</v>
      </c>
      <c r="I1243" s="106" t="s">
        <v>24</v>
      </c>
      <c r="J1243" s="106">
        <v>2640</v>
      </c>
      <c r="K1243" s="106">
        <v>7969</v>
      </c>
      <c r="L1243" s="106">
        <v>7751</v>
      </c>
      <c r="M1243" s="106">
        <v>0.68</v>
      </c>
      <c r="N1243" s="106">
        <v>0.14000000000000001</v>
      </c>
      <c r="O1243" s="106">
        <v>0.05</v>
      </c>
      <c r="P1243" s="106">
        <v>938</v>
      </c>
      <c r="Q1243" s="106"/>
      <c r="R1243" s="106"/>
      <c r="S1243" s="106">
        <v>15689.325935059596</v>
      </c>
      <c r="T1243" s="106">
        <v>12595.593505959721</v>
      </c>
      <c r="U1243" s="106">
        <v>9012.8249964382885</v>
      </c>
      <c r="V1243" s="106">
        <v>0.40808044834855728</v>
      </c>
      <c r="W1243" s="106">
        <v>59588.806930693063</v>
      </c>
      <c r="X1243" s="110">
        <v>0.65464229999211287</v>
      </c>
      <c r="Y1243" s="106">
        <v>469.82832618025759</v>
      </c>
      <c r="Z1243" s="106">
        <v>15.663090128755366</v>
      </c>
      <c r="AA1243" s="106">
        <v>30625.982145718375</v>
      </c>
      <c r="AB1243" s="106">
        <v>300.46866561159715</v>
      </c>
      <c r="AC1243" s="106">
        <v>3.2652014072299838</v>
      </c>
      <c r="AD1243" s="106">
        <v>35.692921236291127</v>
      </c>
      <c r="AE1243" s="106">
        <v>101.92737430167598</v>
      </c>
      <c r="AF1243" s="106">
        <v>0.31668141005913825</v>
      </c>
      <c r="AG1243" s="106">
        <v>2430</v>
      </c>
      <c r="AH1243" s="106">
        <v>14759.603370324701</v>
      </c>
      <c r="AI1243" s="106">
        <v>14759.603370324701</v>
      </c>
      <c r="AJ1243" s="106">
        <v>15722.473078503905</v>
      </c>
      <c r="AK1243" s="105">
        <v>10321.387176325525</v>
      </c>
      <c r="AL1243" s="119">
        <v>25033115</v>
      </c>
      <c r="AM1243" s="119">
        <v>4312</v>
      </c>
      <c r="AN1243" s="119">
        <v>72980</v>
      </c>
      <c r="AO1243" s="119">
        <v>370</v>
      </c>
      <c r="AP1243" s="118">
        <f t="shared" si="19"/>
        <v>210</v>
      </c>
    </row>
    <row r="1244" spans="1:42" ht="12.75">
      <c r="A1244" s="106">
        <v>2018</v>
      </c>
      <c r="B1244" s="106">
        <v>-193283</v>
      </c>
      <c r="C1244" s="106">
        <v>0</v>
      </c>
      <c r="D1244" s="106">
        <v>193283</v>
      </c>
      <c r="E1244" s="106" t="s">
        <v>2049</v>
      </c>
      <c r="F1244" s="106" t="s">
        <v>2050</v>
      </c>
      <c r="G1244" s="106" t="s">
        <v>69</v>
      </c>
      <c r="H1244" s="106">
        <v>4</v>
      </c>
      <c r="I1244" s="106" t="s">
        <v>24</v>
      </c>
      <c r="J1244" s="106">
        <v>5058</v>
      </c>
      <c r="K1244" s="106">
        <v>7173</v>
      </c>
      <c r="L1244" s="106">
        <v>5515</v>
      </c>
      <c r="M1244" s="106">
        <v>0.69</v>
      </c>
      <c r="N1244" s="106">
        <v>0.38</v>
      </c>
      <c r="O1244" s="106">
        <v>0</v>
      </c>
      <c r="P1244" s="106"/>
      <c r="Q1244" s="106">
        <v>1.5822289810992831</v>
      </c>
      <c r="R1244" s="106">
        <v>3.4358201254991916E-4</v>
      </c>
      <c r="S1244" s="106">
        <v>13497.517488594394</v>
      </c>
      <c r="T1244" s="106">
        <v>15606.388659569846</v>
      </c>
      <c r="U1244" s="106">
        <v>9041.9026846474262</v>
      </c>
      <c r="V1244" s="106">
        <v>0.50913135715485558</v>
      </c>
      <c r="W1244" s="106">
        <v>72835.904443091917</v>
      </c>
      <c r="X1244" s="110">
        <v>0.55528818496778376</v>
      </c>
      <c r="Y1244" s="106">
        <v>691.67278797996653</v>
      </c>
      <c r="Z1244" s="106">
        <v>23.053422370617692</v>
      </c>
      <c r="AA1244" s="106">
        <v>38359.334615144791</v>
      </c>
      <c r="AB1244" s="106">
        <v>301.36620269819917</v>
      </c>
      <c r="AC1244" s="106">
        <v>2.6069273881648258</v>
      </c>
      <c r="AD1244" s="106">
        <v>24.704007285974498</v>
      </c>
      <c r="AE1244" s="106">
        <v>127.28479262672811</v>
      </c>
      <c r="AF1244" s="106">
        <v>-0.17124152701081863</v>
      </c>
      <c r="AG1244" s="106">
        <v>4250</v>
      </c>
      <c r="AH1244" s="106">
        <v>12659.085161850966</v>
      </c>
      <c r="AI1244" s="106">
        <v>12659.085161850966</v>
      </c>
      <c r="AJ1244" s="106">
        <v>13497.517488594394</v>
      </c>
      <c r="AK1244" s="104">
        <v>11155.761025418205</v>
      </c>
      <c r="AL1244" s="119">
        <v>16321208</v>
      </c>
      <c r="AM1244" s="118">
        <v>6506</v>
      </c>
      <c r="AN1244" s="118">
        <v>138104</v>
      </c>
      <c r="AO1244" s="118">
        <v>902</v>
      </c>
      <c r="AP1244" s="118">
        <f t="shared" si="19"/>
        <v>808</v>
      </c>
    </row>
    <row r="1245" spans="1:42" ht="12.75">
      <c r="A1245" s="106">
        <v>2018</v>
      </c>
      <c r="B1245" s="106">
        <v>-193292</v>
      </c>
      <c r="C1245" s="106">
        <v>0</v>
      </c>
      <c r="D1245" s="106">
        <v>193292</v>
      </c>
      <c r="E1245" s="106" t="s">
        <v>2051</v>
      </c>
      <c r="F1245" s="106" t="s">
        <v>2052</v>
      </c>
      <c r="G1245" s="106" t="s">
        <v>69</v>
      </c>
      <c r="H1245" s="106">
        <v>6</v>
      </c>
      <c r="I1245" s="106" t="s">
        <v>3640</v>
      </c>
      <c r="J1245" s="106">
        <v>30310</v>
      </c>
      <c r="K1245" s="106">
        <v>29189</v>
      </c>
      <c r="L1245" s="106">
        <v>23955</v>
      </c>
      <c r="M1245" s="106">
        <v>0.31</v>
      </c>
      <c r="N1245" s="106">
        <v>0.67</v>
      </c>
      <c r="O1245" s="106">
        <v>0.92</v>
      </c>
      <c r="P1245" s="106">
        <v>12554</v>
      </c>
      <c r="Q1245" s="106">
        <v>5723.1919372900338</v>
      </c>
      <c r="R1245" s="106">
        <v>0.19162201519361372</v>
      </c>
      <c r="S1245" s="106">
        <v>26836.127435610302</v>
      </c>
      <c r="T1245" s="106">
        <v>25967.788129899218</v>
      </c>
      <c r="U1245" s="106">
        <v>24859.85195968645</v>
      </c>
      <c r="V1245" s="106">
        <v>0.97120038813959797</v>
      </c>
      <c r="W1245" s="106">
        <v>100231.85065819336</v>
      </c>
      <c r="X1245" s="110">
        <v>0.63480826025358972</v>
      </c>
      <c r="Y1245" s="106">
        <v>352.61686526122827</v>
      </c>
      <c r="Z1245" s="106">
        <v>12.277726856095327</v>
      </c>
      <c r="AA1245" s="106">
        <v>85318.400461183701</v>
      </c>
      <c r="AB1245" s="106">
        <v>865.59238117518623</v>
      </c>
      <c r="AC1245" s="106">
        <v>1.1720801076843419</v>
      </c>
      <c r="AD1245" s="106">
        <v>34.030865812189383</v>
      </c>
      <c r="AE1245" s="106">
        <v>98.566487317448122</v>
      </c>
      <c r="AF1245" s="106">
        <v>6.2334060513857634E-2</v>
      </c>
      <c r="AG1245" s="106">
        <v>29110</v>
      </c>
      <c r="AH1245" s="106">
        <v>25967.651959686449</v>
      </c>
      <c r="AI1245" s="106">
        <v>26836.127435610302</v>
      </c>
      <c r="AJ1245" s="106">
        <v>27341.173572228443</v>
      </c>
      <c r="AK1245" s="104">
        <v>24859.85195968645</v>
      </c>
      <c r="AM1245" s="118">
        <v>3534</v>
      </c>
      <c r="AN1245" s="118">
        <v>128235</v>
      </c>
      <c r="AO1245" s="118">
        <v>868</v>
      </c>
      <c r="AP1245" s="118">
        <f t="shared" si="19"/>
        <v>1200</v>
      </c>
    </row>
    <row r="1246" spans="1:42" ht="12.75">
      <c r="A1246" s="106">
        <v>2018</v>
      </c>
      <c r="B1246" s="106">
        <v>-147341</v>
      </c>
      <c r="C1246" s="106">
        <v>0</v>
      </c>
      <c r="D1246" s="106">
        <v>147341</v>
      </c>
      <c r="E1246" s="106" t="s">
        <v>2053</v>
      </c>
      <c r="F1246" s="106" t="s">
        <v>2054</v>
      </c>
      <c r="G1246" s="106" t="s">
        <v>243</v>
      </c>
      <c r="H1246" s="106">
        <v>7</v>
      </c>
      <c r="I1246" s="106" t="s">
        <v>3641</v>
      </c>
      <c r="J1246" s="106">
        <v>36400</v>
      </c>
      <c r="K1246" s="106">
        <v>17812</v>
      </c>
      <c r="L1246" s="106">
        <v>13137</v>
      </c>
      <c r="M1246" s="106">
        <v>0.42</v>
      </c>
      <c r="N1246" s="106">
        <v>0.8</v>
      </c>
      <c r="O1246" s="106">
        <v>1</v>
      </c>
      <c r="P1246" s="106">
        <v>25759</v>
      </c>
      <c r="Q1246" s="106">
        <v>22059.76139670223</v>
      </c>
      <c r="R1246" s="106">
        <v>0.64482854128060008</v>
      </c>
      <c r="S1246" s="106">
        <v>30212.14064015519</v>
      </c>
      <c r="T1246" s="106">
        <v>37813.612027158102</v>
      </c>
      <c r="U1246" s="106">
        <v>29780.605237633365</v>
      </c>
      <c r="V1246" s="106">
        <v>0.40800087832764959</v>
      </c>
      <c r="W1246" s="106">
        <v>70404.98090692125</v>
      </c>
      <c r="X1246" s="110">
        <v>0.50445138611117057</v>
      </c>
      <c r="Y1246" s="106">
        <v>312.75986842105266</v>
      </c>
      <c r="Z1246" s="106">
        <v>10.174342105263158</v>
      </c>
      <c r="AA1246" s="106">
        <v>114566.4328358209</v>
      </c>
      <c r="AB1246" s="106">
        <v>968.78818666582526</v>
      </c>
      <c r="AC1246" s="106">
        <v>0.87285601484428443</v>
      </c>
      <c r="AD1246" s="106">
        <v>26.19745845552297</v>
      </c>
      <c r="AE1246" s="106">
        <v>118.25746268656717</v>
      </c>
      <c r="AF1246" s="106">
        <v>6.7346582005104096E-3</v>
      </c>
      <c r="AG1246" s="106">
        <v>36400</v>
      </c>
      <c r="AH1246" s="106">
        <v>20807.821532492726</v>
      </c>
      <c r="AI1246" s="106">
        <v>30212.14064015519</v>
      </c>
      <c r="AJ1246" s="106">
        <v>39062.445198836082</v>
      </c>
      <c r="AK1246" s="104">
        <v>29780.605237633365</v>
      </c>
      <c r="AM1246" s="118">
        <v>1030</v>
      </c>
      <c r="AN1246" s="118">
        <v>31693</v>
      </c>
      <c r="AO1246" s="118">
        <v>268</v>
      </c>
      <c r="AP1246" s="118">
        <f t="shared" si="19"/>
        <v>0</v>
      </c>
    </row>
    <row r="1247" spans="1:42" ht="12.75">
      <c r="A1247" s="106">
        <v>2018</v>
      </c>
      <c r="B1247" s="106">
        <v>-185572</v>
      </c>
      <c r="C1247" s="106">
        <v>0</v>
      </c>
      <c r="D1247" s="106">
        <v>185572</v>
      </c>
      <c r="E1247" s="106" t="s">
        <v>2055</v>
      </c>
      <c r="F1247" s="106" t="s">
        <v>2056</v>
      </c>
      <c r="G1247" s="106" t="s">
        <v>234</v>
      </c>
      <c r="H1247" s="106">
        <v>6</v>
      </c>
      <c r="I1247" s="106" t="s">
        <v>3640</v>
      </c>
      <c r="J1247" s="106">
        <v>36732</v>
      </c>
      <c r="K1247" s="106">
        <v>30320</v>
      </c>
      <c r="L1247" s="106">
        <v>20011</v>
      </c>
      <c r="M1247" s="106">
        <v>0.33</v>
      </c>
      <c r="N1247" s="106">
        <v>0.72</v>
      </c>
      <c r="O1247" s="106">
        <v>0.97</v>
      </c>
      <c r="P1247" s="106">
        <v>17770</v>
      </c>
      <c r="Q1247" s="108">
        <v>11176.641880898145</v>
      </c>
      <c r="R1247" s="106">
        <v>0.33146181950231712</v>
      </c>
      <c r="S1247" s="106">
        <v>30649.984054669705</v>
      </c>
      <c r="T1247" s="106">
        <v>28873.25528799219</v>
      </c>
      <c r="U1247" s="106">
        <v>24307.690075602179</v>
      </c>
      <c r="V1247" s="106">
        <v>0.92738560450427743</v>
      </c>
      <c r="W1247" s="106">
        <v>103346.722513089</v>
      </c>
      <c r="X1247" s="110">
        <v>0.66741047578212587</v>
      </c>
      <c r="Y1247" s="106">
        <v>407.67699457784664</v>
      </c>
      <c r="Z1247" s="106">
        <v>14.281951975213014</v>
      </c>
      <c r="AA1247" s="106">
        <v>83135.817030968843</v>
      </c>
      <c r="AB1247" s="106">
        <v>851.55960945895674</v>
      </c>
      <c r="AC1247" s="106">
        <v>1.2028509921632107</v>
      </c>
      <c r="AD1247" s="106">
        <v>32.026376759935843</v>
      </c>
      <c r="AE1247" s="106">
        <v>97.627712854757931</v>
      </c>
      <c r="AF1247" s="106">
        <v>5.801259118276815E-2</v>
      </c>
      <c r="AG1247" s="106">
        <v>36032</v>
      </c>
      <c r="AH1247" s="106">
        <v>29858.25268467296</v>
      </c>
      <c r="AI1247" s="106">
        <v>30827.553205336804</v>
      </c>
      <c r="AJ1247" s="106">
        <v>32015.462739993491</v>
      </c>
      <c r="AK1247" s="104">
        <v>25242.355353075171</v>
      </c>
      <c r="AL1247" s="119">
        <v>130247</v>
      </c>
      <c r="AM1247" s="118">
        <v>4706</v>
      </c>
      <c r="AN1247" s="118">
        <v>175437</v>
      </c>
      <c r="AO1247" s="118">
        <v>1139</v>
      </c>
      <c r="AP1247" s="118">
        <f t="shared" si="19"/>
        <v>700</v>
      </c>
    </row>
    <row r="1248" spans="1:42" ht="12.75">
      <c r="A1248" s="106">
        <v>2018</v>
      </c>
      <c r="B1248" s="106">
        <v>-193326</v>
      </c>
      <c r="C1248" s="106">
        <v>0</v>
      </c>
      <c r="D1248" s="106">
        <v>193326</v>
      </c>
      <c r="E1248" s="106" t="s">
        <v>2057</v>
      </c>
      <c r="F1248" s="106" t="s">
        <v>1923</v>
      </c>
      <c r="G1248" s="106" t="s">
        <v>69</v>
      </c>
      <c r="H1248" s="106">
        <v>4</v>
      </c>
      <c r="I1248" s="106" t="s">
        <v>24</v>
      </c>
      <c r="J1248" s="106">
        <v>5139</v>
      </c>
      <c r="K1248" s="106">
        <v>6625</v>
      </c>
      <c r="L1248" s="106">
        <v>4589</v>
      </c>
      <c r="M1248" s="106">
        <v>0.61</v>
      </c>
      <c r="N1248" s="106">
        <v>0.36</v>
      </c>
      <c r="O1248" s="106">
        <v>0.14000000000000001</v>
      </c>
      <c r="P1248" s="106">
        <v>1912</v>
      </c>
      <c r="Q1248" s="106">
        <v>146.35090909090908</v>
      </c>
      <c r="R1248" s="106">
        <v>2.890248233590571E-2</v>
      </c>
      <c r="S1248" s="106">
        <v>13029.919272727273</v>
      </c>
      <c r="T1248" s="106">
        <v>14494.556454545454</v>
      </c>
      <c r="U1248" s="106">
        <v>13079.020644972365</v>
      </c>
      <c r="V1248" s="106">
        <v>0.37596541729106236</v>
      </c>
      <c r="W1248" s="106">
        <v>99592.758196721305</v>
      </c>
      <c r="X1248" s="110">
        <v>0.71125732525002283</v>
      </c>
      <c r="Y1248" s="106">
        <v>742.12218890554732</v>
      </c>
      <c r="Z1248" s="106">
        <v>24.7376311844078</v>
      </c>
      <c r="AA1248" s="106">
        <v>62990.02937596148</v>
      </c>
      <c r="AB1248" s="106">
        <v>435.97131820803224</v>
      </c>
      <c r="AC1248" s="106">
        <v>1.5875528395635645</v>
      </c>
      <c r="AD1248" s="106">
        <v>23.89621259677757</v>
      </c>
      <c r="AE1248" s="106">
        <v>144.4820490367776</v>
      </c>
      <c r="AF1248" s="106">
        <v>-6.5055870940298188E-2</v>
      </c>
      <c r="AG1248" s="106">
        <v>4280</v>
      </c>
      <c r="AH1248" s="106">
        <v>12745.790363636364</v>
      </c>
      <c r="AI1248" s="106">
        <v>12745.790363636364</v>
      </c>
      <c r="AJ1248" s="106">
        <v>13065.284818181819</v>
      </c>
      <c r="AK1248" s="104">
        <v>13501.522363636364</v>
      </c>
      <c r="AL1248" s="119">
        <v>56542997</v>
      </c>
      <c r="AM1248" s="118">
        <v>12907</v>
      </c>
      <c r="AN1248" s="118">
        <v>329997</v>
      </c>
      <c r="AO1248" s="118">
        <v>1963</v>
      </c>
      <c r="AP1248" s="118">
        <f t="shared" si="19"/>
        <v>859</v>
      </c>
    </row>
    <row r="1249" spans="1:42" ht="12.75">
      <c r="A1249" s="106">
        <v>2018</v>
      </c>
      <c r="B1249" s="106">
        <v>-171225</v>
      </c>
      <c r="C1249" s="106">
        <v>0</v>
      </c>
      <c r="D1249" s="106">
        <v>171225</v>
      </c>
      <c r="E1249" s="106" t="s">
        <v>2058</v>
      </c>
      <c r="F1249" s="106" t="s">
        <v>1833</v>
      </c>
      <c r="G1249" s="106" t="s">
        <v>74</v>
      </c>
      <c r="H1249" s="106">
        <v>4</v>
      </c>
      <c r="I1249" s="106" t="s">
        <v>24</v>
      </c>
      <c r="J1249" s="106">
        <v>3890</v>
      </c>
      <c r="K1249" s="106">
        <v>4468</v>
      </c>
      <c r="L1249" s="106">
        <v>2595</v>
      </c>
      <c r="M1249" s="106">
        <v>0.38</v>
      </c>
      <c r="N1249" s="106">
        <v>0.19</v>
      </c>
      <c r="O1249" s="106">
        <v>0.46</v>
      </c>
      <c r="P1249" s="106">
        <v>1852</v>
      </c>
      <c r="Q1249" s="106">
        <v>404.2110552763819</v>
      </c>
      <c r="R1249" s="106">
        <v>7.2451110347177702E-2</v>
      </c>
      <c r="S1249" s="106">
        <v>21394.245114461195</v>
      </c>
      <c r="T1249" s="106">
        <v>17367.235064209937</v>
      </c>
      <c r="U1249" s="106">
        <v>15773.467839760471</v>
      </c>
      <c r="V1249" s="106">
        <v>0.32807472012316574</v>
      </c>
      <c r="W1249" s="106">
        <v>100348.47441860464</v>
      </c>
      <c r="X1249" s="110">
        <v>0.69362217011580041</v>
      </c>
      <c r="Y1249" s="106">
        <v>557.61591695501727</v>
      </c>
      <c r="Z1249" s="106">
        <v>18.591695501730101</v>
      </c>
      <c r="AA1249" s="106">
        <v>58732.392725594604</v>
      </c>
      <c r="AB1249" s="106">
        <v>525.90950538956019</v>
      </c>
      <c r="AC1249" s="106">
        <v>1.7026379372489222</v>
      </c>
      <c r="AD1249" s="106">
        <v>29.950186799501864</v>
      </c>
      <c r="AE1249" s="106">
        <v>111.67775467775468</v>
      </c>
      <c r="AF1249" s="106">
        <v>0.37653750258246899</v>
      </c>
      <c r="AG1249" s="106">
        <v>3210</v>
      </c>
      <c r="AH1249" s="106">
        <v>20552.763819095479</v>
      </c>
      <c r="AI1249" s="106">
        <v>21007.833054159688</v>
      </c>
      <c r="AJ1249" s="106">
        <v>21463.173646007817</v>
      </c>
      <c r="AK1249" s="104">
        <v>16592.843104410942</v>
      </c>
      <c r="AL1249" s="119">
        <v>24765402</v>
      </c>
      <c r="AM1249" s="118">
        <v>3109</v>
      </c>
      <c r="AN1249" s="118">
        <v>53717</v>
      </c>
      <c r="AO1249" s="118">
        <v>434</v>
      </c>
      <c r="AP1249" s="118">
        <f t="shared" si="19"/>
        <v>680</v>
      </c>
    </row>
    <row r="1250" spans="1:42" ht="12.75">
      <c r="A1250" s="106">
        <v>2018</v>
      </c>
      <c r="B1250" s="106">
        <v>-180461</v>
      </c>
      <c r="C1250" s="106">
        <v>0</v>
      </c>
      <c r="D1250" s="106">
        <v>180461</v>
      </c>
      <c r="E1250" s="106" t="s">
        <v>4149</v>
      </c>
      <c r="F1250" s="106" t="s">
        <v>2059</v>
      </c>
      <c r="G1250" s="106" t="s">
        <v>608</v>
      </c>
      <c r="H1250" s="106">
        <v>1</v>
      </c>
      <c r="I1250" s="106" t="s">
        <v>23</v>
      </c>
      <c r="J1250" s="106">
        <v>7079</v>
      </c>
      <c r="K1250" s="106">
        <v>15801</v>
      </c>
      <c r="L1250" s="106">
        <v>14810</v>
      </c>
      <c r="M1250" s="106">
        <v>0.22</v>
      </c>
      <c r="N1250" s="106">
        <v>0.46</v>
      </c>
      <c r="O1250" s="106">
        <v>0.69</v>
      </c>
      <c r="P1250" s="106">
        <v>5340</v>
      </c>
      <c r="Q1250" s="106">
        <v>2300.9755040388782</v>
      </c>
      <c r="R1250" s="106">
        <v>0.1859540989507657</v>
      </c>
      <c r="S1250" s="106">
        <v>30263.930386812899</v>
      </c>
      <c r="T1250" s="106">
        <v>30638.06002495567</v>
      </c>
      <c r="U1250" s="106">
        <v>12716.386150363513</v>
      </c>
      <c r="V1250" s="106">
        <v>0.79212081534177858</v>
      </c>
      <c r="W1250" s="106">
        <v>98758.851287631478</v>
      </c>
      <c r="X1250" s="110">
        <v>0.58362943275112755</v>
      </c>
      <c r="Y1250" s="106">
        <v>558.75374999999997</v>
      </c>
      <c r="Z1250" s="106">
        <v>19.033750000000001</v>
      </c>
      <c r="AA1250" s="106">
        <v>59892.487445587758</v>
      </c>
      <c r="AB1250" s="106">
        <v>433.17922231301628</v>
      </c>
      <c r="AC1250" s="106">
        <v>1.66965848748309</v>
      </c>
      <c r="AD1250" s="106">
        <v>22.457627118644069</v>
      </c>
      <c r="AE1250" s="106">
        <v>138.26260439220539</v>
      </c>
      <c r="AF1250" s="106">
        <v>8.9892901824278476E-2</v>
      </c>
      <c r="AG1250" s="106">
        <v>5490</v>
      </c>
      <c r="AH1250" s="106">
        <v>28330.894266762985</v>
      </c>
      <c r="AI1250" s="106">
        <v>29309.446706508177</v>
      </c>
      <c r="AJ1250" s="106">
        <v>30619.045708281341</v>
      </c>
      <c r="AK1250" s="104">
        <v>26440.425559860774</v>
      </c>
      <c r="AL1250" s="119">
        <v>85055482</v>
      </c>
      <c r="AM1250" s="118">
        <v>14652</v>
      </c>
      <c r="AN1250" s="118">
        <v>447003</v>
      </c>
      <c r="AO1250" s="118">
        <v>2500</v>
      </c>
      <c r="AP1250" s="118">
        <f t="shared" si="19"/>
        <v>1589</v>
      </c>
    </row>
    <row r="1251" spans="1:42" ht="12.75">
      <c r="A1251" s="106">
        <v>2018</v>
      </c>
      <c r="B1251" s="106">
        <v>2561</v>
      </c>
      <c r="C1251" s="106">
        <v>1</v>
      </c>
      <c r="D1251" s="106">
        <v>180179</v>
      </c>
      <c r="E1251" s="106" t="s">
        <v>3912</v>
      </c>
      <c r="F1251" s="106" t="s">
        <v>2060</v>
      </c>
      <c r="G1251" s="106" t="s">
        <v>608</v>
      </c>
      <c r="H1251" s="106">
        <v>2</v>
      </c>
      <c r="I1251" s="106" t="s">
        <v>25</v>
      </c>
      <c r="J1251" s="106">
        <v>5833</v>
      </c>
      <c r="K1251" s="106">
        <v>11859</v>
      </c>
      <c r="L1251" s="106">
        <v>11457</v>
      </c>
      <c r="M1251" s="106">
        <v>0.39</v>
      </c>
      <c r="N1251" s="106">
        <v>0.5</v>
      </c>
      <c r="O1251" s="106">
        <v>0.53</v>
      </c>
      <c r="P1251" s="106">
        <v>3461</v>
      </c>
      <c r="Q1251" s="106">
        <v>1079.3590047393366</v>
      </c>
      <c r="R1251" s="106">
        <v>0.15555612854047762</v>
      </c>
      <c r="S1251" s="106">
        <v>17572.014218009477</v>
      </c>
      <c r="T1251" s="106">
        <v>18843.828199052132</v>
      </c>
      <c r="U1251" s="106">
        <v>13513.652605450372</v>
      </c>
      <c r="V1251" s="106">
        <v>0.43358757745270021</v>
      </c>
      <c r="W1251" s="106">
        <v>70016.53462050599</v>
      </c>
      <c r="X1251" s="110">
        <v>0.55103313648584828</v>
      </c>
      <c r="Y1251" s="106">
        <v>493.57425742574259</v>
      </c>
      <c r="Z1251" s="106">
        <v>16.712871287128714</v>
      </c>
      <c r="AA1251" s="106">
        <v>57170.540345865236</v>
      </c>
      <c r="AB1251" s="106">
        <v>457.58451381116186</v>
      </c>
      <c r="AC1251" s="106">
        <v>1.7491526124299146</v>
      </c>
      <c r="AD1251" s="106">
        <v>24.211165048543691</v>
      </c>
      <c r="AE1251" s="106">
        <v>124.93984962406014</v>
      </c>
      <c r="AF1251" s="106">
        <v>-9.2910764373039412E-2</v>
      </c>
      <c r="AG1251" s="106">
        <v>4397</v>
      </c>
      <c r="AH1251" s="106">
        <v>15546.05183649289</v>
      </c>
      <c r="AI1251" s="106">
        <v>16242.72037914692</v>
      </c>
      <c r="AJ1251" s="106">
        <v>17729.27280805687</v>
      </c>
      <c r="AK1251" s="104">
        <v>16458.287026066351</v>
      </c>
      <c r="AL1251" s="119">
        <v>21824799</v>
      </c>
      <c r="AM1251" s="118">
        <v>4021</v>
      </c>
      <c r="AN1251" s="118">
        <v>99702</v>
      </c>
      <c r="AO1251" s="118">
        <v>626</v>
      </c>
      <c r="AP1251" s="118">
        <f t="shared" si="19"/>
        <v>1436</v>
      </c>
    </row>
    <row r="1252" spans="1:42" ht="12.75">
      <c r="A1252" s="106">
        <v>2018</v>
      </c>
      <c r="B1252" s="106">
        <v>-180522</v>
      </c>
      <c r="C1252" s="106">
        <v>0</v>
      </c>
      <c r="D1252" s="106">
        <v>180522</v>
      </c>
      <c r="E1252" s="106" t="s">
        <v>2061</v>
      </c>
      <c r="F1252" s="106" t="s">
        <v>2062</v>
      </c>
      <c r="G1252" s="106" t="s">
        <v>608</v>
      </c>
      <c r="H1252" s="106">
        <v>3</v>
      </c>
      <c r="I1252" s="104" t="s">
        <v>26</v>
      </c>
      <c r="J1252" s="106">
        <v>5861</v>
      </c>
      <c r="K1252" s="106">
        <v>10644</v>
      </c>
      <c r="L1252" s="106">
        <v>10284</v>
      </c>
      <c r="M1252" s="106">
        <v>0.47</v>
      </c>
      <c r="N1252" s="106">
        <v>0.57999999999999996</v>
      </c>
      <c r="O1252" s="106">
        <v>0.36</v>
      </c>
      <c r="P1252" s="106">
        <v>2703</v>
      </c>
      <c r="Q1252" s="106">
        <v>2150.2693761814744</v>
      </c>
      <c r="R1252" s="106">
        <v>0.27544138713923599</v>
      </c>
      <c r="S1252" s="106">
        <v>22732.370510396977</v>
      </c>
      <c r="T1252" s="106">
        <v>23851.82986767486</v>
      </c>
      <c r="U1252" s="106">
        <v>16722.898450358269</v>
      </c>
      <c r="V1252" s="106">
        <v>0.33824052813401717</v>
      </c>
      <c r="W1252" s="106">
        <v>58767.545864661653</v>
      </c>
      <c r="X1252" s="110">
        <v>0.51621494643442212</v>
      </c>
      <c r="Y1252" s="106">
        <v>456.21739130434781</v>
      </c>
      <c r="Z1252" s="106">
        <v>15.333333333333334</v>
      </c>
      <c r="AA1252" s="106">
        <v>69112.603751871284</v>
      </c>
      <c r="AB1252" s="106">
        <v>562.05173482254986</v>
      </c>
      <c r="AC1252" s="106">
        <v>1.4469140876101403</v>
      </c>
      <c r="AD1252" s="106">
        <v>25.122669283611383</v>
      </c>
      <c r="AE1252" s="106">
        <v>122.96484375</v>
      </c>
      <c r="AF1252" s="106">
        <v>0.15778558565151621</v>
      </c>
      <c r="AG1252" s="106">
        <v>4402</v>
      </c>
      <c r="AH1252" s="106">
        <v>20219.970699432892</v>
      </c>
      <c r="AI1252" s="106">
        <v>21267.203213610584</v>
      </c>
      <c r="AJ1252" s="106">
        <v>22812.713610586012</v>
      </c>
      <c r="AK1252" s="104">
        <v>19164.278827977316</v>
      </c>
      <c r="AL1252" s="119">
        <v>10491010</v>
      </c>
      <c r="AM1252" s="118">
        <v>1163</v>
      </c>
      <c r="AN1252" s="118">
        <v>31479</v>
      </c>
      <c r="AO1252" s="118">
        <v>214</v>
      </c>
      <c r="AP1252" s="118">
        <f t="shared" si="19"/>
        <v>1459</v>
      </c>
    </row>
    <row r="1253" spans="1:42" ht="12.75">
      <c r="A1253" s="106">
        <v>2018</v>
      </c>
      <c r="B1253" s="106">
        <v>2066</v>
      </c>
      <c r="C1253" s="106">
        <v>1</v>
      </c>
      <c r="D1253" s="106">
        <v>180416</v>
      </c>
      <c r="E1253" s="106" t="s">
        <v>3861</v>
      </c>
      <c r="F1253" s="106" t="s">
        <v>1473</v>
      </c>
      <c r="G1253" s="106" t="s">
        <v>608</v>
      </c>
      <c r="H1253" s="106">
        <v>3</v>
      </c>
      <c r="I1253" s="104" t="s">
        <v>26</v>
      </c>
      <c r="J1253" s="106">
        <v>7139</v>
      </c>
      <c r="K1253" s="106">
        <v>13514</v>
      </c>
      <c r="L1253" s="106">
        <v>10213</v>
      </c>
      <c r="M1253" s="106">
        <v>0.34</v>
      </c>
      <c r="N1253" s="106">
        <v>0.46</v>
      </c>
      <c r="O1253" s="106">
        <v>0.56999999999999995</v>
      </c>
      <c r="P1253" s="106">
        <v>4137</v>
      </c>
      <c r="Q1253" s="106">
        <v>2057.5852813852812</v>
      </c>
      <c r="R1253" s="106">
        <v>0.22849897349005929</v>
      </c>
      <c r="S1253" s="106">
        <v>24918.442424242425</v>
      </c>
      <c r="T1253" s="106">
        <v>26859.277056277057</v>
      </c>
      <c r="U1253" s="106">
        <v>12135.026024553186</v>
      </c>
      <c r="V1253" s="106">
        <v>0.57249195410444609</v>
      </c>
      <c r="W1253" s="106">
        <v>80506.385786802028</v>
      </c>
      <c r="X1253" s="110">
        <v>0.59644038602348326</v>
      </c>
      <c r="Y1253" s="106">
        <v>333.56280587275694</v>
      </c>
      <c r="Z1253" s="106">
        <v>11.30505709624796</v>
      </c>
      <c r="AA1253" s="106">
        <v>42026.851749202186</v>
      </c>
      <c r="AB1253" s="106">
        <v>411.27835495052466</v>
      </c>
      <c r="AC1253" s="106">
        <v>2.3794311455151607</v>
      </c>
      <c r="AD1253" s="106">
        <v>29.591836734693878</v>
      </c>
      <c r="AE1253" s="106">
        <v>102.18590704647676</v>
      </c>
      <c r="AF1253" s="106">
        <v>1.383244539874409E-2</v>
      </c>
      <c r="AG1253" s="106">
        <v>5435</v>
      </c>
      <c r="AH1253" s="106">
        <v>22138.174458874459</v>
      </c>
      <c r="AI1253" s="106">
        <v>23821.474458874458</v>
      </c>
      <c r="AJ1253" s="106">
        <v>25049.390909090907</v>
      </c>
      <c r="AK1253" s="104">
        <v>18864.097835497836</v>
      </c>
      <c r="AL1253" s="119">
        <v>15462568</v>
      </c>
      <c r="AM1253" s="118">
        <v>2428</v>
      </c>
      <c r="AN1253" s="118">
        <v>68158</v>
      </c>
      <c r="AO1253" s="118">
        <v>509</v>
      </c>
      <c r="AP1253" s="118">
        <f t="shared" si="19"/>
        <v>1704</v>
      </c>
    </row>
    <row r="1254" spans="1:42" ht="12.75">
      <c r="A1254" s="106">
        <v>2018</v>
      </c>
      <c r="B1254" s="106">
        <v>-171234</v>
      </c>
      <c r="C1254" s="106">
        <v>0</v>
      </c>
      <c r="D1254" s="106">
        <v>171234</v>
      </c>
      <c r="E1254" s="106" t="s">
        <v>2063</v>
      </c>
      <c r="F1254" s="106" t="s">
        <v>2064</v>
      </c>
      <c r="G1254" s="106" t="s">
        <v>74</v>
      </c>
      <c r="H1254" s="106">
        <v>4</v>
      </c>
      <c r="I1254" s="106" t="s">
        <v>24</v>
      </c>
      <c r="J1254" s="106">
        <v>4530</v>
      </c>
      <c r="K1254" s="106">
        <v>6712</v>
      </c>
      <c r="L1254" s="106">
        <v>5748</v>
      </c>
      <c r="M1254" s="106">
        <v>0.66</v>
      </c>
      <c r="N1254" s="106">
        <v>0.27</v>
      </c>
      <c r="O1254" s="106">
        <v>0.31</v>
      </c>
      <c r="P1254" s="106">
        <v>1162</v>
      </c>
      <c r="Q1254" s="106">
        <v>288.10315789473685</v>
      </c>
      <c r="R1254" s="106">
        <v>4.3652216406846092E-2</v>
      </c>
      <c r="S1254" s="106">
        <v>21821.923157894737</v>
      </c>
      <c r="T1254" s="106">
        <v>18387.428421052631</v>
      </c>
      <c r="U1254" s="106">
        <v>16165.111601281147</v>
      </c>
      <c r="V1254" s="106">
        <v>0.39046208362672225</v>
      </c>
      <c r="W1254" s="106">
        <v>78788.478260869553</v>
      </c>
      <c r="X1254" s="110">
        <v>0.58785959995436243</v>
      </c>
      <c r="Y1254" s="106">
        <v>565.98675496688747</v>
      </c>
      <c r="Z1254" s="106">
        <v>18.874172185430464</v>
      </c>
      <c r="AA1254" s="106">
        <v>39275.846601578232</v>
      </c>
      <c r="AB1254" s="106">
        <v>539.06402770349234</v>
      </c>
      <c r="AC1254" s="106">
        <v>2.5460940667789873</v>
      </c>
      <c r="AD1254" s="106">
        <v>45.412311265969798</v>
      </c>
      <c r="AE1254" s="106">
        <v>72.85933503836317</v>
      </c>
      <c r="AF1254" s="106">
        <v>0.20354070430792792</v>
      </c>
      <c r="AG1254" s="106">
        <v>3240</v>
      </c>
      <c r="AH1254" s="106">
        <v>19108.178947368422</v>
      </c>
      <c r="AI1254" s="106">
        <v>20999.217894736841</v>
      </c>
      <c r="AJ1254" s="106">
        <v>22087.876842105263</v>
      </c>
      <c r="AK1254" s="104">
        <v>17767.453684210526</v>
      </c>
      <c r="AL1254" s="119">
        <v>10136389</v>
      </c>
      <c r="AM1254" s="118">
        <v>1691</v>
      </c>
      <c r="AN1254" s="118">
        <v>28488</v>
      </c>
      <c r="AO1254" s="118">
        <v>194</v>
      </c>
      <c r="AP1254" s="118">
        <f t="shared" si="19"/>
        <v>1290</v>
      </c>
    </row>
    <row r="1255" spans="1:42" ht="12.75">
      <c r="A1255" s="106">
        <v>2018</v>
      </c>
      <c r="B1255" s="106">
        <v>-185590</v>
      </c>
      <c r="C1255" s="106">
        <v>0</v>
      </c>
      <c r="D1255" s="106">
        <v>185590</v>
      </c>
      <c r="E1255" s="106" t="s">
        <v>2065</v>
      </c>
      <c r="F1255" s="106" t="s">
        <v>2066</v>
      </c>
      <c r="G1255" s="106" t="s">
        <v>234</v>
      </c>
      <c r="H1255" s="106">
        <v>1</v>
      </c>
      <c r="I1255" s="106" t="s">
        <v>23</v>
      </c>
      <c r="J1255" s="106">
        <v>12455</v>
      </c>
      <c r="K1255" s="106">
        <v>17086</v>
      </c>
      <c r="L1255" s="106">
        <v>14661</v>
      </c>
      <c r="M1255" s="106">
        <v>0.47</v>
      </c>
      <c r="N1255" s="106">
        <v>0.61</v>
      </c>
      <c r="O1255" s="106">
        <v>0.3</v>
      </c>
      <c r="P1255" s="106">
        <v>3430</v>
      </c>
      <c r="Q1255" s="106">
        <v>882.56208872850777</v>
      </c>
      <c r="R1255" s="106">
        <v>7.2767128562115244E-2</v>
      </c>
      <c r="S1255" s="106">
        <v>24175.228189344089</v>
      </c>
      <c r="T1255" s="106">
        <v>25598.652090851199</v>
      </c>
      <c r="U1255" s="106">
        <v>15852.057214886707</v>
      </c>
      <c r="V1255" s="106">
        <v>0.70943599312394734</v>
      </c>
      <c r="W1255" s="106">
        <v>112144.59496820568</v>
      </c>
      <c r="X1255" s="110">
        <v>0.56059007299209551</v>
      </c>
      <c r="Y1255" s="106">
        <v>524.68244323632882</v>
      </c>
      <c r="Z1255" s="106">
        <v>18.078669651423091</v>
      </c>
      <c r="AA1255" s="106">
        <v>54870.713842271325</v>
      </c>
      <c r="AB1255" s="106">
        <v>546.20486996991201</v>
      </c>
      <c r="AC1255" s="106">
        <v>1.8224658109507219</v>
      </c>
      <c r="AD1255" s="106">
        <v>29.974672392908268</v>
      </c>
      <c r="AE1255" s="106">
        <v>100.45811903012491</v>
      </c>
      <c r="AF1255" s="106">
        <v>-7.2385624297118104E-2</v>
      </c>
      <c r="AG1255" s="106">
        <v>10808</v>
      </c>
      <c r="AH1255" s="106">
        <v>24912.598174485247</v>
      </c>
      <c r="AI1255" s="106">
        <v>25001.061345786457</v>
      </c>
      <c r="AJ1255" s="106">
        <v>24320.367225642116</v>
      </c>
      <c r="AK1255" s="104">
        <v>19289.90660157079</v>
      </c>
      <c r="AL1255" s="118">
        <v>75733000</v>
      </c>
      <c r="AM1255" s="118">
        <v>16852</v>
      </c>
      <c r="AN1255" s="118">
        <v>546894</v>
      </c>
      <c r="AO1255" s="118">
        <v>3685</v>
      </c>
      <c r="AP1255" s="118">
        <f t="shared" si="19"/>
        <v>1647</v>
      </c>
    </row>
    <row r="1256" spans="1:42" ht="12.75">
      <c r="A1256" s="106">
        <v>2018</v>
      </c>
      <c r="B1256" s="106">
        <v>-119067</v>
      </c>
      <c r="C1256" s="106">
        <v>0</v>
      </c>
      <c r="D1256" s="106">
        <v>119067</v>
      </c>
      <c r="E1256" s="106" t="s">
        <v>2067</v>
      </c>
      <c r="F1256" s="106" t="s">
        <v>1982</v>
      </c>
      <c r="G1256" s="106" t="s">
        <v>121</v>
      </c>
      <c r="H1256" s="106">
        <v>4</v>
      </c>
      <c r="I1256" s="106" t="s">
        <v>24</v>
      </c>
      <c r="J1256" s="106">
        <v>1176</v>
      </c>
      <c r="K1256" s="106">
        <v>9266</v>
      </c>
      <c r="L1256" s="106">
        <v>6376</v>
      </c>
      <c r="M1256" s="106">
        <v>0.42</v>
      </c>
      <c r="N1256" s="106">
        <v>0.03</v>
      </c>
      <c r="O1256" s="106">
        <v>0.01</v>
      </c>
      <c r="P1256" s="106">
        <v>883</v>
      </c>
      <c r="Q1256" s="106"/>
      <c r="R1256" s="106"/>
      <c r="S1256" s="106">
        <v>15047.525476295968</v>
      </c>
      <c r="T1256" s="106">
        <v>14567.477182100132</v>
      </c>
      <c r="U1256" s="106">
        <v>12996.060921577315</v>
      </c>
      <c r="V1256" s="106">
        <v>0.14532643825020494</v>
      </c>
      <c r="W1256" s="106">
        <v>105784.81116279071</v>
      </c>
      <c r="X1256" s="110">
        <v>0.57645395530906907</v>
      </c>
      <c r="Y1256" s="106">
        <v>687.4416243654822</v>
      </c>
      <c r="Z1256" s="106">
        <v>22.913705583756347</v>
      </c>
      <c r="AA1256" s="106">
        <v>54826.372897196263</v>
      </c>
      <c r="AB1256" s="106">
        <v>433.1828378597906</v>
      </c>
      <c r="AC1256" s="106">
        <v>1.8239397340310624</v>
      </c>
      <c r="AD1256" s="106">
        <v>25.598086124401913</v>
      </c>
      <c r="AE1256" s="106">
        <v>126.56635514018691</v>
      </c>
      <c r="AF1256" s="106">
        <v>0.14364649393717926</v>
      </c>
      <c r="AG1256" s="106">
        <v>1104</v>
      </c>
      <c r="AH1256" s="106">
        <v>14482.803500221533</v>
      </c>
      <c r="AI1256" s="106">
        <v>14482.803500221533</v>
      </c>
      <c r="AJ1256" s="106">
        <v>15126.455250332299</v>
      </c>
      <c r="AK1256" s="104">
        <v>13614.515507310589</v>
      </c>
      <c r="AL1256" s="118">
        <v>26348289</v>
      </c>
      <c r="AM1256" s="118">
        <v>7816</v>
      </c>
      <c r="AN1256" s="118">
        <v>135426</v>
      </c>
      <c r="AO1256" s="118">
        <v>714</v>
      </c>
      <c r="AP1256" s="118">
        <f t="shared" si="19"/>
        <v>72</v>
      </c>
    </row>
    <row r="1257" spans="1:42" ht="12.75">
      <c r="A1257" s="106">
        <v>2018</v>
      </c>
      <c r="B1257" s="106">
        <v>-163426</v>
      </c>
      <c r="C1257" s="106">
        <v>0</v>
      </c>
      <c r="D1257" s="106">
        <v>163426</v>
      </c>
      <c r="E1257" s="106" t="s">
        <v>3914</v>
      </c>
      <c r="F1257" s="106" t="s">
        <v>2068</v>
      </c>
      <c r="G1257" s="106" t="s">
        <v>124</v>
      </c>
      <c r="H1257" s="106">
        <v>4</v>
      </c>
      <c r="I1257" s="106" t="s">
        <v>24</v>
      </c>
      <c r="J1257" s="106">
        <v>4974</v>
      </c>
      <c r="K1257" s="106">
        <v>8748</v>
      </c>
      <c r="L1257" s="106">
        <v>7453</v>
      </c>
      <c r="M1257" s="106">
        <v>0.46</v>
      </c>
      <c r="N1257" s="106">
        <v>0.11</v>
      </c>
      <c r="O1257" s="106">
        <v>0.42</v>
      </c>
      <c r="P1257" s="106">
        <v>1417</v>
      </c>
      <c r="Q1257" s="106">
        <v>475.05342316591805</v>
      </c>
      <c r="R1257" s="106">
        <v>7.6813733791854133E-2</v>
      </c>
      <c r="S1257" s="106">
        <v>21514.187287328161</v>
      </c>
      <c r="T1257" s="106">
        <v>23701.364094188102</v>
      </c>
      <c r="U1257" s="106">
        <v>17570.645723986479</v>
      </c>
      <c r="V1257" s="106">
        <v>0.32494150589624282</v>
      </c>
      <c r="W1257" s="106">
        <v>108843.39680232557</v>
      </c>
      <c r="X1257" s="110">
        <v>0.71673051158866108</v>
      </c>
      <c r="Y1257" s="106">
        <v>495.84364454443192</v>
      </c>
      <c r="Z1257" s="106">
        <v>16.528683914510687</v>
      </c>
      <c r="AA1257" s="106">
        <v>89646.898704256018</v>
      </c>
      <c r="AB1257" s="106">
        <v>585.70812097924784</v>
      </c>
      <c r="AC1257" s="106">
        <v>1.1154875566850198</v>
      </c>
      <c r="AD1257" s="106">
        <v>22.096056467699864</v>
      </c>
      <c r="AE1257" s="106">
        <v>153.05729166666666</v>
      </c>
      <c r="AF1257" s="106">
        <v>3.1114661825799611E-2</v>
      </c>
      <c r="AG1257" s="106">
        <v>3720</v>
      </c>
      <c r="AH1257" s="106">
        <v>21285.108139376618</v>
      </c>
      <c r="AI1257" s="106">
        <v>21287.336599972779</v>
      </c>
      <c r="AJ1257" s="106">
        <v>21573.078603511636</v>
      </c>
      <c r="AK1257" s="104">
        <v>18018.952021233155</v>
      </c>
      <c r="AL1257" s="118">
        <v>199936806</v>
      </c>
      <c r="AM1257" s="118">
        <v>22875</v>
      </c>
      <c r="AN1257" s="118">
        <v>440805</v>
      </c>
      <c r="AO1257" s="118">
        <v>2577</v>
      </c>
      <c r="AP1257" s="118">
        <f t="shared" si="19"/>
        <v>1254</v>
      </c>
    </row>
    <row r="1258" spans="1:42" ht="12.75">
      <c r="A1258" s="106">
        <v>2018</v>
      </c>
      <c r="B1258" s="106">
        <v>-199023</v>
      </c>
      <c r="C1258" s="106">
        <v>0</v>
      </c>
      <c r="D1258" s="106">
        <v>199023</v>
      </c>
      <c r="E1258" s="106" t="s">
        <v>3915</v>
      </c>
      <c r="F1258" s="106" t="s">
        <v>1528</v>
      </c>
      <c r="G1258" s="106" t="s">
        <v>90</v>
      </c>
      <c r="H1258" s="106">
        <v>4</v>
      </c>
      <c r="I1258" s="106" t="s">
        <v>24</v>
      </c>
      <c r="J1258" s="106">
        <v>2537</v>
      </c>
      <c r="K1258" s="106">
        <v>6939</v>
      </c>
      <c r="L1258" s="106">
        <v>6042</v>
      </c>
      <c r="M1258" s="106">
        <v>0.47</v>
      </c>
      <c r="N1258" s="106">
        <v>0.04</v>
      </c>
      <c r="O1258" s="106">
        <v>0.22</v>
      </c>
      <c r="P1258" s="106">
        <v>2327</v>
      </c>
      <c r="Q1258" s="106">
        <v>252.07615894039736</v>
      </c>
      <c r="R1258" s="106">
        <v>0.10954928041144837</v>
      </c>
      <c r="S1258" s="106">
        <v>14845.827814569537</v>
      </c>
      <c r="T1258" s="106">
        <v>16792.046357615895</v>
      </c>
      <c r="U1258" s="106">
        <v>13720.940397350992</v>
      </c>
      <c r="V1258" s="106">
        <v>0.14933040907164666</v>
      </c>
      <c r="W1258" s="106">
        <v>45966.654676258993</v>
      </c>
      <c r="X1258" s="110">
        <v>0.62996603563891607</v>
      </c>
      <c r="Y1258" s="106">
        <v>215.83333333333334</v>
      </c>
      <c r="Z1258" s="106">
        <v>7.1904761904761907</v>
      </c>
      <c r="AA1258" s="106">
        <v>21694.890052356022</v>
      </c>
      <c r="AB1258" s="106">
        <v>457.11241036955323</v>
      </c>
      <c r="AC1258" s="106">
        <v>4.6093803544830694</v>
      </c>
      <c r="AD1258" s="106">
        <v>73.603082851637765</v>
      </c>
      <c r="AE1258" s="106">
        <v>47.460732984293195</v>
      </c>
      <c r="AF1258" s="106">
        <v>-2.0665844977000084E-2</v>
      </c>
      <c r="AG1258" s="106">
        <v>2432</v>
      </c>
      <c r="AH1258" s="106">
        <v>13619.768211920529</v>
      </c>
      <c r="AI1258" s="106">
        <v>13619.768211920529</v>
      </c>
      <c r="AJ1258" s="106">
        <v>14850.031456953642</v>
      </c>
      <c r="AK1258" s="104">
        <v>15229.76655629139</v>
      </c>
      <c r="AL1258" s="118">
        <v>6373433</v>
      </c>
      <c r="AM1258" s="118">
        <v>925</v>
      </c>
      <c r="AN1258" s="118">
        <v>18130</v>
      </c>
      <c r="AO1258" s="118">
        <v>90</v>
      </c>
      <c r="AP1258" s="118">
        <f t="shared" si="19"/>
        <v>105</v>
      </c>
    </row>
    <row r="1259" spans="1:42" ht="12.75">
      <c r="A1259" s="106">
        <v>2018</v>
      </c>
      <c r="B1259" s="106">
        <v>1974</v>
      </c>
      <c r="C1259" s="106">
        <v>1</v>
      </c>
      <c r="D1259" s="106">
        <v>214111</v>
      </c>
      <c r="E1259" s="106" t="s">
        <v>3913</v>
      </c>
      <c r="F1259" s="106" t="s">
        <v>2069</v>
      </c>
      <c r="G1259" s="106" t="s">
        <v>104</v>
      </c>
      <c r="H1259" s="106">
        <v>4</v>
      </c>
      <c r="I1259" s="106" t="s">
        <v>24</v>
      </c>
      <c r="J1259" s="106">
        <v>5730</v>
      </c>
      <c r="K1259" s="106">
        <v>8525</v>
      </c>
      <c r="L1259" s="106">
        <v>7198</v>
      </c>
      <c r="M1259" s="106">
        <v>0.41</v>
      </c>
      <c r="N1259" s="106">
        <v>0.35</v>
      </c>
      <c r="O1259" s="106">
        <v>0.08</v>
      </c>
      <c r="P1259" s="106">
        <v>1578</v>
      </c>
      <c r="Q1259" s="106">
        <v>135.91261696347721</v>
      </c>
      <c r="R1259" s="106">
        <v>2.0371579886476966E-2</v>
      </c>
      <c r="S1259" s="106">
        <v>14682.03093872623</v>
      </c>
      <c r="T1259" s="106">
        <v>15575.03697555086</v>
      </c>
      <c r="U1259" s="106">
        <v>11080.858026780481</v>
      </c>
      <c r="V1259" s="106">
        <v>0.58982482689752824</v>
      </c>
      <c r="W1259" s="106">
        <v>81402.118077803214</v>
      </c>
      <c r="X1259" s="110">
        <v>0.57449383695447476</v>
      </c>
      <c r="Y1259" s="106">
        <v>524.02987697715287</v>
      </c>
      <c r="Z1259" s="106">
        <v>17.467486818980667</v>
      </c>
      <c r="AA1259" s="106">
        <v>48785.22610328735</v>
      </c>
      <c r="AB1259" s="106">
        <v>369.35821797470328</v>
      </c>
      <c r="AC1259" s="106">
        <v>2.049800892349694</v>
      </c>
      <c r="AD1259" s="106">
        <v>25.832475111568833</v>
      </c>
      <c r="AE1259" s="106">
        <v>132.08106312292358</v>
      </c>
      <c r="AF1259" s="106">
        <v>9.9791559801186577E-2</v>
      </c>
      <c r="AG1259" s="106">
        <v>4320</v>
      </c>
      <c r="AH1259" s="106">
        <v>13980.01705402958</v>
      </c>
      <c r="AI1259" s="106">
        <v>13980.760036220949</v>
      </c>
      <c r="AJ1259" s="106">
        <v>15047.803048596439</v>
      </c>
      <c r="AK1259" s="104">
        <v>12143.064594023544</v>
      </c>
      <c r="AL1259" s="118">
        <v>35418412</v>
      </c>
      <c r="AM1259" s="118">
        <v>10392</v>
      </c>
      <c r="AN1259" s="118">
        <v>198782</v>
      </c>
      <c r="AO1259" s="118">
        <v>1314</v>
      </c>
      <c r="AP1259" s="118">
        <f t="shared" si="19"/>
        <v>1410</v>
      </c>
    </row>
    <row r="1260" spans="1:42" ht="12.75">
      <c r="A1260" s="106">
        <v>2018</v>
      </c>
      <c r="B1260" s="106">
        <v>-199032</v>
      </c>
      <c r="C1260" s="106">
        <v>0</v>
      </c>
      <c r="D1260" s="106">
        <v>199032</v>
      </c>
      <c r="E1260" s="106" t="s">
        <v>2070</v>
      </c>
      <c r="F1260" s="106" t="s">
        <v>2071</v>
      </c>
      <c r="G1260" s="106" t="s">
        <v>90</v>
      </c>
      <c r="H1260" s="106">
        <v>6</v>
      </c>
      <c r="I1260" s="106" t="s">
        <v>3640</v>
      </c>
      <c r="J1260" s="106">
        <v>25730</v>
      </c>
      <c r="K1260" s="106">
        <v>21454</v>
      </c>
      <c r="L1260" s="106">
        <v>17832</v>
      </c>
      <c r="M1260" s="106">
        <v>0.45</v>
      </c>
      <c r="N1260" s="106">
        <v>0.84</v>
      </c>
      <c r="O1260" s="106">
        <v>1</v>
      </c>
      <c r="P1260" s="106">
        <v>12498</v>
      </c>
      <c r="Q1260" s="106">
        <v>8108.8180661577608</v>
      </c>
      <c r="R1260" s="106">
        <v>0.40847246014328609</v>
      </c>
      <c r="S1260" s="106">
        <v>23964.450381679388</v>
      </c>
      <c r="T1260" s="106">
        <v>23613.973282442748</v>
      </c>
      <c r="U1260" s="106">
        <v>18960.031993297755</v>
      </c>
      <c r="V1260" s="106">
        <v>0.61934220869216028</v>
      </c>
      <c r="W1260" s="106">
        <v>59764.696465696463</v>
      </c>
      <c r="X1260" s="110">
        <v>0.51627004388816877</v>
      </c>
      <c r="Y1260" s="106">
        <v>310.12162162162161</v>
      </c>
      <c r="Z1260" s="106">
        <v>10.621621621621621</v>
      </c>
      <c r="AA1260" s="106">
        <v>77215.467081513125</v>
      </c>
      <c r="AB1260" s="106">
        <v>649.3784106815998</v>
      </c>
      <c r="AC1260" s="106">
        <v>1.2950773177922266</v>
      </c>
      <c r="AD1260" s="106">
        <v>27.849927849927852</v>
      </c>
      <c r="AE1260" s="106">
        <v>118.90673575129534</v>
      </c>
      <c r="AF1260" s="106">
        <v>2.6664469389271937E-2</v>
      </c>
      <c r="AG1260" s="106">
        <v>25480</v>
      </c>
      <c r="AH1260" s="106">
        <v>20269.213740458013</v>
      </c>
      <c r="AI1260" s="106">
        <v>24063.687022900762</v>
      </c>
      <c r="AJ1260" s="106">
        <v>24254.804071246821</v>
      </c>
      <c r="AK1260" s="104">
        <v>19050.283715012723</v>
      </c>
      <c r="AL1260" s="118"/>
      <c r="AM1260" s="118">
        <v>757</v>
      </c>
      <c r="AN1260" s="118">
        <v>22949</v>
      </c>
      <c r="AO1260" s="118">
        <v>127</v>
      </c>
      <c r="AP1260" s="118">
        <f t="shared" si="19"/>
        <v>250</v>
      </c>
    </row>
    <row r="1261" spans="1:42" ht="12.75">
      <c r="A1261" s="106">
        <v>2018</v>
      </c>
      <c r="B1261" s="106">
        <v>-119137</v>
      </c>
      <c r="C1261" s="106">
        <v>0</v>
      </c>
      <c r="D1261" s="106">
        <v>119137</v>
      </c>
      <c r="E1261" s="106" t="s">
        <v>4150</v>
      </c>
      <c r="F1261" s="106" t="s">
        <v>4151</v>
      </c>
      <c r="G1261" s="106" t="s">
        <v>121</v>
      </c>
      <c r="H1261" s="106">
        <v>4</v>
      </c>
      <c r="I1261" s="106" t="s">
        <v>24</v>
      </c>
      <c r="J1261" s="106">
        <v>1388</v>
      </c>
      <c r="K1261" s="106">
        <v>3483</v>
      </c>
      <c r="L1261" s="106">
        <v>351</v>
      </c>
      <c r="M1261" s="106">
        <v>0.28000000000000003</v>
      </c>
      <c r="N1261" s="106">
        <v>0.01</v>
      </c>
      <c r="O1261" s="106">
        <v>0</v>
      </c>
      <c r="P1261" s="106"/>
      <c r="Q1261" s="106">
        <v>22.590604718244567</v>
      </c>
      <c r="R1261" s="106">
        <v>1.7052242833356508E-2</v>
      </c>
      <c r="S1261" s="106">
        <v>9650.9728031317609</v>
      </c>
      <c r="T1261" s="106">
        <v>8273.1643144122791</v>
      </c>
      <c r="U1261" s="106">
        <v>6043.2336728371401</v>
      </c>
      <c r="V1261" s="106">
        <v>0.21548021321204819</v>
      </c>
      <c r="W1261" s="106">
        <v>116676.16216216216</v>
      </c>
      <c r="X1261" s="110">
        <v>0.66299102478537342</v>
      </c>
      <c r="Y1261" s="106">
        <v>990.48299319727892</v>
      </c>
      <c r="Z1261" s="106">
        <v>33.017006802721092</v>
      </c>
      <c r="AA1261" s="106">
        <v>11964.444067352666</v>
      </c>
      <c r="AB1261" s="106">
        <v>201.44665648666603</v>
      </c>
      <c r="AC1261" s="106">
        <v>8.3580983317787094</v>
      </c>
      <c r="AD1261" s="106">
        <v>56.486175115207374</v>
      </c>
      <c r="AE1261" s="106">
        <v>59.392616765245769</v>
      </c>
      <c r="AF1261" s="106"/>
      <c r="AG1261" s="106">
        <v>1338</v>
      </c>
      <c r="AH1261" s="106">
        <v>8790.1669928917272</v>
      </c>
      <c r="AI1261" s="106">
        <v>8791.0658287833521</v>
      </c>
      <c r="AJ1261" s="106">
        <v>9650.9728031317609</v>
      </c>
      <c r="AK1261" s="104">
        <v>7119.9399402493045</v>
      </c>
      <c r="AL1261" s="118">
        <v>58175228</v>
      </c>
      <c r="AM1261" s="118">
        <v>14343</v>
      </c>
      <c r="AN1261" s="118">
        <v>291202</v>
      </c>
      <c r="AO1261" s="118">
        <v>3083</v>
      </c>
      <c r="AP1261" s="118">
        <f t="shared" si="19"/>
        <v>50</v>
      </c>
    </row>
    <row r="1262" spans="1:42" ht="12.75">
      <c r="A1262" s="106">
        <v>2018</v>
      </c>
      <c r="B1262" s="106">
        <v>-239372</v>
      </c>
      <c r="C1262" s="106">
        <v>0</v>
      </c>
      <c r="D1262" s="106">
        <v>239372</v>
      </c>
      <c r="E1262" s="106" t="s">
        <v>2072</v>
      </c>
      <c r="F1262" s="106" t="s">
        <v>2073</v>
      </c>
      <c r="G1262" s="106" t="s">
        <v>139</v>
      </c>
      <c r="H1262" s="106">
        <v>4</v>
      </c>
      <c r="I1262" s="106" t="s">
        <v>24</v>
      </c>
      <c r="J1262" s="106">
        <v>4461</v>
      </c>
      <c r="K1262" s="106">
        <v>9396</v>
      </c>
      <c r="L1262" s="106">
        <v>8395</v>
      </c>
      <c r="M1262" s="106">
        <v>0.31</v>
      </c>
      <c r="N1262" s="106">
        <v>0.3</v>
      </c>
      <c r="O1262" s="106">
        <v>0.15</v>
      </c>
      <c r="P1262" s="106">
        <v>958</v>
      </c>
      <c r="Q1262" s="107">
        <v>178.06118472330476</v>
      </c>
      <c r="R1262" s="106">
        <v>5.326732407781444E-2</v>
      </c>
      <c r="S1262" s="106">
        <v>23087.829306313328</v>
      </c>
      <c r="T1262" s="106">
        <v>23028.750974279035</v>
      </c>
      <c r="U1262" s="106">
        <v>21347.565861262665</v>
      </c>
      <c r="V1262" s="106">
        <v>0.14824750162720868</v>
      </c>
      <c r="W1262" s="106">
        <v>83117.746909090914</v>
      </c>
      <c r="X1262" s="110">
        <v>0.64468589748742533</v>
      </c>
      <c r="Y1262" s="106">
        <v>415.35971223021579</v>
      </c>
      <c r="Z1262" s="106">
        <v>13.845323741007194</v>
      </c>
      <c r="AA1262" s="106">
        <v>43474.487301587302</v>
      </c>
      <c r="AB1262" s="106">
        <v>711.58552870875553</v>
      </c>
      <c r="AC1262" s="106">
        <v>2.300199639073119</v>
      </c>
      <c r="AD1262" s="106">
        <v>57.586837294332724</v>
      </c>
      <c r="AE1262" s="106">
        <v>61.095238095238095</v>
      </c>
      <c r="AF1262" s="106">
        <v>1.0016567257474107E-2</v>
      </c>
      <c r="AG1262" s="106">
        <v>4086</v>
      </c>
      <c r="AH1262" s="106">
        <v>22158.381917381139</v>
      </c>
      <c r="AI1262" s="106">
        <v>22296.106001558848</v>
      </c>
      <c r="AJ1262" s="106">
        <v>23203.017926734217</v>
      </c>
      <c r="AK1262" s="104">
        <v>22483.796570537801</v>
      </c>
      <c r="AL1262" s="119">
        <v>41252339</v>
      </c>
      <c r="AM1262" s="118">
        <v>4907</v>
      </c>
      <c r="AN1262" s="118">
        <v>76980</v>
      </c>
      <c r="AO1262" s="118">
        <v>468</v>
      </c>
      <c r="AP1262" s="118">
        <f t="shared" si="19"/>
        <v>375</v>
      </c>
    </row>
    <row r="1263" spans="1:42" ht="12.75">
      <c r="A1263" s="106">
        <v>2018</v>
      </c>
      <c r="B1263" s="106">
        <v>-147378</v>
      </c>
      <c r="C1263" s="106">
        <v>0</v>
      </c>
      <c r="D1263" s="106">
        <v>147378</v>
      </c>
      <c r="E1263" s="106" t="s">
        <v>2074</v>
      </c>
      <c r="F1263" s="106" t="s">
        <v>2075</v>
      </c>
      <c r="G1263" s="106" t="s">
        <v>243</v>
      </c>
      <c r="H1263" s="106">
        <v>4</v>
      </c>
      <c r="I1263" s="106" t="s">
        <v>24</v>
      </c>
      <c r="J1263" s="106">
        <v>4266</v>
      </c>
      <c r="K1263" s="106">
        <v>4668</v>
      </c>
      <c r="L1263" s="106">
        <v>3549</v>
      </c>
      <c r="M1263" s="106">
        <v>0.42</v>
      </c>
      <c r="N1263" s="106">
        <v>0.11</v>
      </c>
      <c r="O1263" s="106">
        <v>0.03</v>
      </c>
      <c r="P1263" s="106">
        <v>1902</v>
      </c>
      <c r="Q1263" s="106">
        <v>695.39185378590082</v>
      </c>
      <c r="R1263" s="106">
        <v>0.13275724047259541</v>
      </c>
      <c r="S1263" s="106">
        <v>16999.199791122715</v>
      </c>
      <c r="T1263" s="106">
        <v>16199.618798955613</v>
      </c>
      <c r="U1263" s="106">
        <v>10635.70163542131</v>
      </c>
      <c r="V1263" s="106">
        <v>0.42711607754789305</v>
      </c>
      <c r="W1263" s="106">
        <v>123780.23732251521</v>
      </c>
      <c r="X1263" s="110">
        <v>0.65569731035156353</v>
      </c>
      <c r="Y1263" s="106">
        <v>708.10599835661469</v>
      </c>
      <c r="Z1263" s="106">
        <v>23.603122432210355</v>
      </c>
      <c r="AA1263" s="106">
        <v>28162.843794015225</v>
      </c>
      <c r="AB1263" s="106">
        <v>354.5172169645752</v>
      </c>
      <c r="AC1263" s="106">
        <v>3.5507777812285641</v>
      </c>
      <c r="AD1263" s="106">
        <v>40.831074977416442</v>
      </c>
      <c r="AE1263" s="106">
        <v>79.439988938053091</v>
      </c>
      <c r="AF1263" s="106">
        <v>5.5674657154881887E-2</v>
      </c>
      <c r="AG1263" s="106">
        <v>3660</v>
      </c>
      <c r="AH1263" s="106">
        <v>16668.924908616187</v>
      </c>
      <c r="AI1263" s="106">
        <v>16668.924908616187</v>
      </c>
      <c r="AJ1263" s="106">
        <v>17227.746214099217</v>
      </c>
      <c r="AK1263" s="104">
        <v>11710.674882506528</v>
      </c>
      <c r="AL1263" s="118">
        <v>59700990</v>
      </c>
      <c r="AM1263" s="118">
        <v>14620</v>
      </c>
      <c r="AN1263" s="118">
        <v>287255</v>
      </c>
      <c r="AO1263" s="118">
        <v>2279</v>
      </c>
      <c r="AP1263" s="118">
        <f t="shared" si="19"/>
        <v>606</v>
      </c>
    </row>
    <row r="1264" spans="1:42" ht="12.75">
      <c r="A1264" s="106">
        <v>2018</v>
      </c>
      <c r="B1264" s="106">
        <v>-214157</v>
      </c>
      <c r="C1264" s="106">
        <v>0</v>
      </c>
      <c r="D1264" s="106">
        <v>214157</v>
      </c>
      <c r="E1264" s="106" t="s">
        <v>2076</v>
      </c>
      <c r="F1264" s="106" t="s">
        <v>1788</v>
      </c>
      <c r="G1264" s="106" t="s">
        <v>104</v>
      </c>
      <c r="H1264" s="106">
        <v>7</v>
      </c>
      <c r="I1264" s="106" t="s">
        <v>3641</v>
      </c>
      <c r="J1264" s="106">
        <v>42024</v>
      </c>
      <c r="K1264" s="106">
        <v>30090</v>
      </c>
      <c r="L1264" s="106">
        <v>24069</v>
      </c>
      <c r="M1264" s="106">
        <v>0.33</v>
      </c>
      <c r="N1264" s="106">
        <v>0.94</v>
      </c>
      <c r="O1264" s="106">
        <v>1</v>
      </c>
      <c r="P1264" s="106">
        <v>22858</v>
      </c>
      <c r="Q1264" s="106">
        <v>15302.000413736036</v>
      </c>
      <c r="R1264" s="106">
        <v>0.44909710619700216</v>
      </c>
      <c r="S1264" s="106">
        <v>27997.371534960694</v>
      </c>
      <c r="T1264" s="106">
        <v>29903.936698386431</v>
      </c>
      <c r="U1264" s="106">
        <v>25186.702580977311</v>
      </c>
      <c r="V1264" s="106">
        <v>0.74526665890755495</v>
      </c>
      <c r="W1264" s="106">
        <v>75265.716690042085</v>
      </c>
      <c r="X1264" s="110">
        <v>0.49498319781803035</v>
      </c>
      <c r="Y1264" s="106">
        <v>370.85139860139861</v>
      </c>
      <c r="Z1264" s="106">
        <v>12.676573426573427</v>
      </c>
      <c r="AA1264" s="106">
        <v>108513.83268845304</v>
      </c>
      <c r="AB1264" s="106">
        <v>860.94075914271389</v>
      </c>
      <c r="AC1264" s="106">
        <v>0.92154149865025459</v>
      </c>
      <c r="AD1264" s="106">
        <v>26.214953271028037</v>
      </c>
      <c r="AE1264" s="106">
        <v>126.04099821746881</v>
      </c>
      <c r="AF1264" s="106">
        <v>2.0842877221334884E-2</v>
      </c>
      <c r="AG1264" s="106">
        <v>40293</v>
      </c>
      <c r="AH1264" s="106">
        <v>25769.787339677285</v>
      </c>
      <c r="AI1264" s="106">
        <v>28039.331402565163</v>
      </c>
      <c r="AJ1264" s="106">
        <v>31594.680595779893</v>
      </c>
      <c r="AK1264" s="104">
        <v>25254.845676458419</v>
      </c>
      <c r="AL1264" s="118"/>
      <c r="AM1264" s="118">
        <v>2083</v>
      </c>
      <c r="AN1264" s="118">
        <v>70709</v>
      </c>
      <c r="AO1264" s="118">
        <v>450</v>
      </c>
      <c r="AP1264" s="118">
        <f t="shared" si="19"/>
        <v>1731</v>
      </c>
    </row>
    <row r="1265" spans="1:42" ht="12.75">
      <c r="A1265" s="106">
        <v>2018</v>
      </c>
      <c r="B1265" s="106">
        <v>-157386</v>
      </c>
      <c r="C1265" s="106">
        <v>0</v>
      </c>
      <c r="D1265" s="106">
        <v>157386</v>
      </c>
      <c r="E1265" s="106" t="s">
        <v>2077</v>
      </c>
      <c r="F1265" s="106" t="s">
        <v>2078</v>
      </c>
      <c r="G1265" s="106" t="s">
        <v>118</v>
      </c>
      <c r="H1265" s="106">
        <v>2</v>
      </c>
      <c r="I1265" s="106" t="s">
        <v>25</v>
      </c>
      <c r="J1265" s="106">
        <v>8950</v>
      </c>
      <c r="K1265" s="106">
        <v>12528</v>
      </c>
      <c r="L1265" s="106">
        <v>10600</v>
      </c>
      <c r="M1265" s="106">
        <v>0.53</v>
      </c>
      <c r="N1265" s="106">
        <v>0.68</v>
      </c>
      <c r="O1265" s="106">
        <v>0.71</v>
      </c>
      <c r="P1265" s="106">
        <v>5725</v>
      </c>
      <c r="Q1265" s="106">
        <v>3174.2592994841161</v>
      </c>
      <c r="R1265" s="106">
        <v>0.32671781841378494</v>
      </c>
      <c r="S1265" s="106">
        <v>19546.915422210153</v>
      </c>
      <c r="T1265" s="106">
        <v>19347.957643225633</v>
      </c>
      <c r="U1265" s="106">
        <v>13861.2538408527</v>
      </c>
      <c r="V1265" s="106">
        <v>0.47191543736608327</v>
      </c>
      <c r="W1265" s="106">
        <v>64422.815676668703</v>
      </c>
      <c r="X1265" s="110">
        <v>0.49211634009616367</v>
      </c>
      <c r="Y1265" s="106">
        <v>628.70520231213868</v>
      </c>
      <c r="Z1265" s="106">
        <v>21.289017341040463</v>
      </c>
      <c r="AA1265" s="106">
        <v>57913.780936880874</v>
      </c>
      <c r="AB1265" s="106">
        <v>469.36540735027944</v>
      </c>
      <c r="AC1265" s="106">
        <v>1.7267047390497277</v>
      </c>
      <c r="AD1265" s="106">
        <v>22.438589792541684</v>
      </c>
      <c r="AE1265" s="106">
        <v>123.38740782756665</v>
      </c>
      <c r="AF1265" s="106">
        <v>-0.8173171984205716</v>
      </c>
      <c r="AG1265" s="106">
        <v>8950</v>
      </c>
      <c r="AH1265" s="106">
        <v>19292.133994026608</v>
      </c>
      <c r="AI1265" s="106">
        <v>19292.133994026608</v>
      </c>
      <c r="AJ1265" s="106">
        <v>19572.479907683952</v>
      </c>
      <c r="AK1265" s="104">
        <v>17350.507059462394</v>
      </c>
      <c r="AL1265" s="118">
        <v>41226200</v>
      </c>
      <c r="AM1265" s="118">
        <v>9661</v>
      </c>
      <c r="AN1265" s="118">
        <v>217532</v>
      </c>
      <c r="AO1265" s="118">
        <v>1448</v>
      </c>
      <c r="AP1265" s="118">
        <f t="shared" si="19"/>
        <v>0</v>
      </c>
    </row>
    <row r="1266" spans="1:42">
      <c r="A1266" s="106">
        <v>2018</v>
      </c>
      <c r="B1266" s="106">
        <v>-140553</v>
      </c>
      <c r="C1266" s="106">
        <v>0</v>
      </c>
      <c r="D1266" s="106">
        <v>140553</v>
      </c>
      <c r="E1266" s="106" t="s">
        <v>2079</v>
      </c>
      <c r="F1266" s="106" t="s">
        <v>230</v>
      </c>
      <c r="G1266" s="106" t="s">
        <v>63</v>
      </c>
      <c r="H1266" s="106">
        <v>7</v>
      </c>
      <c r="I1266" s="106" t="s">
        <v>3641</v>
      </c>
      <c r="J1266" s="107">
        <v>27278</v>
      </c>
      <c r="K1266" s="107">
        <v>38878</v>
      </c>
      <c r="L1266" s="107">
        <v>38599</v>
      </c>
      <c r="M1266" s="107">
        <v>0.52</v>
      </c>
      <c r="N1266" s="107">
        <v>0.7</v>
      </c>
      <c r="O1266" s="107">
        <v>0.6</v>
      </c>
      <c r="P1266" s="107">
        <v>10033</v>
      </c>
      <c r="Q1266" s="107">
        <v>9798.6323132313228</v>
      </c>
      <c r="R1266" s="107">
        <v>0.37916032710112008</v>
      </c>
      <c r="S1266" s="107">
        <v>37107.908190819078</v>
      </c>
      <c r="T1266" s="107">
        <v>39515.05400540054</v>
      </c>
      <c r="U1266" s="107">
        <v>25885.769337849713</v>
      </c>
      <c r="V1266" s="107">
        <v>0.61981339342283737</v>
      </c>
      <c r="W1266" s="107">
        <v>82787.475374732341</v>
      </c>
      <c r="X1266" s="111">
        <v>0.44032656264147524</v>
      </c>
      <c r="Y1266" s="107">
        <v>334.97989949748745</v>
      </c>
      <c r="Z1266" s="107">
        <v>11.165829145728644</v>
      </c>
      <c r="AA1266" s="107">
        <v>144518.03886608558</v>
      </c>
      <c r="AB1266" s="107">
        <v>862.84603394341616</v>
      </c>
      <c r="AC1266" s="107">
        <v>0.69195514127245228</v>
      </c>
      <c r="AD1266" s="107">
        <v>18.650421743205246</v>
      </c>
      <c r="AE1266" s="107">
        <v>167.48994974874373</v>
      </c>
      <c r="AF1266" s="107">
        <v>1.2855989001766275E-2</v>
      </c>
      <c r="AG1266" s="107">
        <v>25055</v>
      </c>
      <c r="AH1266" s="107">
        <v>31007.665616561655</v>
      </c>
      <c r="AI1266" s="107">
        <v>36690.883888388838</v>
      </c>
      <c r="AJ1266" s="107">
        <v>40981.922142214222</v>
      </c>
      <c r="AK1266" s="104">
        <v>30499.707470747075</v>
      </c>
      <c r="AM1266" s="118">
        <v>2202</v>
      </c>
      <c r="AN1266" s="118">
        <v>66661</v>
      </c>
      <c r="AO1266" s="118">
        <v>398</v>
      </c>
      <c r="AP1266" s="118">
        <f t="shared" si="19"/>
        <v>2223</v>
      </c>
    </row>
    <row r="1267" spans="1:42" ht="12.75">
      <c r="A1267" s="106">
        <v>2018</v>
      </c>
      <c r="B1267" s="106">
        <v>-127617</v>
      </c>
      <c r="C1267" s="106">
        <v>0</v>
      </c>
      <c r="D1267" s="106">
        <v>127617</v>
      </c>
      <c r="E1267" s="106" t="s">
        <v>2080</v>
      </c>
      <c r="F1267" s="106" t="s">
        <v>2081</v>
      </c>
      <c r="G1267" s="106" t="s">
        <v>66</v>
      </c>
      <c r="H1267" s="106">
        <v>4</v>
      </c>
      <c r="I1267" s="106" t="s">
        <v>24</v>
      </c>
      <c r="J1267" s="106">
        <v>3677</v>
      </c>
      <c r="K1267" s="106">
        <v>8474</v>
      </c>
      <c r="L1267" s="106">
        <v>7311</v>
      </c>
      <c r="M1267" s="106">
        <v>0.59</v>
      </c>
      <c r="N1267" s="106">
        <v>0.11</v>
      </c>
      <c r="O1267" s="106">
        <v>0.28000000000000003</v>
      </c>
      <c r="P1267" s="106">
        <v>2899</v>
      </c>
      <c r="Q1267" s="106">
        <v>851.9045226130653</v>
      </c>
      <c r="R1267" s="106">
        <v>0.11058706303770488</v>
      </c>
      <c r="S1267" s="106">
        <v>14092.64447236181</v>
      </c>
      <c r="T1267" s="106">
        <v>15782.438442211056</v>
      </c>
      <c r="U1267" s="106">
        <v>14558.370656849109</v>
      </c>
      <c r="V1267" s="106">
        <v>0.47062746628545332</v>
      </c>
      <c r="W1267" s="106">
        <v>70190.622807017542</v>
      </c>
      <c r="X1267" s="110">
        <v>0.63693743626531019</v>
      </c>
      <c r="Y1267" s="106">
        <v>423.55214723926383</v>
      </c>
      <c r="Z1267" s="106">
        <v>14.650306748466258</v>
      </c>
      <c r="AA1267" s="106">
        <v>29263.795562757303</v>
      </c>
      <c r="AB1267" s="106">
        <v>503.56159748194028</v>
      </c>
      <c r="AC1267" s="106">
        <v>3.4171917236623068</v>
      </c>
      <c r="AD1267" s="106">
        <v>59.45945945945946</v>
      </c>
      <c r="AE1267" s="106">
        <v>58.113636363636367</v>
      </c>
      <c r="AF1267" s="106">
        <v>9.966169227845054E-3</v>
      </c>
      <c r="AG1267" s="106">
        <v>3469</v>
      </c>
      <c r="AH1267" s="106">
        <v>13570.704773869347</v>
      </c>
      <c r="AI1267" s="106">
        <v>14325.915829145728</v>
      </c>
      <c r="AJ1267" s="106">
        <v>14356.496231155779</v>
      </c>
      <c r="AK1267" s="104">
        <v>15311.767587939699</v>
      </c>
      <c r="AL1267" s="118"/>
      <c r="AM1267" s="118">
        <v>1383</v>
      </c>
      <c r="AN1267" s="118">
        <v>23013</v>
      </c>
      <c r="AO1267" s="118">
        <v>130</v>
      </c>
      <c r="AP1267" s="118">
        <f t="shared" si="19"/>
        <v>208</v>
      </c>
    </row>
    <row r="1268" spans="1:42" ht="12.75">
      <c r="A1268" s="106">
        <v>2018</v>
      </c>
      <c r="B1268" s="106">
        <v>-163453</v>
      </c>
      <c r="C1268" s="106">
        <v>0</v>
      </c>
      <c r="D1268" s="106">
        <v>163453</v>
      </c>
      <c r="E1268" s="106" t="s">
        <v>2082</v>
      </c>
      <c r="F1268" s="106" t="s">
        <v>284</v>
      </c>
      <c r="G1268" s="106" t="s">
        <v>124</v>
      </c>
      <c r="H1268" s="106">
        <v>1</v>
      </c>
      <c r="I1268" s="106" t="s">
        <v>23</v>
      </c>
      <c r="J1268" s="106">
        <v>7766</v>
      </c>
      <c r="K1268" s="106">
        <v>15814</v>
      </c>
      <c r="L1268" s="106">
        <v>14122</v>
      </c>
      <c r="M1268" s="106">
        <v>0.62</v>
      </c>
      <c r="N1268" s="106">
        <v>0.76</v>
      </c>
      <c r="O1268" s="106">
        <v>0.47</v>
      </c>
      <c r="P1268" s="106">
        <v>6902</v>
      </c>
      <c r="Q1268" s="106">
        <v>2903.9246724890832</v>
      </c>
      <c r="R1268" s="106">
        <v>0.30828378932135975</v>
      </c>
      <c r="S1268" s="106">
        <v>30705.203602620088</v>
      </c>
      <c r="T1268" s="106">
        <v>33335.135098253275</v>
      </c>
      <c r="U1268" s="106">
        <v>16539.137286418951</v>
      </c>
      <c r="V1268" s="106">
        <v>0.39395785085475443</v>
      </c>
      <c r="W1268" s="106">
        <v>81712.287071866958</v>
      </c>
      <c r="X1268" s="110">
        <v>0.56319112172443841</v>
      </c>
      <c r="Y1268" s="106">
        <v>372.61324041811849</v>
      </c>
      <c r="Z1268" s="106">
        <v>12.766550522648084</v>
      </c>
      <c r="AA1268" s="106">
        <v>82113.006798697883</v>
      </c>
      <c r="AB1268" s="106">
        <v>566.66728088123284</v>
      </c>
      <c r="AC1268" s="106">
        <v>1.2178338596850136</v>
      </c>
      <c r="AD1268" s="106">
        <v>20.5771643663739</v>
      </c>
      <c r="AE1268" s="106">
        <v>144.90514905149053</v>
      </c>
      <c r="AF1268" s="106">
        <v>5.0890491871902581E-3</v>
      </c>
      <c r="AG1268" s="106">
        <v>5264</v>
      </c>
      <c r="AH1268" s="106">
        <v>29379.627046943231</v>
      </c>
      <c r="AI1268" s="106">
        <v>29387.236217248908</v>
      </c>
      <c r="AJ1268" s="106">
        <v>30941.803902838426</v>
      </c>
      <c r="AK1268" s="104">
        <v>23922.485125545852</v>
      </c>
      <c r="AL1268" s="119">
        <v>93661305</v>
      </c>
      <c r="AM1268" s="118">
        <v>6440</v>
      </c>
      <c r="AN1268" s="118">
        <v>213880</v>
      </c>
      <c r="AO1268" s="118">
        <v>1153</v>
      </c>
      <c r="AP1268" s="118">
        <f t="shared" si="19"/>
        <v>2502</v>
      </c>
    </row>
    <row r="1269" spans="1:42" ht="12.75">
      <c r="A1269" s="106">
        <v>2018</v>
      </c>
      <c r="B1269" s="106">
        <v>-154004</v>
      </c>
      <c r="C1269" s="106">
        <v>0</v>
      </c>
      <c r="D1269" s="106">
        <v>154004</v>
      </c>
      <c r="E1269" s="106" t="s">
        <v>2083</v>
      </c>
      <c r="F1269" s="106" t="s">
        <v>446</v>
      </c>
      <c r="G1269" s="106" t="s">
        <v>447</v>
      </c>
      <c r="H1269" s="106">
        <v>6</v>
      </c>
      <c r="I1269" s="106" t="s">
        <v>3640</v>
      </c>
      <c r="J1269" s="106">
        <v>30390</v>
      </c>
      <c r="K1269" s="106">
        <v>23396</v>
      </c>
      <c r="L1269" s="106">
        <v>20748</v>
      </c>
      <c r="M1269" s="106">
        <v>0.34</v>
      </c>
      <c r="N1269" s="106">
        <v>0.78</v>
      </c>
      <c r="O1269" s="106">
        <v>1</v>
      </c>
      <c r="P1269" s="106">
        <v>17161</v>
      </c>
      <c r="Q1269" s="106">
        <v>10079.303703703703</v>
      </c>
      <c r="R1269" s="106">
        <v>0.49965676212878668</v>
      </c>
      <c r="S1269" s="106">
        <v>17147.028148148147</v>
      </c>
      <c r="T1269" s="106">
        <v>18402.211358024691</v>
      </c>
      <c r="U1269" s="106">
        <v>14736.194567901235</v>
      </c>
      <c r="V1269" s="106">
        <v>0.68492252585504265</v>
      </c>
      <c r="W1269" s="106">
        <v>67423.834792122536</v>
      </c>
      <c r="X1269" s="110">
        <v>0.55124333151802096</v>
      </c>
      <c r="Y1269" s="106">
        <v>434.94573643410854</v>
      </c>
      <c r="Z1269" s="106">
        <v>15.697674418604651</v>
      </c>
      <c r="AA1269" s="106">
        <v>51097.25</v>
      </c>
      <c r="AB1269" s="106">
        <v>531.84561916304267</v>
      </c>
      <c r="AC1269" s="106">
        <v>1.9570524832549698</v>
      </c>
      <c r="AD1269" s="106">
        <v>31.448572967151318</v>
      </c>
      <c r="AE1269" s="106">
        <v>96.075342465753423</v>
      </c>
      <c r="AF1269" s="106">
        <v>3.5216962287523787E-4</v>
      </c>
      <c r="AG1269" s="106">
        <v>28890</v>
      </c>
      <c r="AH1269" s="106">
        <v>14521.942222222222</v>
      </c>
      <c r="AI1269" s="106">
        <v>16481.543209876545</v>
      </c>
      <c r="AJ1269" s="106">
        <v>21433.394567901236</v>
      </c>
      <c r="AK1269" s="104">
        <v>14736.194567901235</v>
      </c>
      <c r="AL1269" s="118"/>
      <c r="AM1269" s="118">
        <v>1322</v>
      </c>
      <c r="AN1269" s="118">
        <v>56108</v>
      </c>
      <c r="AO1269" s="118">
        <v>280</v>
      </c>
      <c r="AP1269" s="118">
        <f t="shared" si="19"/>
        <v>1500</v>
      </c>
    </row>
    <row r="1270" spans="1:42" ht="12.75">
      <c r="A1270" s="106">
        <v>2018</v>
      </c>
      <c r="B1270" s="106">
        <v>-218399</v>
      </c>
      <c r="C1270" s="106">
        <v>0</v>
      </c>
      <c r="D1270" s="106">
        <v>218399</v>
      </c>
      <c r="E1270" s="106" t="s">
        <v>2084</v>
      </c>
      <c r="F1270" s="106" t="s">
        <v>655</v>
      </c>
      <c r="G1270" s="106" t="s">
        <v>79</v>
      </c>
      <c r="H1270" s="106">
        <v>7</v>
      </c>
      <c r="I1270" s="106" t="s">
        <v>3641</v>
      </c>
      <c r="J1270" s="106">
        <v>13458</v>
      </c>
      <c r="K1270" s="106">
        <v>16702</v>
      </c>
      <c r="L1270" s="106">
        <v>16301</v>
      </c>
      <c r="M1270" s="106">
        <v>0.94</v>
      </c>
      <c r="N1270" s="106">
        <v>0.97</v>
      </c>
      <c r="O1270" s="106">
        <v>0.24</v>
      </c>
      <c r="P1270" s="106">
        <v>2821</v>
      </c>
      <c r="Q1270" s="106"/>
      <c r="R1270" s="106"/>
      <c r="S1270" s="106">
        <v>23859.635135135137</v>
      </c>
      <c r="T1270" s="106">
        <v>24979.772972972973</v>
      </c>
      <c r="U1270" s="106">
        <v>20824.309459459459</v>
      </c>
      <c r="V1270" s="106">
        <v>0.62796086356713166</v>
      </c>
      <c r="W1270" s="106">
        <v>55519.364705882355</v>
      </c>
      <c r="X1270" s="110">
        <v>0.51059105550912764</v>
      </c>
      <c r="Y1270" s="106">
        <v>504.68181818181819</v>
      </c>
      <c r="Z1270" s="106">
        <v>16.818181818181817</v>
      </c>
      <c r="AA1270" s="106">
        <v>131709.30769230769</v>
      </c>
      <c r="AB1270" s="106">
        <v>693.95609294785197</v>
      </c>
      <c r="AC1270" s="106">
        <v>0.75924778401853499</v>
      </c>
      <c r="AD1270" s="106">
        <v>15.875169606512889</v>
      </c>
      <c r="AE1270" s="106">
        <v>189.7948717948718</v>
      </c>
      <c r="AF1270" s="106">
        <v>-1.0737923848380524E-2</v>
      </c>
      <c r="AG1270" s="106">
        <v>12100</v>
      </c>
      <c r="AH1270" s="106">
        <v>22364.516216216216</v>
      </c>
      <c r="AI1270" s="106">
        <v>24067.472972972973</v>
      </c>
      <c r="AJ1270" s="106">
        <v>24402.539189189189</v>
      </c>
      <c r="AK1270" s="104">
        <v>21171.172972972974</v>
      </c>
      <c r="AL1270" s="118"/>
      <c r="AM1270" s="118">
        <v>747</v>
      </c>
      <c r="AN1270" s="118">
        <v>22206</v>
      </c>
      <c r="AO1270" s="118">
        <v>117</v>
      </c>
      <c r="AP1270" s="118">
        <f t="shared" si="19"/>
        <v>1358</v>
      </c>
    </row>
    <row r="1271" spans="1:42" ht="12.75">
      <c r="A1271" s="106">
        <v>2018</v>
      </c>
      <c r="B1271" s="106">
        <v>-196051</v>
      </c>
      <c r="C1271" s="106">
        <v>0</v>
      </c>
      <c r="D1271" s="106">
        <v>196051</v>
      </c>
      <c r="E1271" s="106" t="s">
        <v>2085</v>
      </c>
      <c r="F1271" s="106" t="s">
        <v>2086</v>
      </c>
      <c r="G1271" s="106" t="s">
        <v>69</v>
      </c>
      <c r="H1271" s="106">
        <v>3</v>
      </c>
      <c r="I1271" s="104" t="s">
        <v>26</v>
      </c>
      <c r="J1271" s="106">
        <v>8249</v>
      </c>
      <c r="K1271" s="106">
        <v>16872</v>
      </c>
      <c r="L1271" s="106">
        <v>13975</v>
      </c>
      <c r="M1271" s="106">
        <v>0.65</v>
      </c>
      <c r="N1271" s="106">
        <v>0.8</v>
      </c>
      <c r="O1271" s="106">
        <v>0.89</v>
      </c>
      <c r="P1271" s="106">
        <v>1853</v>
      </c>
      <c r="Q1271" s="106">
        <v>1204.2323695345558</v>
      </c>
      <c r="R1271" s="106">
        <v>0.16253538801387279</v>
      </c>
      <c r="S1271" s="106">
        <v>27673.920310296191</v>
      </c>
      <c r="T1271" s="106">
        <v>30196.374823695347</v>
      </c>
      <c r="U1271" s="106">
        <v>20290.434959385992</v>
      </c>
      <c r="V1271" s="106">
        <v>0.3057999935700047</v>
      </c>
      <c r="W1271" s="106">
        <v>93208.015296367113</v>
      </c>
      <c r="X1271" s="110">
        <v>0.56923804089682395</v>
      </c>
      <c r="Y1271" s="106">
        <v>463.17059891107078</v>
      </c>
      <c r="Z1271" s="106">
        <v>15.441016333938295</v>
      </c>
      <c r="AA1271" s="106">
        <v>91194.411323008986</v>
      </c>
      <c r="AB1271" s="106">
        <v>676.43528835202801</v>
      </c>
      <c r="AC1271" s="106">
        <v>1.0965584244609221</v>
      </c>
      <c r="AD1271" s="106">
        <v>22.57602862254025</v>
      </c>
      <c r="AE1271" s="106">
        <v>134.81616481774961</v>
      </c>
      <c r="AF1271" s="106">
        <v>0.22370298764466284</v>
      </c>
      <c r="AG1271" s="106">
        <v>6670</v>
      </c>
      <c r="AH1271" s="106">
        <v>27126.887517630465</v>
      </c>
      <c r="AI1271" s="106">
        <v>27272.654090267984</v>
      </c>
      <c r="AJ1271" s="106">
        <v>27719.203102961917</v>
      </c>
      <c r="AK1271" s="104">
        <v>24144.935825105782</v>
      </c>
      <c r="AL1271" s="118">
        <v>37054106</v>
      </c>
      <c r="AM1271" s="118">
        <v>3063</v>
      </c>
      <c r="AN1271" s="118">
        <v>85069</v>
      </c>
      <c r="AO1271" s="118">
        <v>631</v>
      </c>
      <c r="AP1271" s="118">
        <f t="shared" si="19"/>
        <v>1579</v>
      </c>
    </row>
    <row r="1272" spans="1:42" ht="12.75">
      <c r="A1272" s="106">
        <v>2018</v>
      </c>
      <c r="B1272" s="106">
        <v>-147411</v>
      </c>
      <c r="C1272" s="106">
        <v>0</v>
      </c>
      <c r="D1272" s="106">
        <v>147411</v>
      </c>
      <c r="E1272" s="106" t="s">
        <v>2087</v>
      </c>
      <c r="F1272" s="106" t="s">
        <v>2088</v>
      </c>
      <c r="G1272" s="106" t="s">
        <v>243</v>
      </c>
      <c r="H1272" s="106">
        <v>4</v>
      </c>
      <c r="I1272" s="106" t="s">
        <v>24</v>
      </c>
      <c r="J1272" s="106">
        <v>4116</v>
      </c>
      <c r="K1272" s="106">
        <v>4428</v>
      </c>
      <c r="L1272" s="106">
        <v>3301</v>
      </c>
      <c r="M1272" s="106">
        <v>0.63</v>
      </c>
      <c r="N1272" s="106">
        <v>0.03</v>
      </c>
      <c r="O1272" s="106">
        <v>0.12</v>
      </c>
      <c r="P1272" s="106">
        <v>1808</v>
      </c>
      <c r="Q1272" s="107">
        <v>495.29704451926676</v>
      </c>
      <c r="R1272" s="106">
        <v>0.12496850841803378</v>
      </c>
      <c r="S1272" s="106">
        <v>17017.772914328471</v>
      </c>
      <c r="T1272" s="106">
        <v>19182.548447437337</v>
      </c>
      <c r="U1272" s="106">
        <v>11443.182384073827</v>
      </c>
      <c r="V1272" s="106">
        <v>0.30306934721373152</v>
      </c>
      <c r="W1272" s="106">
        <v>113623.5873221216</v>
      </c>
      <c r="X1272" s="110">
        <v>0.57098075879232413</v>
      </c>
      <c r="Y1272" s="106">
        <v>818.25510204081638</v>
      </c>
      <c r="Z1272" s="106">
        <v>27.275510204081634</v>
      </c>
      <c r="AA1272" s="106">
        <v>47867.960113660934</v>
      </c>
      <c r="AB1272" s="106">
        <v>381.44416955728764</v>
      </c>
      <c r="AC1272" s="106">
        <v>2.0890800393948941</v>
      </c>
      <c r="AD1272" s="106">
        <v>27.007607776838544</v>
      </c>
      <c r="AE1272" s="106">
        <v>125.49139280125196</v>
      </c>
      <c r="AF1272" s="106">
        <v>2.2394016877258266E-3</v>
      </c>
      <c r="AG1272" s="106">
        <v>2816</v>
      </c>
      <c r="AH1272" s="106">
        <v>15940.31238309016</v>
      </c>
      <c r="AI1272" s="106">
        <v>15940.31238309016</v>
      </c>
      <c r="AJ1272" s="106">
        <v>17116.613916947252</v>
      </c>
      <c r="AK1272" s="104">
        <v>13837.341189674524</v>
      </c>
      <c r="AL1272" s="118">
        <v>29941500</v>
      </c>
      <c r="AM1272" s="118">
        <v>4387</v>
      </c>
      <c r="AN1272" s="118">
        <v>80189</v>
      </c>
      <c r="AO1272" s="118">
        <v>456</v>
      </c>
      <c r="AP1272" s="118">
        <f t="shared" si="19"/>
        <v>1300</v>
      </c>
    </row>
    <row r="1273" spans="1:42" ht="12.75">
      <c r="A1273" s="106">
        <v>2018</v>
      </c>
      <c r="B1273" s="106">
        <v>-221096</v>
      </c>
      <c r="C1273" s="106">
        <v>0</v>
      </c>
      <c r="D1273" s="106">
        <v>221096</v>
      </c>
      <c r="E1273" s="106" t="s">
        <v>4152</v>
      </c>
      <c r="F1273" s="106" t="s">
        <v>2089</v>
      </c>
      <c r="G1273" s="106" t="s">
        <v>255</v>
      </c>
      <c r="H1273" s="106">
        <v>4</v>
      </c>
      <c r="I1273" s="106" t="s">
        <v>24</v>
      </c>
      <c r="J1273" s="106">
        <v>4147</v>
      </c>
      <c r="K1273" s="106">
        <v>7672</v>
      </c>
      <c r="L1273" s="106">
        <v>5826</v>
      </c>
      <c r="M1273" s="106">
        <v>0.52</v>
      </c>
      <c r="N1273" s="106">
        <v>0</v>
      </c>
      <c r="O1273" s="106">
        <v>0.09</v>
      </c>
      <c r="P1273" s="106">
        <v>1840</v>
      </c>
      <c r="Q1273" s="106">
        <v>312.31682027649771</v>
      </c>
      <c r="R1273" s="106">
        <v>6.2986728620465379E-2</v>
      </c>
      <c r="S1273" s="106">
        <v>9379.8449308755753</v>
      </c>
      <c r="T1273" s="106">
        <v>8739.515437788019</v>
      </c>
      <c r="U1273" s="106">
        <v>5985.1238689202983</v>
      </c>
      <c r="V1273" s="106">
        <v>0.77628093575978718</v>
      </c>
      <c r="W1273" s="106">
        <v>68377.52474226804</v>
      </c>
      <c r="X1273" s="110">
        <v>0.58289022393310408</v>
      </c>
      <c r="Y1273" s="106">
        <v>728.70335820895514</v>
      </c>
      <c r="Z1273" s="106">
        <v>24.291044776119399</v>
      </c>
      <c r="AA1273" s="106">
        <v>22825.516336655619</v>
      </c>
      <c r="AB1273" s="106">
        <v>199.51179070712465</v>
      </c>
      <c r="AC1273" s="106">
        <v>4.3810619012990069</v>
      </c>
      <c r="AD1273" s="106">
        <v>24.712269272529859</v>
      </c>
      <c r="AE1273" s="106">
        <v>114.40685413005272</v>
      </c>
      <c r="AF1273" s="106">
        <v>0.12758088983733804</v>
      </c>
      <c r="AG1273" s="106">
        <v>3840</v>
      </c>
      <c r="AH1273" s="106">
        <v>10011.376036866359</v>
      </c>
      <c r="AI1273" s="106">
        <v>10028.962442396314</v>
      </c>
      <c r="AJ1273" s="106">
        <v>9436.5900921658995</v>
      </c>
      <c r="AK1273" s="104">
        <v>7479.3304147465442</v>
      </c>
      <c r="AL1273" s="119">
        <v>13444796</v>
      </c>
      <c r="AM1273" s="118">
        <v>6594</v>
      </c>
      <c r="AN1273" s="118">
        <v>130195</v>
      </c>
      <c r="AO1273" s="118">
        <v>986</v>
      </c>
      <c r="AP1273" s="118">
        <f t="shared" si="19"/>
        <v>307</v>
      </c>
    </row>
    <row r="1274" spans="1:42" ht="12.75">
      <c r="A1274" s="106">
        <v>2018</v>
      </c>
      <c r="B1274" s="106">
        <v>-169275</v>
      </c>
      <c r="C1274" s="106">
        <v>0</v>
      </c>
      <c r="D1274" s="106">
        <v>169275</v>
      </c>
      <c r="E1274" s="106" t="s">
        <v>2090</v>
      </c>
      <c r="F1274" s="106" t="s">
        <v>272</v>
      </c>
      <c r="G1274" s="106" t="s">
        <v>74</v>
      </c>
      <c r="H1274" s="106">
        <v>4</v>
      </c>
      <c r="I1274" s="106" t="s">
        <v>24</v>
      </c>
      <c r="J1274" s="106">
        <v>3996</v>
      </c>
      <c r="K1274" s="106">
        <v>5291</v>
      </c>
      <c r="L1274" s="106">
        <v>4500</v>
      </c>
      <c r="M1274" s="106">
        <v>0.57999999999999996</v>
      </c>
      <c r="N1274" s="106">
        <v>0.3</v>
      </c>
      <c r="O1274" s="106">
        <v>0.14000000000000001</v>
      </c>
      <c r="P1274" s="106">
        <v>2596</v>
      </c>
      <c r="Q1274" s="106">
        <v>223.85447985568251</v>
      </c>
      <c r="R1274" s="106">
        <v>3.3038949697406991E-2</v>
      </c>
      <c r="S1274" s="106">
        <v>20722.422329124074</v>
      </c>
      <c r="T1274" s="106">
        <v>17169.586891160554</v>
      </c>
      <c r="U1274" s="106">
        <v>10546.864080750822</v>
      </c>
      <c r="V1274" s="106">
        <v>0.62119104868208186</v>
      </c>
      <c r="W1274" s="106">
        <v>92866.329283887462</v>
      </c>
      <c r="X1274" s="110">
        <v>0.5651977492307324</v>
      </c>
      <c r="Y1274" s="106">
        <v>682.43161094224934</v>
      </c>
      <c r="Z1274" s="106">
        <v>22.746200607902736</v>
      </c>
      <c r="AA1274" s="106">
        <v>38976.522147308038</v>
      </c>
      <c r="AB1274" s="106">
        <v>351.53864844244953</v>
      </c>
      <c r="AC1274" s="106">
        <v>2.5656470739503017</v>
      </c>
      <c r="AD1274" s="106">
        <v>34.394904458598724</v>
      </c>
      <c r="AE1274" s="106">
        <v>110.87407407407407</v>
      </c>
      <c r="AF1274" s="106">
        <v>0.68292259151163925</v>
      </c>
      <c r="AG1274" s="106">
        <v>3302</v>
      </c>
      <c r="AH1274" s="106">
        <v>19948.098216075367</v>
      </c>
      <c r="AI1274" s="106">
        <v>20386.786730807777</v>
      </c>
      <c r="AJ1274" s="106">
        <v>20779.059931850072</v>
      </c>
      <c r="AK1274" s="104">
        <v>12153.497494487874</v>
      </c>
      <c r="AL1274" s="118">
        <v>47608446</v>
      </c>
      <c r="AM1274" s="118">
        <v>7689</v>
      </c>
      <c r="AN1274" s="118">
        <v>149680</v>
      </c>
      <c r="AO1274" s="118">
        <v>1209</v>
      </c>
      <c r="AP1274" s="118">
        <f t="shared" si="19"/>
        <v>694</v>
      </c>
    </row>
    <row r="1275" spans="1:42" ht="12.75">
      <c r="A1275" s="106">
        <v>2018</v>
      </c>
      <c r="B1275" s="106">
        <v>-214166</v>
      </c>
      <c r="C1275" s="106">
        <v>0</v>
      </c>
      <c r="D1275" s="106">
        <v>214166</v>
      </c>
      <c r="E1275" s="106" t="s">
        <v>2091</v>
      </c>
      <c r="F1275" s="106" t="s">
        <v>2092</v>
      </c>
      <c r="G1275" s="106" t="s">
        <v>104</v>
      </c>
      <c r="H1275" s="106">
        <v>7</v>
      </c>
      <c r="I1275" s="106" t="s">
        <v>3641</v>
      </c>
      <c r="J1275" s="106">
        <v>22430</v>
      </c>
      <c r="K1275" s="106">
        <v>20914</v>
      </c>
      <c r="L1275" s="106">
        <v>20203</v>
      </c>
      <c r="M1275" s="106">
        <v>0.42</v>
      </c>
      <c r="N1275" s="106">
        <v>0.84</v>
      </c>
      <c r="O1275" s="106">
        <v>0.95</v>
      </c>
      <c r="P1275" s="106">
        <v>9614</v>
      </c>
      <c r="Q1275" s="106">
        <v>5694.9299410029498</v>
      </c>
      <c r="R1275" s="106">
        <v>0.28991774446429458</v>
      </c>
      <c r="S1275" s="106">
        <v>20167.494837758113</v>
      </c>
      <c r="T1275" s="106">
        <v>20767.951327433628</v>
      </c>
      <c r="U1275" s="106">
        <v>17444.848820058996</v>
      </c>
      <c r="V1275" s="106">
        <v>0.79956732585182588</v>
      </c>
      <c r="W1275" s="106">
        <v>63145.200860832134</v>
      </c>
      <c r="X1275" s="110">
        <v>0.52095297873233459</v>
      </c>
      <c r="Y1275" s="106">
        <v>401.78145695364236</v>
      </c>
      <c r="Z1275" s="106">
        <v>13.470198675496688</v>
      </c>
      <c r="AA1275" s="106">
        <v>63249.237967914436</v>
      </c>
      <c r="AB1275" s="106">
        <v>584.85919497601742</v>
      </c>
      <c r="AC1275" s="106">
        <v>1.5810467163371797</v>
      </c>
      <c r="AD1275" s="106">
        <v>28.527841342486653</v>
      </c>
      <c r="AE1275" s="106">
        <v>108.14438502673796</v>
      </c>
      <c r="AF1275" s="106">
        <v>4.3996436036677147E-2</v>
      </c>
      <c r="AG1275" s="106">
        <v>21230</v>
      </c>
      <c r="AH1275" s="106">
        <v>19773.683628318584</v>
      </c>
      <c r="AI1275" s="106">
        <v>20167.494837758113</v>
      </c>
      <c r="AJ1275" s="106">
        <v>25070.680678466077</v>
      </c>
      <c r="AK1275" s="104">
        <v>17828.191740412978</v>
      </c>
      <c r="AM1275" s="118">
        <v>1688</v>
      </c>
      <c r="AN1275" s="118">
        <v>40446</v>
      </c>
      <c r="AO1275" s="118">
        <v>335</v>
      </c>
      <c r="AP1275" s="118">
        <f t="shared" si="19"/>
        <v>1200</v>
      </c>
    </row>
    <row r="1276" spans="1:42" ht="12.75">
      <c r="A1276" s="106">
        <v>2018</v>
      </c>
      <c r="B1276" s="106">
        <v>-166939</v>
      </c>
      <c r="C1276" s="106">
        <v>0</v>
      </c>
      <c r="D1276" s="106">
        <v>166939</v>
      </c>
      <c r="E1276" s="106" t="s">
        <v>2093</v>
      </c>
      <c r="F1276" s="106" t="s">
        <v>2094</v>
      </c>
      <c r="G1276" s="106" t="s">
        <v>150</v>
      </c>
      <c r="H1276" s="106">
        <v>7</v>
      </c>
      <c r="I1276" s="106" t="s">
        <v>3641</v>
      </c>
      <c r="J1276" s="106">
        <v>47940</v>
      </c>
      <c r="K1276" s="106">
        <v>29737</v>
      </c>
      <c r="L1276" s="106">
        <v>12286</v>
      </c>
      <c r="M1276" s="106">
        <v>0.2</v>
      </c>
      <c r="N1276" s="106">
        <v>0.53</v>
      </c>
      <c r="O1276" s="106">
        <v>0.78</v>
      </c>
      <c r="P1276" s="106">
        <v>32357</v>
      </c>
      <c r="Q1276" s="106">
        <v>22339.167455876024</v>
      </c>
      <c r="R1276" s="106">
        <v>0.5005942049094958</v>
      </c>
      <c r="S1276" s="106">
        <v>55191.625484287557</v>
      </c>
      <c r="T1276" s="106">
        <v>63692.891519586745</v>
      </c>
      <c r="U1276" s="106">
        <v>49612.504089606933</v>
      </c>
      <c r="V1276" s="106">
        <v>0.44920398028753578</v>
      </c>
      <c r="W1276" s="106">
        <v>89060.558888076077</v>
      </c>
      <c r="X1276" s="110">
        <v>0.54855792857767693</v>
      </c>
      <c r="Y1276" s="106">
        <v>311.15373765867417</v>
      </c>
      <c r="Z1276" s="106">
        <v>9.8293370944992944</v>
      </c>
      <c r="AA1276" s="106">
        <v>185587.51529815927</v>
      </c>
      <c r="AB1276" s="106">
        <v>1567.2574929307673</v>
      </c>
      <c r="AC1276" s="106">
        <v>0.53882934872716537</v>
      </c>
      <c r="AD1276" s="106">
        <v>27.723214285714288</v>
      </c>
      <c r="AE1276" s="106">
        <v>118.41545893719807</v>
      </c>
      <c r="AF1276" s="106">
        <v>5.7212733442760171E-2</v>
      </c>
      <c r="AG1276" s="106">
        <v>47740</v>
      </c>
      <c r="AH1276" s="106">
        <v>40974.907447266465</v>
      </c>
      <c r="AI1276" s="106">
        <v>55382.13215669393</v>
      </c>
      <c r="AJ1276" s="106">
        <v>83608.262591476538</v>
      </c>
      <c r="AK1276" s="104">
        <v>52248.969866551874</v>
      </c>
      <c r="AL1276" s="118"/>
      <c r="AM1276" s="118">
        <v>2210</v>
      </c>
      <c r="AN1276" s="118">
        <v>73536</v>
      </c>
      <c r="AO1276" s="118">
        <v>558</v>
      </c>
      <c r="AP1276" s="118">
        <f t="shared" si="19"/>
        <v>200</v>
      </c>
    </row>
    <row r="1277" spans="1:42" ht="12.75">
      <c r="A1277" s="106">
        <v>2018</v>
      </c>
      <c r="B1277" s="106">
        <v>-219198</v>
      </c>
      <c r="C1277" s="106">
        <v>0</v>
      </c>
      <c r="D1277" s="106">
        <v>219198</v>
      </c>
      <c r="E1277" s="106" t="s">
        <v>2095</v>
      </c>
      <c r="F1277" s="106" t="s">
        <v>2096</v>
      </c>
      <c r="G1277" s="106" t="s">
        <v>246</v>
      </c>
      <c r="H1277" s="106">
        <v>6</v>
      </c>
      <c r="I1277" s="106" t="s">
        <v>3640</v>
      </c>
      <c r="J1277" s="106">
        <v>26310</v>
      </c>
      <c r="K1277" s="106">
        <v>19539</v>
      </c>
      <c r="L1277" s="106">
        <v>16837</v>
      </c>
      <c r="M1277" s="106">
        <v>0.37</v>
      </c>
      <c r="N1277" s="106">
        <v>0.8</v>
      </c>
      <c r="O1277" s="106">
        <v>0.95</v>
      </c>
      <c r="P1277" s="106">
        <v>17695</v>
      </c>
      <c r="Q1277" s="106">
        <v>6642.3975757575754</v>
      </c>
      <c r="R1277" s="106">
        <v>0.3755896198126788</v>
      </c>
      <c r="S1277" s="106">
        <v>17729.470303030303</v>
      </c>
      <c r="T1277" s="106">
        <v>19166.55393939394</v>
      </c>
      <c r="U1277" s="106">
        <v>17089.511515151517</v>
      </c>
      <c r="V1277" s="106">
        <v>0.64617737890197691</v>
      </c>
      <c r="W1277" s="106">
        <v>65895.321678321678</v>
      </c>
      <c r="X1277" s="110">
        <v>0.59592641398618185</v>
      </c>
      <c r="Y1277" s="106">
        <v>370.58918918918914</v>
      </c>
      <c r="Z1277" s="106">
        <v>13.378378378378377</v>
      </c>
      <c r="AA1277" s="106">
        <v>77894.182320441992</v>
      </c>
      <c r="AB1277" s="106">
        <v>616.93637596814426</v>
      </c>
      <c r="AC1277" s="106">
        <v>1.2837929229248322</v>
      </c>
      <c r="AD1277" s="106">
        <v>23.567708333333336</v>
      </c>
      <c r="AE1277" s="106">
        <v>126.25966850828729</v>
      </c>
      <c r="AF1277" s="106">
        <v>2.7323907269439753E-2</v>
      </c>
      <c r="AG1277" s="106">
        <v>24160</v>
      </c>
      <c r="AH1277" s="106">
        <v>14836.808484848485</v>
      </c>
      <c r="AI1277" s="106">
        <v>18334.269090909092</v>
      </c>
      <c r="AJ1277" s="106">
        <v>20322.732121212121</v>
      </c>
      <c r="AK1277" s="105">
        <v>17089.511515151517</v>
      </c>
      <c r="AM1277" s="119">
        <v>876</v>
      </c>
      <c r="AN1277" s="118">
        <v>22853</v>
      </c>
      <c r="AO1277" s="119">
        <v>114</v>
      </c>
      <c r="AP1277" s="118">
        <f t="shared" si="19"/>
        <v>2150</v>
      </c>
    </row>
    <row r="1278" spans="1:42" ht="12.75">
      <c r="A1278" s="106">
        <v>2018</v>
      </c>
      <c r="B1278" s="106">
        <v>-239390</v>
      </c>
      <c r="C1278" s="106">
        <v>0</v>
      </c>
      <c r="D1278" s="106">
        <v>239390</v>
      </c>
      <c r="E1278" s="106" t="s">
        <v>2097</v>
      </c>
      <c r="F1278" s="106" t="s">
        <v>138</v>
      </c>
      <c r="G1278" s="106" t="s">
        <v>139</v>
      </c>
      <c r="H1278" s="106">
        <v>6</v>
      </c>
      <c r="I1278" s="106" t="s">
        <v>3640</v>
      </c>
      <c r="J1278" s="106">
        <v>28940</v>
      </c>
      <c r="K1278" s="106">
        <v>17511</v>
      </c>
      <c r="L1278" s="106">
        <v>15224</v>
      </c>
      <c r="M1278" s="106">
        <v>0.78</v>
      </c>
      <c r="N1278" s="106">
        <v>0.81</v>
      </c>
      <c r="O1278" s="106">
        <v>1</v>
      </c>
      <c r="P1278" s="106">
        <v>17213</v>
      </c>
      <c r="Q1278" s="106">
        <v>9318.2357080035181</v>
      </c>
      <c r="R1278" s="106">
        <v>0.42002050065166635</v>
      </c>
      <c r="S1278" s="106">
        <v>22288.510114335972</v>
      </c>
      <c r="T1278" s="106">
        <v>20666.86103781882</v>
      </c>
      <c r="U1278" s="106">
        <v>19839.718853876861</v>
      </c>
      <c r="V1278" s="106">
        <v>0.64854532460369851</v>
      </c>
      <c r="W1278" s="106">
        <v>56064.590230664857</v>
      </c>
      <c r="X1278" s="110">
        <v>0.58613803147055255</v>
      </c>
      <c r="Y1278" s="106">
        <v>281.73475609756093</v>
      </c>
      <c r="Z1278" s="106">
        <v>10.399390243902438</v>
      </c>
      <c r="AA1278" s="106">
        <v>60966.919829345919</v>
      </c>
      <c r="AB1278" s="106">
        <v>732.32348592208518</v>
      </c>
      <c r="AC1278" s="106">
        <v>1.6402337575838271</v>
      </c>
      <c r="AD1278" s="106">
        <v>29.718875502008029</v>
      </c>
      <c r="AE1278" s="106">
        <v>83.251351351351346</v>
      </c>
      <c r="AF1278" s="106">
        <v>6.228529131152663E-2</v>
      </c>
      <c r="AG1278" s="106">
        <v>28370</v>
      </c>
      <c r="AH1278" s="106">
        <v>15909.954265611257</v>
      </c>
      <c r="AI1278" s="106">
        <v>20194.814423922602</v>
      </c>
      <c r="AJ1278" s="106">
        <v>23339.847845206685</v>
      </c>
      <c r="AK1278" s="104">
        <v>19886.14072119613</v>
      </c>
      <c r="AL1278" s="118"/>
      <c r="AM1278" s="118">
        <v>702</v>
      </c>
      <c r="AN1278" s="118">
        <v>30803</v>
      </c>
      <c r="AO1278" s="118">
        <v>147</v>
      </c>
      <c r="AP1278" s="118">
        <f t="shared" si="19"/>
        <v>570</v>
      </c>
    </row>
    <row r="1279" spans="1:42" ht="12.75">
      <c r="A1279" s="106">
        <v>2018</v>
      </c>
      <c r="B1279" s="106">
        <v>-154013</v>
      </c>
      <c r="C1279" s="106">
        <v>0</v>
      </c>
      <c r="D1279" s="106">
        <v>154013</v>
      </c>
      <c r="E1279" s="106" t="s">
        <v>2098</v>
      </c>
      <c r="F1279" s="106" t="s">
        <v>803</v>
      </c>
      <c r="G1279" s="106" t="s">
        <v>447</v>
      </c>
      <c r="H1279" s="106">
        <v>6</v>
      </c>
      <c r="I1279" s="106" t="s">
        <v>3640</v>
      </c>
      <c r="J1279" s="106">
        <v>30582</v>
      </c>
      <c r="K1279" s="106">
        <v>20704</v>
      </c>
      <c r="L1279" s="106">
        <v>17761</v>
      </c>
      <c r="M1279" s="106">
        <v>0.41</v>
      </c>
      <c r="N1279" s="106">
        <v>0.8</v>
      </c>
      <c r="O1279" s="106">
        <v>1</v>
      </c>
      <c r="P1279" s="106">
        <v>19232</v>
      </c>
      <c r="Q1279" s="106">
        <v>11345.721354166666</v>
      </c>
      <c r="R1279" s="106">
        <v>0.45288999198406527</v>
      </c>
      <c r="S1279" s="106">
        <v>23118.378255208332</v>
      </c>
      <c r="T1279" s="106">
        <v>20283.341145833332</v>
      </c>
      <c r="U1279" s="106">
        <v>16492.701822916668</v>
      </c>
      <c r="V1279" s="106">
        <v>0.83104059994970947</v>
      </c>
      <c r="W1279" s="106">
        <v>66238.796153846153</v>
      </c>
      <c r="X1279" s="110">
        <v>0.55278349574382613</v>
      </c>
      <c r="Y1279" s="106">
        <v>402.15361445783128</v>
      </c>
      <c r="Z1279" s="106">
        <v>13.879518072289157</v>
      </c>
      <c r="AA1279" s="106">
        <v>49285.583657587551</v>
      </c>
      <c r="AB1279" s="106">
        <v>569.21222334569154</v>
      </c>
      <c r="AC1279" s="106">
        <v>2.0289908849360847</v>
      </c>
      <c r="AD1279" s="106">
        <v>35.277968428277283</v>
      </c>
      <c r="AE1279" s="106">
        <v>86.585603112840474</v>
      </c>
      <c r="AF1279" s="106">
        <v>9.1458542494228245E-2</v>
      </c>
      <c r="AG1279" s="106">
        <v>30382</v>
      </c>
      <c r="AH1279" s="106">
        <v>18845.289713541668</v>
      </c>
      <c r="AI1279" s="106">
        <v>23118.378255208332</v>
      </c>
      <c r="AJ1279" s="106">
        <v>24346.810546875</v>
      </c>
      <c r="AK1279" s="104">
        <v>16492.701822916668</v>
      </c>
      <c r="AL1279" s="118"/>
      <c r="AM1279" s="118">
        <v>1517</v>
      </c>
      <c r="AN1279" s="118">
        <v>44505</v>
      </c>
      <c r="AO1279" s="118">
        <v>384</v>
      </c>
      <c r="AP1279" s="118">
        <f t="shared" si="19"/>
        <v>200</v>
      </c>
    </row>
    <row r="1280" spans="1:42" ht="12.75">
      <c r="A1280" s="106">
        <v>2018</v>
      </c>
      <c r="B1280" s="106">
        <v>-204200</v>
      </c>
      <c r="C1280" s="106">
        <v>0</v>
      </c>
      <c r="D1280" s="106">
        <v>204200</v>
      </c>
      <c r="E1280" s="106" t="s">
        <v>2099</v>
      </c>
      <c r="F1280" s="106" t="s">
        <v>737</v>
      </c>
      <c r="G1280" s="106" t="s">
        <v>82</v>
      </c>
      <c r="H1280" s="106">
        <v>6</v>
      </c>
      <c r="I1280" s="106" t="s">
        <v>3640</v>
      </c>
      <c r="J1280" s="106">
        <v>29100</v>
      </c>
      <c r="K1280" s="106">
        <v>18462</v>
      </c>
      <c r="L1280" s="106">
        <v>14461</v>
      </c>
      <c r="M1280" s="106">
        <v>0.45</v>
      </c>
      <c r="N1280" s="106">
        <v>0.88</v>
      </c>
      <c r="O1280" s="106">
        <v>1</v>
      </c>
      <c r="P1280" s="106">
        <v>15381</v>
      </c>
      <c r="Q1280" s="106">
        <v>7458.3115124153501</v>
      </c>
      <c r="R1280" s="106">
        <v>0.31331792647180357</v>
      </c>
      <c r="S1280" s="106">
        <v>22157.037810383747</v>
      </c>
      <c r="T1280" s="106">
        <v>21676.917607223477</v>
      </c>
      <c r="U1280" s="106">
        <v>17592.213882618511</v>
      </c>
      <c r="V1280" s="106">
        <v>0.92915996370367393</v>
      </c>
      <c r="W1280" s="106">
        <v>72428.710182767623</v>
      </c>
      <c r="X1280" s="110">
        <v>0.7221846958428958</v>
      </c>
      <c r="Y1280" s="106">
        <v>346.69035532994923</v>
      </c>
      <c r="Z1280" s="106">
        <v>13.49238578680203</v>
      </c>
      <c r="AA1280" s="106">
        <v>59948.851923076923</v>
      </c>
      <c r="AB1280" s="106">
        <v>684.64822542387776</v>
      </c>
      <c r="AC1280" s="106">
        <v>1.6680886587838999</v>
      </c>
      <c r="AD1280" s="106">
        <v>34.031413612565444</v>
      </c>
      <c r="AE1280" s="106">
        <v>87.561538461538461</v>
      </c>
      <c r="AF1280" s="106">
        <v>9.0941648947794551E-2</v>
      </c>
      <c r="AG1280" s="106">
        <v>28100</v>
      </c>
      <c r="AH1280" s="106">
        <v>18827.34480812641</v>
      </c>
      <c r="AI1280" s="106">
        <v>22264.212753950338</v>
      </c>
      <c r="AJ1280" s="106">
        <v>25179.329006772008</v>
      </c>
      <c r="AK1280" s="104">
        <v>17592.213882618511</v>
      </c>
      <c r="AL1280" s="118"/>
      <c r="AM1280" s="118">
        <v>1318</v>
      </c>
      <c r="AN1280" s="118">
        <v>45532</v>
      </c>
      <c r="AO1280" s="118">
        <v>245</v>
      </c>
      <c r="AP1280" s="118">
        <f t="shared" si="19"/>
        <v>1000</v>
      </c>
    </row>
    <row r="1281" spans="1:42" ht="12.75">
      <c r="A1281" s="106">
        <v>2018</v>
      </c>
      <c r="B1281" s="106">
        <v>-193353</v>
      </c>
      <c r="C1281" s="106">
        <v>0</v>
      </c>
      <c r="D1281" s="106">
        <v>193353</v>
      </c>
      <c r="E1281" s="106" t="s">
        <v>2100</v>
      </c>
      <c r="F1281" s="106" t="s">
        <v>2101</v>
      </c>
      <c r="G1281" s="106" t="s">
        <v>69</v>
      </c>
      <c r="H1281" s="106">
        <v>6</v>
      </c>
      <c r="I1281" s="106" t="s">
        <v>3640</v>
      </c>
      <c r="J1281" s="106">
        <v>29920</v>
      </c>
      <c r="K1281" s="106">
        <v>24770</v>
      </c>
      <c r="L1281" s="106">
        <v>16942</v>
      </c>
      <c r="M1281" s="106">
        <v>0.35</v>
      </c>
      <c r="N1281" s="106">
        <v>0.79</v>
      </c>
      <c r="O1281" s="106">
        <v>0.99</v>
      </c>
      <c r="P1281" s="106">
        <v>16270</v>
      </c>
      <c r="Q1281" s="106">
        <v>10038.339390962672</v>
      </c>
      <c r="R1281" s="106">
        <v>0.35190986050717721</v>
      </c>
      <c r="S1281" s="106">
        <v>28526.693025540277</v>
      </c>
      <c r="T1281" s="106">
        <v>28868.214145383103</v>
      </c>
      <c r="U1281" s="106">
        <v>20657.13100109325</v>
      </c>
      <c r="V1281" s="106">
        <v>0.89494397600062114</v>
      </c>
      <c r="W1281" s="106">
        <v>75637.57131345688</v>
      </c>
      <c r="X1281" s="110">
        <v>0.53234160575655742</v>
      </c>
      <c r="Y1281" s="106">
        <v>397.77060133630295</v>
      </c>
      <c r="Z1281" s="106">
        <v>13.60356347438753</v>
      </c>
      <c r="AA1281" s="106">
        <v>69863.652355856902</v>
      </c>
      <c r="AB1281" s="106">
        <v>706.46395643132144</v>
      </c>
      <c r="AC1281" s="106">
        <v>1.4313594641551353</v>
      </c>
      <c r="AD1281" s="106">
        <v>29.831516352824579</v>
      </c>
      <c r="AE1281" s="106">
        <v>98.892026578073086</v>
      </c>
      <c r="AF1281" s="106">
        <v>4.8313922157397181E-2</v>
      </c>
      <c r="AG1281" s="106">
        <v>28890</v>
      </c>
      <c r="AH1281" s="106">
        <v>27419.350196463653</v>
      </c>
      <c r="AI1281" s="106">
        <v>28901.614440078585</v>
      </c>
      <c r="AJ1281" s="106">
        <v>32226.057956777997</v>
      </c>
      <c r="AK1281" s="104">
        <v>20686.602652259331</v>
      </c>
      <c r="AM1281" s="118">
        <v>2036</v>
      </c>
      <c r="AN1281" s="118">
        <v>59533</v>
      </c>
      <c r="AO1281" s="118">
        <v>474</v>
      </c>
      <c r="AP1281" s="118">
        <f t="shared" si="19"/>
        <v>1030</v>
      </c>
    </row>
    <row r="1282" spans="1:42" ht="12.75">
      <c r="A1282" s="106">
        <v>2018</v>
      </c>
      <c r="B1282" s="106">
        <v>-119173</v>
      </c>
      <c r="C1282" s="106">
        <v>0</v>
      </c>
      <c r="D1282" s="106">
        <v>119173</v>
      </c>
      <c r="E1282" s="106" t="s">
        <v>2102</v>
      </c>
      <c r="F1282" s="106" t="s">
        <v>152</v>
      </c>
      <c r="G1282" s="106" t="s">
        <v>121</v>
      </c>
      <c r="H1282" s="106">
        <v>6</v>
      </c>
      <c r="I1282" s="106" t="s">
        <v>3640</v>
      </c>
      <c r="J1282" s="106">
        <v>39608</v>
      </c>
      <c r="K1282" s="106">
        <v>29563</v>
      </c>
      <c r="L1282" s="106">
        <v>26468</v>
      </c>
      <c r="M1282" s="106">
        <v>0.66</v>
      </c>
      <c r="N1282" s="106">
        <v>0.98</v>
      </c>
      <c r="O1282" s="106">
        <v>0.99</v>
      </c>
      <c r="P1282" s="106">
        <v>18280</v>
      </c>
      <c r="Q1282" s="106">
        <v>12315.603383458647</v>
      </c>
      <c r="R1282" s="106">
        <v>0.33298787521597023</v>
      </c>
      <c r="S1282" s="106">
        <v>33637.345864661656</v>
      </c>
      <c r="T1282" s="106">
        <v>33393.91766917293</v>
      </c>
      <c r="U1282" s="106">
        <v>27898.636165263779</v>
      </c>
      <c r="V1282" s="106">
        <v>0.88425602857106067</v>
      </c>
      <c r="W1282" s="106">
        <v>87238.311531841653</v>
      </c>
      <c r="X1282" s="110">
        <v>0.57060342614956183</v>
      </c>
      <c r="Y1282" s="106">
        <v>312.91376912378303</v>
      </c>
      <c r="Z1282" s="106">
        <v>11.098748261474269</v>
      </c>
      <c r="AA1282" s="106">
        <v>68904.709563232725</v>
      </c>
      <c r="AB1282" s="106">
        <v>989.53759850125539</v>
      </c>
      <c r="AC1282" s="106">
        <v>1.4512796096793883</v>
      </c>
      <c r="AD1282" s="106">
        <v>38.164422395464207</v>
      </c>
      <c r="AE1282" s="106">
        <v>69.633240482822657</v>
      </c>
      <c r="AF1282" s="106">
        <v>4.051323073780469E-2</v>
      </c>
      <c r="AG1282" s="106">
        <v>38498</v>
      </c>
      <c r="AH1282" s="106">
        <v>30155.35864661654</v>
      </c>
      <c r="AI1282" s="106">
        <v>33789.734586466162</v>
      </c>
      <c r="AJ1282" s="106">
        <v>37084.38834586466</v>
      </c>
      <c r="AK1282" s="104">
        <v>28470.596992481202</v>
      </c>
      <c r="AL1282" s="118"/>
      <c r="AM1282" s="118">
        <v>2602</v>
      </c>
      <c r="AN1282" s="118">
        <v>74995</v>
      </c>
      <c r="AO1282" s="118">
        <v>775</v>
      </c>
      <c r="AP1282" s="118">
        <f t="shared" si="19"/>
        <v>1110</v>
      </c>
    </row>
    <row r="1283" spans="1:42" ht="12.75">
      <c r="A1283" s="106">
        <v>2018</v>
      </c>
      <c r="B1283" s="106">
        <v>-163462</v>
      </c>
      <c r="C1283" s="106">
        <v>0</v>
      </c>
      <c r="D1283" s="106">
        <v>163462</v>
      </c>
      <c r="E1283" s="106" t="s">
        <v>4153</v>
      </c>
      <c r="F1283" s="106" t="s">
        <v>2103</v>
      </c>
      <c r="G1283" s="106" t="s">
        <v>124</v>
      </c>
      <c r="H1283" s="106">
        <v>6</v>
      </c>
      <c r="I1283" s="106" t="s">
        <v>3640</v>
      </c>
      <c r="J1283" s="106">
        <v>40550</v>
      </c>
      <c r="K1283" s="106">
        <v>28548</v>
      </c>
      <c r="L1283" s="106">
        <v>20037</v>
      </c>
      <c r="M1283" s="106">
        <v>0.31</v>
      </c>
      <c r="N1283" s="106">
        <v>0.73</v>
      </c>
      <c r="O1283" s="106">
        <v>1</v>
      </c>
      <c r="P1283" s="106">
        <v>23756</v>
      </c>
      <c r="Q1283" s="106">
        <v>16033.410312913178</v>
      </c>
      <c r="R1283" s="106">
        <v>0.48719776002482978</v>
      </c>
      <c r="S1283" s="106">
        <v>29584.876597620096</v>
      </c>
      <c r="T1283" s="106">
        <v>31526.329660643456</v>
      </c>
      <c r="U1283" s="106">
        <v>21861.376817981491</v>
      </c>
      <c r="V1283" s="106">
        <v>0.77195685365844613</v>
      </c>
      <c r="W1283" s="106">
        <v>89263.49308755761</v>
      </c>
      <c r="X1283" s="110">
        <v>0.54157137181060522</v>
      </c>
      <c r="Y1283" s="106">
        <v>395.06854838709677</v>
      </c>
      <c r="Z1283" s="106">
        <v>13.723790322580644</v>
      </c>
      <c r="AA1283" s="106">
        <v>76785.547987616097</v>
      </c>
      <c r="AB1283" s="106">
        <v>759.4149239107137</v>
      </c>
      <c r="AC1283" s="106">
        <v>1.3023284019035446</v>
      </c>
      <c r="AD1283" s="106">
        <v>31.102551757342322</v>
      </c>
      <c r="AE1283" s="106">
        <v>101.11145510835914</v>
      </c>
      <c r="AF1283" s="106">
        <v>4.1183208553354993E-2</v>
      </c>
      <c r="AG1283" s="106">
        <v>39200</v>
      </c>
      <c r="AH1283" s="106">
        <v>27602.309828118112</v>
      </c>
      <c r="AI1283" s="106">
        <v>29631.681798148966</v>
      </c>
      <c r="AJ1283" s="106">
        <v>30624.910092551785</v>
      </c>
      <c r="AK1283" s="104">
        <v>21861.376817981491</v>
      </c>
      <c r="AM1283" s="118">
        <v>1817</v>
      </c>
      <c r="AN1283" s="118">
        <v>65318</v>
      </c>
      <c r="AO1283" s="118">
        <v>426</v>
      </c>
      <c r="AP1283" s="118">
        <f t="shared" si="19"/>
        <v>1350</v>
      </c>
    </row>
    <row r="1284" spans="1:42" ht="12.75">
      <c r="A1284" s="106">
        <v>2018</v>
      </c>
      <c r="B1284" s="106">
        <v>-204194</v>
      </c>
      <c r="C1284" s="106">
        <v>0</v>
      </c>
      <c r="D1284" s="106">
        <v>204194</v>
      </c>
      <c r="E1284" s="106" t="s">
        <v>2104</v>
      </c>
      <c r="F1284" s="106" t="s">
        <v>444</v>
      </c>
      <c r="G1284" s="106" t="s">
        <v>82</v>
      </c>
      <c r="H1284" s="106">
        <v>6</v>
      </c>
      <c r="I1284" s="106" t="s">
        <v>3640</v>
      </c>
      <c r="J1284" s="106">
        <v>18946</v>
      </c>
      <c r="K1284" s="106">
        <v>20626</v>
      </c>
      <c r="L1284" s="106">
        <v>17667</v>
      </c>
      <c r="M1284" s="106">
        <v>0.37</v>
      </c>
      <c r="N1284" s="106">
        <v>0.76</v>
      </c>
      <c r="O1284" s="106">
        <v>0.97</v>
      </c>
      <c r="P1284" s="106">
        <v>17744</v>
      </c>
      <c r="Q1284" s="106">
        <v>12821.505727376862</v>
      </c>
      <c r="R1284" s="106">
        <v>0.54163773347812916</v>
      </c>
      <c r="S1284" s="106">
        <v>20314.639747995418</v>
      </c>
      <c r="T1284" s="106">
        <v>20266.515463917527</v>
      </c>
      <c r="U1284" s="106">
        <v>15819.41695303551</v>
      </c>
      <c r="V1284" s="106">
        <v>0.68588057609831932</v>
      </c>
      <c r="W1284" s="106">
        <v>41015.29115853658</v>
      </c>
      <c r="X1284" s="110">
        <v>0.50691489830702752</v>
      </c>
      <c r="Y1284" s="106">
        <v>261.40443686006824</v>
      </c>
      <c r="Z1284" s="106">
        <v>8.9385665529010243</v>
      </c>
      <c r="AA1284" s="106">
        <v>53424.955512572531</v>
      </c>
      <c r="AB1284" s="106">
        <v>540.9353910029181</v>
      </c>
      <c r="AC1284" s="106">
        <v>1.8717844318366708</v>
      </c>
      <c r="AD1284" s="106">
        <v>27.543953116675546</v>
      </c>
      <c r="AE1284" s="106">
        <v>98.764023210831724</v>
      </c>
      <c r="AF1284" s="106">
        <v>2.4941665496146705E-2</v>
      </c>
      <c r="AG1284" s="106">
        <v>18696</v>
      </c>
      <c r="AH1284" s="106">
        <v>17042.442726231387</v>
      </c>
      <c r="AI1284" s="106">
        <v>19924.929553264607</v>
      </c>
      <c r="AJ1284" s="106">
        <v>21409.725658648338</v>
      </c>
      <c r="AK1284" s="104">
        <v>16214.531500572737</v>
      </c>
      <c r="AL1284" s="118"/>
      <c r="AM1284" s="118">
        <v>1828</v>
      </c>
      <c r="AN1284" s="118">
        <v>51061</v>
      </c>
      <c r="AO1284" s="118">
        <v>383</v>
      </c>
      <c r="AP1284" s="118">
        <f t="shared" si="19"/>
        <v>250</v>
      </c>
    </row>
    <row r="1285" spans="1:42" ht="12.75">
      <c r="A1285" s="106">
        <v>2018</v>
      </c>
      <c r="B1285" s="106">
        <v>-166957</v>
      </c>
      <c r="C1285" s="106">
        <v>0</v>
      </c>
      <c r="D1285" s="106">
        <v>166957</v>
      </c>
      <c r="E1285" s="106" t="s">
        <v>2105</v>
      </c>
      <c r="F1285" s="106" t="s">
        <v>2106</v>
      </c>
      <c r="G1285" s="106" t="s">
        <v>150</v>
      </c>
      <c r="H1285" s="106">
        <v>4</v>
      </c>
      <c r="I1285" s="106" t="s">
        <v>24</v>
      </c>
      <c r="J1285" s="106">
        <v>5428</v>
      </c>
      <c r="K1285" s="106">
        <v>7574</v>
      </c>
      <c r="L1285" s="106">
        <v>6442</v>
      </c>
      <c r="M1285" s="106">
        <v>0.54</v>
      </c>
      <c r="N1285" s="106">
        <v>0.31</v>
      </c>
      <c r="O1285" s="106">
        <v>0.27</v>
      </c>
      <c r="P1285" s="106">
        <v>1164</v>
      </c>
      <c r="Q1285" s="106">
        <v>317.48420631747302</v>
      </c>
      <c r="R1285" s="106">
        <v>4.7467327758410581E-2</v>
      </c>
      <c r="S1285" s="106">
        <v>19774.048780487807</v>
      </c>
      <c r="T1285" s="106">
        <v>20953.207516993203</v>
      </c>
      <c r="U1285" s="106">
        <v>14965.992375804035</v>
      </c>
      <c r="V1285" s="106">
        <v>0.42569809219863569</v>
      </c>
      <c r="W1285" s="106">
        <v>61681.12522150029</v>
      </c>
      <c r="X1285" s="110">
        <v>0.66423810393609095</v>
      </c>
      <c r="Y1285" s="106">
        <v>382.22750424448219</v>
      </c>
      <c r="Z1285" s="106">
        <v>12.738539898132428</v>
      </c>
      <c r="AA1285" s="106">
        <v>48610.320690760898</v>
      </c>
      <c r="AB1285" s="106">
        <v>498.77334539584632</v>
      </c>
      <c r="AC1285" s="106">
        <v>2.0571763069854931</v>
      </c>
      <c r="AD1285" s="106">
        <v>35.208047553726566</v>
      </c>
      <c r="AE1285" s="106">
        <v>97.459740259740258</v>
      </c>
      <c r="AF1285" s="106">
        <v>1.3913079658310049E-2</v>
      </c>
      <c r="AG1285" s="106">
        <v>600</v>
      </c>
      <c r="AH1285" s="106">
        <v>19163.982007197123</v>
      </c>
      <c r="AI1285" s="106">
        <v>19163.982007197123</v>
      </c>
      <c r="AJ1285" s="106">
        <v>19897.083566573372</v>
      </c>
      <c r="AK1285" s="104">
        <v>16827.40863654538</v>
      </c>
      <c r="AL1285" s="118">
        <v>19826719</v>
      </c>
      <c r="AM1285" s="118">
        <v>3854</v>
      </c>
      <c r="AN1285" s="118">
        <v>75044</v>
      </c>
      <c r="AO1285" s="118">
        <v>535</v>
      </c>
      <c r="AP1285" s="118">
        <f t="shared" si="19"/>
        <v>4828</v>
      </c>
    </row>
    <row r="1286" spans="1:42" ht="12.75">
      <c r="A1286" s="106">
        <v>2018</v>
      </c>
      <c r="B1286" s="106">
        <v>-232788</v>
      </c>
      <c r="C1286" s="106">
        <v>0</v>
      </c>
      <c r="D1286" s="106">
        <v>232788</v>
      </c>
      <c r="E1286" s="106" t="s">
        <v>2107</v>
      </c>
      <c r="F1286" s="106" t="s">
        <v>2108</v>
      </c>
      <c r="G1286" s="106" t="s">
        <v>261</v>
      </c>
      <c r="H1286" s="106">
        <v>4</v>
      </c>
      <c r="I1286" s="106" t="s">
        <v>24</v>
      </c>
      <c r="J1286" s="106">
        <v>4598</v>
      </c>
      <c r="K1286" s="106">
        <v>6688</v>
      </c>
      <c r="L1286" s="106">
        <v>6092</v>
      </c>
      <c r="M1286" s="106">
        <v>0.75</v>
      </c>
      <c r="N1286" s="106">
        <v>0.01</v>
      </c>
      <c r="O1286" s="106">
        <v>0.42</v>
      </c>
      <c r="P1286" s="106">
        <v>1926</v>
      </c>
      <c r="Q1286" s="106">
        <v>419.98455836936381</v>
      </c>
      <c r="R1286" s="106">
        <v>9.0522926980972418E-2</v>
      </c>
      <c r="S1286" s="106">
        <v>12554.348980852377</v>
      </c>
      <c r="T1286" s="106">
        <v>12959.171710932675</v>
      </c>
      <c r="U1286" s="106">
        <v>10078.578283876399</v>
      </c>
      <c r="V1286" s="106">
        <v>0.41866554083251978</v>
      </c>
      <c r="W1286" s="106">
        <v>62451.864603481619</v>
      </c>
      <c r="X1286" s="110">
        <v>0.51296839091594693</v>
      </c>
      <c r="Y1286" s="106">
        <v>732.1356783919598</v>
      </c>
      <c r="Z1286" s="106">
        <v>24.4070351758794</v>
      </c>
      <c r="AA1286" s="106">
        <v>25103.412679378289</v>
      </c>
      <c r="AB1286" s="106">
        <v>335.98719739721793</v>
      </c>
      <c r="AC1286" s="106">
        <v>3.9835221321181975</v>
      </c>
      <c r="AD1286" s="106">
        <v>40.625</v>
      </c>
      <c r="AE1286" s="106">
        <v>74.715384615384622</v>
      </c>
      <c r="AF1286" s="106">
        <v>-2.2128168287558654E-2</v>
      </c>
      <c r="AG1286" s="106">
        <v>4253</v>
      </c>
      <c r="AH1286" s="106">
        <v>11778.203211859172</v>
      </c>
      <c r="AI1286" s="106">
        <v>12065.01482396541</v>
      </c>
      <c r="AJ1286" s="106">
        <v>12564.210623841878</v>
      </c>
      <c r="AK1286" s="104">
        <v>11559.584928968499</v>
      </c>
      <c r="AL1286" s="119">
        <v>8292336</v>
      </c>
      <c r="AM1286" s="118">
        <v>2684</v>
      </c>
      <c r="AN1286" s="118">
        <v>48565</v>
      </c>
      <c r="AO1286" s="118">
        <v>293</v>
      </c>
      <c r="AP1286" s="118">
        <f t="shared" ref="AP1286:AP1349" si="20">J1286-AG1286</f>
        <v>345</v>
      </c>
    </row>
    <row r="1287" spans="1:42" ht="12.75">
      <c r="A1287" s="106">
        <v>2018</v>
      </c>
      <c r="B1287" s="106">
        <v>-226930</v>
      </c>
      <c r="C1287" s="106">
        <v>0</v>
      </c>
      <c r="D1287" s="106">
        <v>226930</v>
      </c>
      <c r="E1287" s="106" t="s">
        <v>2109</v>
      </c>
      <c r="F1287" s="106" t="s">
        <v>992</v>
      </c>
      <c r="G1287" s="106" t="s">
        <v>60</v>
      </c>
      <c r="H1287" s="106">
        <v>4</v>
      </c>
      <c r="I1287" s="106" t="s">
        <v>24</v>
      </c>
      <c r="J1287" s="106">
        <v>1770</v>
      </c>
      <c r="K1287" s="106">
        <v>4430</v>
      </c>
      <c r="L1287" s="106">
        <v>3996</v>
      </c>
      <c r="M1287" s="106">
        <v>0.55000000000000004</v>
      </c>
      <c r="N1287" s="106">
        <v>7.0000000000000007E-2</v>
      </c>
      <c r="O1287" s="106">
        <v>0.03</v>
      </c>
      <c r="P1287" s="106">
        <v>969</v>
      </c>
      <c r="Q1287" s="106">
        <v>109.74258997882851</v>
      </c>
      <c r="R1287" s="106">
        <v>5.5870151373357831E-2</v>
      </c>
      <c r="S1287" s="106">
        <v>10268.781933662667</v>
      </c>
      <c r="T1287" s="106">
        <v>9192.4721242060696</v>
      </c>
      <c r="U1287" s="106">
        <v>7442.6614339044272</v>
      </c>
      <c r="V1287" s="106">
        <v>0.24917176134419164</v>
      </c>
      <c r="W1287" s="106">
        <v>70411.752655538687</v>
      </c>
      <c r="X1287" s="110">
        <v>0.59371380482004354</v>
      </c>
      <c r="Y1287" s="106">
        <v>979.11708253358915</v>
      </c>
      <c r="Z1287" s="106">
        <v>32.637236084452972</v>
      </c>
      <c r="AA1287" s="106">
        <v>30680.003641723848</v>
      </c>
      <c r="AB1287" s="106">
        <v>248.0887144634809</v>
      </c>
      <c r="AC1287" s="106">
        <v>3.2594520250969956</v>
      </c>
      <c r="AD1287" s="106">
        <v>30.781284978732931</v>
      </c>
      <c r="AE1287" s="106">
        <v>123.66545454545455</v>
      </c>
      <c r="AF1287" s="106">
        <v>0.13382804574140617</v>
      </c>
      <c r="AG1287" s="106">
        <v>1770</v>
      </c>
      <c r="AH1287" s="106">
        <v>9071.5709244883565</v>
      </c>
      <c r="AI1287" s="106">
        <v>9072.4528934368391</v>
      </c>
      <c r="AJ1287" s="106">
        <v>10271.383203952011</v>
      </c>
      <c r="AK1287" s="104">
        <v>8886.7994001411425</v>
      </c>
      <c r="AL1287" s="119">
        <v>38081938</v>
      </c>
      <c r="AM1287" s="118">
        <v>10220</v>
      </c>
      <c r="AN1287" s="118">
        <v>170040</v>
      </c>
      <c r="AO1287" s="118">
        <v>997</v>
      </c>
      <c r="AP1287" s="118">
        <f t="shared" si="20"/>
        <v>0</v>
      </c>
    </row>
    <row r="1288" spans="1:42" ht="12.75">
      <c r="A1288" s="106">
        <v>2018</v>
      </c>
      <c r="B1288" s="106">
        <v>-444954</v>
      </c>
      <c r="C1288" s="106">
        <v>0</v>
      </c>
      <c r="D1288" s="106">
        <v>444954</v>
      </c>
      <c r="E1288" s="106" t="s">
        <v>2110</v>
      </c>
      <c r="F1288" s="106" t="s">
        <v>1534</v>
      </c>
      <c r="G1288" s="106" t="s">
        <v>110</v>
      </c>
      <c r="H1288" s="106">
        <v>4</v>
      </c>
      <c r="I1288" s="106" t="s">
        <v>24</v>
      </c>
      <c r="J1288" s="106">
        <v>3744</v>
      </c>
      <c r="K1288" s="106">
        <v>7593</v>
      </c>
      <c r="L1288" s="106">
        <v>7875</v>
      </c>
      <c r="M1288" s="106">
        <v>0.62</v>
      </c>
      <c r="N1288" s="106">
        <v>0.4</v>
      </c>
      <c r="O1288" s="106">
        <v>0.15</v>
      </c>
      <c r="P1288" s="106">
        <v>1715</v>
      </c>
      <c r="Q1288" s="106">
        <v>752.51253687315636</v>
      </c>
      <c r="R1288" s="106">
        <v>0.14922417561301191</v>
      </c>
      <c r="S1288" s="106">
        <v>11948.402654867257</v>
      </c>
      <c r="T1288" s="106">
        <v>10978.170353982301</v>
      </c>
      <c r="U1288" s="106">
        <v>9662.9660766961661</v>
      </c>
      <c r="V1288" s="106">
        <v>0.44399618346419156</v>
      </c>
      <c r="W1288" s="106">
        <v>61747.31590909091</v>
      </c>
      <c r="X1288" s="110">
        <v>0.60835887846348868</v>
      </c>
      <c r="Y1288" s="106">
        <v>453.69144981412637</v>
      </c>
      <c r="Z1288" s="106">
        <v>15.122676579925649</v>
      </c>
      <c r="AA1288" s="106">
        <v>14320.198907103824</v>
      </c>
      <c r="AB1288" s="106">
        <v>322.09095154986358</v>
      </c>
      <c r="AC1288" s="106">
        <v>6.9831432264808111</v>
      </c>
      <c r="AD1288" s="106">
        <v>66.885964912280699</v>
      </c>
      <c r="AE1288" s="106">
        <v>44.460109289617485</v>
      </c>
      <c r="AF1288" s="106">
        <v>6.0591265712046233E-2</v>
      </c>
      <c r="AG1288" s="106">
        <v>3744</v>
      </c>
      <c r="AH1288" s="106">
        <v>11541.568584070796</v>
      </c>
      <c r="AI1288" s="106">
        <v>11541.568584070796</v>
      </c>
      <c r="AJ1288" s="106">
        <v>12030.762536873157</v>
      </c>
      <c r="AK1288" s="104">
        <v>10721.000737463128</v>
      </c>
      <c r="AL1288" s="118">
        <v>5314947</v>
      </c>
      <c r="AM1288" s="118">
        <v>1914</v>
      </c>
      <c r="AN1288" s="118">
        <v>40681</v>
      </c>
      <c r="AO1288" s="118">
        <v>339</v>
      </c>
      <c r="AP1288" s="118">
        <f t="shared" si="20"/>
        <v>0</v>
      </c>
    </row>
    <row r="1289" spans="1:42" ht="12.75">
      <c r="A1289" s="106">
        <v>2018</v>
      </c>
      <c r="B1289" s="106">
        <v>-209250</v>
      </c>
      <c r="C1289" s="106">
        <v>0</v>
      </c>
      <c r="D1289" s="106">
        <v>209250</v>
      </c>
      <c r="E1289" s="106" t="s">
        <v>2111</v>
      </c>
      <c r="F1289" s="106" t="s">
        <v>2112</v>
      </c>
      <c r="G1289" s="106" t="s">
        <v>405</v>
      </c>
      <c r="H1289" s="106">
        <v>4</v>
      </c>
      <c r="I1289" s="106" t="s">
        <v>24</v>
      </c>
      <c r="J1289" s="106">
        <v>5126</v>
      </c>
      <c r="K1289" s="106">
        <v>6676</v>
      </c>
      <c r="L1289" s="106">
        <v>5905</v>
      </c>
      <c r="M1289" s="106">
        <v>0.47</v>
      </c>
      <c r="N1289" s="106">
        <v>0.2</v>
      </c>
      <c r="O1289" s="106">
        <v>0.11</v>
      </c>
      <c r="P1289" s="106">
        <v>2202</v>
      </c>
      <c r="Q1289" s="106">
        <v>110.36501377410468</v>
      </c>
      <c r="R1289" s="106">
        <v>2.6168605837926108E-2</v>
      </c>
      <c r="S1289" s="106">
        <v>18264.807162534435</v>
      </c>
      <c r="T1289" s="106">
        <v>17503.443526170799</v>
      </c>
      <c r="U1289" s="106">
        <v>11137.007585751144</v>
      </c>
      <c r="V1289" s="106">
        <v>0.36877892308940546</v>
      </c>
      <c r="W1289" s="106">
        <v>112729.53736654804</v>
      </c>
      <c r="X1289" s="110">
        <v>0.62319496360417082</v>
      </c>
      <c r="Y1289" s="106">
        <v>996.34688691232532</v>
      </c>
      <c r="Z1289" s="106">
        <v>22.139771283354513</v>
      </c>
      <c r="AA1289" s="106">
        <v>33001.908192878895</v>
      </c>
      <c r="AB1289" s="106">
        <v>247.47485435884317</v>
      </c>
      <c r="AC1289" s="106">
        <v>3.0301278161114893</v>
      </c>
      <c r="AD1289" s="106">
        <v>39.254956939715605</v>
      </c>
      <c r="AE1289" s="106">
        <v>133.3545918367347</v>
      </c>
      <c r="AF1289" s="106">
        <v>-0.23392181588902899</v>
      </c>
      <c r="AG1289" s="106">
        <v>4500</v>
      </c>
      <c r="AH1289" s="106">
        <v>17776.85950413223</v>
      </c>
      <c r="AI1289" s="106">
        <v>17776.85950413223</v>
      </c>
      <c r="AJ1289" s="106">
        <v>18333.677685950413</v>
      </c>
      <c r="AK1289" s="104">
        <v>17241.735537190081</v>
      </c>
      <c r="AL1289" s="118">
        <v>47057000</v>
      </c>
      <c r="AM1289" s="118">
        <v>8680</v>
      </c>
      <c r="AN1289" s="118">
        <v>261375</v>
      </c>
      <c r="AO1289" s="118">
        <v>1546</v>
      </c>
      <c r="AP1289" s="118">
        <f t="shared" si="20"/>
        <v>626</v>
      </c>
    </row>
    <row r="1290" spans="1:42" ht="12.75">
      <c r="A1290" s="106">
        <v>2018</v>
      </c>
      <c r="B1290" s="106">
        <v>-119164</v>
      </c>
      <c r="C1290" s="106">
        <v>0</v>
      </c>
      <c r="D1290" s="106">
        <v>119164</v>
      </c>
      <c r="E1290" s="106" t="s">
        <v>2113</v>
      </c>
      <c r="F1290" s="106" t="s">
        <v>2114</v>
      </c>
      <c r="G1290" s="106" t="s">
        <v>121</v>
      </c>
      <c r="H1290" s="106">
        <v>4</v>
      </c>
      <c r="I1290" s="106" t="s">
        <v>24</v>
      </c>
      <c r="J1290" s="106">
        <v>1349</v>
      </c>
      <c r="K1290" s="106">
        <v>4484</v>
      </c>
      <c r="L1290" s="106">
        <v>1816</v>
      </c>
      <c r="M1290" s="106">
        <v>0.47</v>
      </c>
      <c r="N1290" s="106">
        <v>0</v>
      </c>
      <c r="O1290" s="106">
        <v>0.05</v>
      </c>
      <c r="P1290" s="106">
        <v>931</v>
      </c>
      <c r="Q1290" s="106">
        <v>1057.4021184216804</v>
      </c>
      <c r="R1290" s="106">
        <v>0.54540159217137085</v>
      </c>
      <c r="S1290" s="106">
        <v>14979.306884870461</v>
      </c>
      <c r="T1290" s="106">
        <v>16536.227062359845</v>
      </c>
      <c r="U1290" s="106">
        <v>9857.0330684261189</v>
      </c>
      <c r="V1290" s="106">
        <v>8.9413989237615329E-2</v>
      </c>
      <c r="W1290" s="106">
        <v>155107.51693667157</v>
      </c>
      <c r="X1290" s="110">
        <v>0.60775092800844643</v>
      </c>
      <c r="Y1290" s="106">
        <v>907.32178932178931</v>
      </c>
      <c r="Z1290" s="106">
        <v>30.243867243867243</v>
      </c>
      <c r="AA1290" s="106">
        <v>53688.554075141117</v>
      </c>
      <c r="AB1290" s="106">
        <v>328.56567873535329</v>
      </c>
      <c r="AC1290" s="106">
        <v>1.8625943969368697</v>
      </c>
      <c r="AD1290" s="106">
        <v>22.835440033232448</v>
      </c>
      <c r="AE1290" s="106">
        <v>163.40280665280665</v>
      </c>
      <c r="AF1290" s="106">
        <v>0.62234882645289091</v>
      </c>
      <c r="AG1290" s="106">
        <v>1288</v>
      </c>
      <c r="AH1290" s="106">
        <v>12922.122811202824</v>
      </c>
      <c r="AI1290" s="106">
        <v>12922.122811202824</v>
      </c>
      <c r="AJ1290" s="106">
        <v>15123.55432033971</v>
      </c>
      <c r="AK1290" s="104">
        <v>12375.395009303878</v>
      </c>
      <c r="AL1290" s="118">
        <v>188927991</v>
      </c>
      <c r="AM1290" s="118">
        <v>29960</v>
      </c>
      <c r="AN1290" s="118">
        <v>628774</v>
      </c>
      <c r="AO1290" s="118">
        <v>2603</v>
      </c>
      <c r="AP1290" s="118">
        <f t="shared" si="20"/>
        <v>61</v>
      </c>
    </row>
    <row r="1291" spans="1:42" ht="12.75">
      <c r="A1291" s="106">
        <v>2018</v>
      </c>
      <c r="B1291" s="106">
        <v>-119216</v>
      </c>
      <c r="C1291" s="106">
        <v>0</v>
      </c>
      <c r="D1291" s="106">
        <v>119216</v>
      </c>
      <c r="E1291" s="106" t="s">
        <v>2115</v>
      </c>
      <c r="F1291" s="106" t="s">
        <v>2116</v>
      </c>
      <c r="G1291" s="106" t="s">
        <v>121</v>
      </c>
      <c r="H1291" s="106">
        <v>4</v>
      </c>
      <c r="I1291" s="106" t="s">
        <v>24</v>
      </c>
      <c r="J1291" s="106">
        <v>1386</v>
      </c>
      <c r="K1291" s="106">
        <v>6557</v>
      </c>
      <c r="L1291" s="106">
        <v>4099</v>
      </c>
      <c r="M1291" s="106">
        <v>0.51</v>
      </c>
      <c r="N1291" s="106">
        <v>0</v>
      </c>
      <c r="O1291" s="106">
        <v>0</v>
      </c>
      <c r="P1291" s="106"/>
      <c r="Q1291" s="106">
        <v>1371.3940829546552</v>
      </c>
      <c r="R1291" s="106">
        <v>0.81659328109690843</v>
      </c>
      <c r="S1291" s="106">
        <v>12285.813593734892</v>
      </c>
      <c r="T1291" s="106">
        <v>13643.375132940153</v>
      </c>
      <c r="U1291" s="106">
        <v>9621.4602061483929</v>
      </c>
      <c r="V1291" s="106">
        <v>3.2013320504124594E-2</v>
      </c>
      <c r="W1291" s="106">
        <v>106291.97891566265</v>
      </c>
      <c r="X1291" s="110">
        <v>0.5835082712078381</v>
      </c>
      <c r="Y1291" s="106">
        <v>759.91102040816315</v>
      </c>
      <c r="Z1291" s="106">
        <v>25.329795918367346</v>
      </c>
      <c r="AA1291" s="106">
        <v>39225.369693414592</v>
      </c>
      <c r="AB1291" s="106">
        <v>320.70810517727472</v>
      </c>
      <c r="AC1291" s="106">
        <v>2.5493704911285677</v>
      </c>
      <c r="AD1291" s="106">
        <v>27.84546153001866</v>
      </c>
      <c r="AE1291" s="106">
        <v>122.30863224280647</v>
      </c>
      <c r="AF1291" s="106">
        <v>1.1444652539646334E-2</v>
      </c>
      <c r="AG1291" s="106">
        <v>1380</v>
      </c>
      <c r="AH1291" s="106">
        <v>10093.884172870541</v>
      </c>
      <c r="AI1291" s="106">
        <v>10093.884269554288</v>
      </c>
      <c r="AJ1291" s="106">
        <v>12451.228367011505</v>
      </c>
      <c r="AK1291" s="104">
        <v>12594.812626897419</v>
      </c>
      <c r="AL1291" s="118">
        <v>70296612</v>
      </c>
      <c r="AM1291" s="118">
        <v>15718</v>
      </c>
      <c r="AN1291" s="118">
        <v>310297</v>
      </c>
      <c r="AO1291" s="118">
        <v>2396</v>
      </c>
      <c r="AP1291" s="118">
        <f t="shared" si="20"/>
        <v>6</v>
      </c>
    </row>
    <row r="1292" spans="1:42" ht="12.75">
      <c r="A1292" s="106">
        <v>2018</v>
      </c>
      <c r="B1292" s="106">
        <v>-214175</v>
      </c>
      <c r="C1292" s="106">
        <v>0</v>
      </c>
      <c r="D1292" s="106">
        <v>214175</v>
      </c>
      <c r="E1292" s="106" t="s">
        <v>2117</v>
      </c>
      <c r="F1292" s="106" t="s">
        <v>639</v>
      </c>
      <c r="G1292" s="106" t="s">
        <v>104</v>
      </c>
      <c r="H1292" s="106">
        <v>7</v>
      </c>
      <c r="I1292" s="106" t="s">
        <v>3641</v>
      </c>
      <c r="J1292" s="106">
        <v>50830</v>
      </c>
      <c r="K1292" s="106">
        <v>36541</v>
      </c>
      <c r="L1292" s="106">
        <v>15313</v>
      </c>
      <c r="M1292" s="106">
        <v>0.16</v>
      </c>
      <c r="N1292" s="106">
        <v>0.55000000000000004</v>
      </c>
      <c r="O1292" s="106">
        <v>0.88</v>
      </c>
      <c r="P1292" s="106">
        <v>27150</v>
      </c>
      <c r="Q1292" s="106">
        <v>17856.4899103139</v>
      </c>
      <c r="R1292" s="106">
        <v>0.42391511535752796</v>
      </c>
      <c r="S1292" s="106">
        <v>37607.289985052317</v>
      </c>
      <c r="T1292" s="106">
        <v>38452.392376681615</v>
      </c>
      <c r="U1292" s="106">
        <v>30312.238968440211</v>
      </c>
      <c r="V1292" s="106">
        <v>0.80054482544416083</v>
      </c>
      <c r="W1292" s="106">
        <v>90856.497622820913</v>
      </c>
      <c r="X1292" s="110">
        <v>0.55715479982905891</v>
      </c>
      <c r="Y1292" s="106">
        <v>286.68928571428569</v>
      </c>
      <c r="Z1292" s="106">
        <v>9.5571428571428569</v>
      </c>
      <c r="AA1292" s="106">
        <v>137951.61816249322</v>
      </c>
      <c r="AB1292" s="106">
        <v>1010.4960756362166</v>
      </c>
      <c r="AC1292" s="106">
        <v>0.7248918231768039</v>
      </c>
      <c r="AD1292" s="106">
        <v>25.41054451166811</v>
      </c>
      <c r="AE1292" s="106">
        <v>136.51870748299319</v>
      </c>
      <c r="AF1292" s="106">
        <v>4.1537627236445454E-2</v>
      </c>
      <c r="AG1292" s="106">
        <v>50095</v>
      </c>
      <c r="AH1292" s="106">
        <v>35460.051195814645</v>
      </c>
      <c r="AI1292" s="106">
        <v>37607.289985052317</v>
      </c>
      <c r="AJ1292" s="106">
        <v>42875.42077727952</v>
      </c>
      <c r="AK1292" s="104">
        <v>30735.720104633783</v>
      </c>
      <c r="AL1292" s="118"/>
      <c r="AM1292" s="118">
        <v>2367</v>
      </c>
      <c r="AN1292" s="118">
        <v>80273</v>
      </c>
      <c r="AO1292" s="118">
        <v>578</v>
      </c>
      <c r="AP1292" s="118">
        <f t="shared" si="20"/>
        <v>735</v>
      </c>
    </row>
    <row r="1293" spans="1:42" ht="12.75">
      <c r="A1293" s="106">
        <v>2018</v>
      </c>
      <c r="B1293" s="106">
        <v>-207236</v>
      </c>
      <c r="C1293" s="106">
        <v>0</v>
      </c>
      <c r="D1293" s="106">
        <v>207236</v>
      </c>
      <c r="E1293" s="106" t="s">
        <v>2118</v>
      </c>
      <c r="F1293" s="106" t="s">
        <v>2119</v>
      </c>
      <c r="G1293" s="106" t="s">
        <v>271</v>
      </c>
      <c r="H1293" s="106">
        <v>4</v>
      </c>
      <c r="I1293" s="106" t="s">
        <v>24</v>
      </c>
      <c r="J1293" s="106">
        <v>5050</v>
      </c>
      <c r="K1293" s="106">
        <v>11109</v>
      </c>
      <c r="L1293" s="106">
        <v>10530</v>
      </c>
      <c r="M1293" s="106">
        <v>0.47</v>
      </c>
      <c r="N1293" s="106">
        <v>0.66</v>
      </c>
      <c r="O1293" s="106">
        <v>0.32</v>
      </c>
      <c r="P1293" s="106">
        <v>3962</v>
      </c>
      <c r="Q1293" s="106">
        <v>2672.3173770491803</v>
      </c>
      <c r="R1293" s="106">
        <v>0.37536021707664047</v>
      </c>
      <c r="S1293" s="106">
        <v>17574.826229508195</v>
      </c>
      <c r="T1293" s="106">
        <v>14758.824918032788</v>
      </c>
      <c r="U1293" s="106">
        <v>10543.938051255893</v>
      </c>
      <c r="V1293" s="106">
        <v>0.42176116598368013</v>
      </c>
      <c r="W1293" s="106">
        <v>65096.620450606584</v>
      </c>
      <c r="X1293" s="110">
        <v>0.55627734901636849</v>
      </c>
      <c r="Y1293" s="106">
        <v>562.61065573770497</v>
      </c>
      <c r="Z1293" s="106">
        <v>18.75</v>
      </c>
      <c r="AA1293" s="106">
        <v>39702.482785593173</v>
      </c>
      <c r="AB1293" s="106">
        <v>351.39547472989437</v>
      </c>
      <c r="AC1293" s="106">
        <v>2.5187341693473879</v>
      </c>
      <c r="AD1293" s="106">
        <v>27.254374158815615</v>
      </c>
      <c r="AE1293" s="106">
        <v>112.98518518518519</v>
      </c>
      <c r="AF1293" s="106">
        <v>0.309538684370182</v>
      </c>
      <c r="AG1293" s="106">
        <v>3920</v>
      </c>
      <c r="AH1293" s="106">
        <v>16313.551475409837</v>
      </c>
      <c r="AI1293" s="106">
        <v>16313.551475409837</v>
      </c>
      <c r="AJ1293" s="106">
        <v>22611.611147540985</v>
      </c>
      <c r="AK1293" s="104">
        <v>12249.824918032788</v>
      </c>
      <c r="AL1293" s="119">
        <v>4593462</v>
      </c>
      <c r="AM1293" s="118">
        <v>2292</v>
      </c>
      <c r="AN1293" s="118">
        <v>45759</v>
      </c>
      <c r="AO1293" s="118">
        <v>405</v>
      </c>
      <c r="AP1293" s="118">
        <f t="shared" si="20"/>
        <v>1130</v>
      </c>
    </row>
    <row r="1294" spans="1:42" ht="12.75">
      <c r="A1294" s="106">
        <v>2018</v>
      </c>
      <c r="B1294" s="106">
        <v>-157401</v>
      </c>
      <c r="C1294" s="106">
        <v>0</v>
      </c>
      <c r="D1294" s="106">
        <v>157401</v>
      </c>
      <c r="E1294" s="106" t="s">
        <v>2120</v>
      </c>
      <c r="F1294" s="106" t="s">
        <v>2121</v>
      </c>
      <c r="G1294" s="106" t="s">
        <v>118</v>
      </c>
      <c r="H1294" s="106">
        <v>2</v>
      </c>
      <c r="I1294" s="106" t="s">
        <v>25</v>
      </c>
      <c r="J1294" s="106">
        <v>8820</v>
      </c>
      <c r="K1294" s="106">
        <v>12270</v>
      </c>
      <c r="L1294" s="106">
        <v>9469</v>
      </c>
      <c r="M1294" s="106">
        <v>0.36</v>
      </c>
      <c r="N1294" s="106">
        <v>0.56999999999999995</v>
      </c>
      <c r="O1294" s="106">
        <v>0.68</v>
      </c>
      <c r="P1294" s="106">
        <v>6784</v>
      </c>
      <c r="Q1294" s="106">
        <v>5399.3693003391536</v>
      </c>
      <c r="R1294" s="106">
        <v>0.36123298190743275</v>
      </c>
      <c r="S1294" s="106">
        <v>23682.594272076371</v>
      </c>
      <c r="T1294" s="106">
        <v>23670.840346690115</v>
      </c>
      <c r="U1294" s="106">
        <v>15290.621625825586</v>
      </c>
      <c r="V1294" s="106">
        <v>0.6244144991045445</v>
      </c>
      <c r="W1294" s="106">
        <v>75502.470671378091</v>
      </c>
      <c r="X1294" s="110">
        <v>0.56693896039747926</v>
      </c>
      <c r="Y1294" s="106">
        <v>455.17025440313114</v>
      </c>
      <c r="Z1294" s="106">
        <v>15.579256360078277</v>
      </c>
      <c r="AA1294" s="106">
        <v>52514.51197722066</v>
      </c>
      <c r="AB1294" s="106">
        <v>523.35694591042466</v>
      </c>
      <c r="AC1294" s="106">
        <v>1.9042355386141114</v>
      </c>
      <c r="AD1294" s="106">
        <v>28.107190493512789</v>
      </c>
      <c r="AE1294" s="106">
        <v>100.34167385677308</v>
      </c>
      <c r="AF1294" s="106">
        <v>0.18297539630012166</v>
      </c>
      <c r="AG1294" s="106">
        <v>7656</v>
      </c>
      <c r="AH1294" s="106">
        <v>23114.284386383621</v>
      </c>
      <c r="AI1294" s="106">
        <v>23286.311769878157</v>
      </c>
      <c r="AJ1294" s="106">
        <v>24083.502700665744</v>
      </c>
      <c r="AK1294" s="104">
        <v>18817.552066323326</v>
      </c>
      <c r="AL1294" s="118">
        <v>45344100</v>
      </c>
      <c r="AM1294" s="118">
        <v>8559</v>
      </c>
      <c r="AN1294" s="118">
        <v>232592</v>
      </c>
      <c r="AO1294" s="118">
        <v>1704</v>
      </c>
      <c r="AP1294" s="118">
        <f t="shared" si="20"/>
        <v>1164</v>
      </c>
    </row>
    <row r="1295" spans="1:42" ht="12.75">
      <c r="A1295" s="106">
        <v>2018</v>
      </c>
      <c r="B1295" s="106">
        <v>-171304</v>
      </c>
      <c r="C1295" s="106">
        <v>0</v>
      </c>
      <c r="D1295" s="106">
        <v>171304</v>
      </c>
      <c r="E1295" s="106" t="s">
        <v>2122</v>
      </c>
      <c r="F1295" s="106" t="s">
        <v>274</v>
      </c>
      <c r="G1295" s="106" t="s">
        <v>74</v>
      </c>
      <c r="H1295" s="106">
        <v>4</v>
      </c>
      <c r="I1295" s="106" t="s">
        <v>24</v>
      </c>
      <c r="J1295" s="106">
        <v>5550</v>
      </c>
      <c r="K1295" s="106">
        <v>3637</v>
      </c>
      <c r="L1295" s="106">
        <v>4737</v>
      </c>
      <c r="M1295" s="106">
        <v>0.5</v>
      </c>
      <c r="N1295" s="106">
        <v>0.09</v>
      </c>
      <c r="O1295" s="106">
        <v>0.13</v>
      </c>
      <c r="P1295" s="106">
        <v>1201</v>
      </c>
      <c r="Q1295" s="106">
        <v>838.07248819959545</v>
      </c>
      <c r="R1295" s="106">
        <v>0.15041095326756709</v>
      </c>
      <c r="S1295" s="106">
        <v>16478.937289278489</v>
      </c>
      <c r="T1295" s="106">
        <v>16270.871544167228</v>
      </c>
      <c r="U1295" s="106">
        <v>13545.322717423322</v>
      </c>
      <c r="V1295" s="106">
        <v>0.34947947005358476</v>
      </c>
      <c r="W1295" s="106">
        <v>90377.955932203389</v>
      </c>
      <c r="X1295" s="110">
        <v>0.55246219881906955</v>
      </c>
      <c r="Y1295" s="106">
        <v>568.1730337078651</v>
      </c>
      <c r="Z1295" s="106">
        <v>19.995505617977528</v>
      </c>
      <c r="AA1295" s="106">
        <v>61243.029237618248</v>
      </c>
      <c r="AB1295" s="106">
        <v>476.69558466376645</v>
      </c>
      <c r="AC1295" s="106">
        <v>1.6328388919497709</v>
      </c>
      <c r="AD1295" s="106">
        <v>26.929392446633827</v>
      </c>
      <c r="AE1295" s="106">
        <v>128.47408536585365</v>
      </c>
      <c r="AF1295" s="106">
        <v>0.3743126379082613</v>
      </c>
      <c r="AG1295" s="106">
        <v>4200</v>
      </c>
      <c r="AH1295" s="106">
        <v>14422.992245448415</v>
      </c>
      <c r="AI1295" s="106">
        <v>15016.917060013486</v>
      </c>
      <c r="AJ1295" s="106">
        <v>16537.166217127444</v>
      </c>
      <c r="AK1295" s="104">
        <v>15862.565407956845</v>
      </c>
      <c r="AL1295" s="118">
        <v>23052641</v>
      </c>
      <c r="AM1295" s="118">
        <v>4311</v>
      </c>
      <c r="AN1295" s="118">
        <v>84279</v>
      </c>
      <c r="AO1295" s="118">
        <v>535</v>
      </c>
      <c r="AP1295" s="118">
        <f t="shared" si="20"/>
        <v>1350</v>
      </c>
    </row>
    <row r="1296" spans="1:42" ht="12.75">
      <c r="A1296" s="106">
        <v>2018</v>
      </c>
      <c r="B1296" s="106">
        <v>-204264</v>
      </c>
      <c r="C1296" s="106">
        <v>0</v>
      </c>
      <c r="D1296" s="106">
        <v>204264</v>
      </c>
      <c r="E1296" s="106" t="s">
        <v>2123</v>
      </c>
      <c r="F1296" s="106" t="s">
        <v>2124</v>
      </c>
      <c r="G1296" s="106" t="s">
        <v>82</v>
      </c>
      <c r="H1296" s="106">
        <v>6</v>
      </c>
      <c r="I1296" s="106" t="s">
        <v>3640</v>
      </c>
      <c r="J1296" s="106">
        <v>27646</v>
      </c>
      <c r="K1296" s="106">
        <v>19050</v>
      </c>
      <c r="L1296" s="106">
        <v>14747</v>
      </c>
      <c r="M1296" s="106">
        <v>0.5</v>
      </c>
      <c r="N1296" s="106">
        <v>0.92</v>
      </c>
      <c r="O1296" s="106">
        <v>0.98</v>
      </c>
      <c r="P1296" s="106">
        <v>17670</v>
      </c>
      <c r="Q1296" s="106">
        <v>11373.778473804101</v>
      </c>
      <c r="R1296" s="106">
        <v>0.50127496312850861</v>
      </c>
      <c r="S1296" s="106">
        <v>19782.165148063781</v>
      </c>
      <c r="T1296" s="106">
        <v>22133.441913439634</v>
      </c>
      <c r="U1296" s="106">
        <v>18186.582342710706</v>
      </c>
      <c r="V1296" s="106">
        <v>0.62221264001458598</v>
      </c>
      <c r="W1296" s="106">
        <v>69083.546583850926</v>
      </c>
      <c r="X1296" s="110">
        <v>0.57234386251707259</v>
      </c>
      <c r="Y1296" s="106">
        <v>393.62176165803112</v>
      </c>
      <c r="Z1296" s="106">
        <v>13.647668393782384</v>
      </c>
      <c r="AA1296" s="106">
        <v>71444.381641610744</v>
      </c>
      <c r="AB1296" s="106">
        <v>630.56586095249384</v>
      </c>
      <c r="AC1296" s="106">
        <v>1.3996901883990531</v>
      </c>
      <c r="AD1296" s="106">
        <v>23.852721451440768</v>
      </c>
      <c r="AE1296" s="106">
        <v>113.30201342281879</v>
      </c>
      <c r="AF1296" s="106">
        <v>1.1871632856212526E-2</v>
      </c>
      <c r="AG1296" s="106">
        <v>26900</v>
      </c>
      <c r="AH1296" s="106">
        <v>17811.042141230068</v>
      </c>
      <c r="AI1296" s="106">
        <v>19782.165148063781</v>
      </c>
      <c r="AJ1296" s="106">
        <v>23022.390660592257</v>
      </c>
      <c r="AK1296" s="104">
        <v>18571.306378132118</v>
      </c>
      <c r="AL1296" s="118"/>
      <c r="AM1296" s="118">
        <v>1558</v>
      </c>
      <c r="AN1296" s="118">
        <v>50646</v>
      </c>
      <c r="AO1296" s="118">
        <v>343</v>
      </c>
      <c r="AP1296" s="118">
        <f t="shared" si="20"/>
        <v>746</v>
      </c>
    </row>
    <row r="1297" spans="1:42" ht="12.75">
      <c r="A1297" s="106">
        <v>2018</v>
      </c>
      <c r="B1297" s="106">
        <v>-119331</v>
      </c>
      <c r="C1297" s="106">
        <v>0</v>
      </c>
      <c r="D1297" s="106">
        <v>119331</v>
      </c>
      <c r="E1297" s="106" t="s">
        <v>2126</v>
      </c>
      <c r="F1297" s="106" t="s">
        <v>2127</v>
      </c>
      <c r="G1297" s="106" t="s">
        <v>121</v>
      </c>
      <c r="H1297" s="106">
        <v>4</v>
      </c>
      <c r="I1297" s="106" t="s">
        <v>24</v>
      </c>
      <c r="J1297" s="106">
        <v>1142</v>
      </c>
      <c r="K1297" s="106">
        <v>12735</v>
      </c>
      <c r="L1297" s="106">
        <v>9339</v>
      </c>
      <c r="M1297" s="106">
        <v>0.39</v>
      </c>
      <c r="N1297" s="106">
        <v>0.01</v>
      </c>
      <c r="O1297" s="106">
        <v>0.14000000000000001</v>
      </c>
      <c r="P1297" s="106">
        <v>398</v>
      </c>
      <c r="Q1297" s="106"/>
      <c r="R1297" s="106"/>
      <c r="S1297" s="106">
        <v>14293.611266887587</v>
      </c>
      <c r="T1297" s="106">
        <v>18319.387713484579</v>
      </c>
      <c r="U1297" s="106">
        <v>11768.287123919898</v>
      </c>
      <c r="V1297" s="106">
        <v>0.14741814319991126</v>
      </c>
      <c r="W1297" s="106">
        <v>123284.92132867133</v>
      </c>
      <c r="X1297" s="110">
        <v>0.6541622368376856</v>
      </c>
      <c r="Y1297" s="106">
        <v>616.13612565445021</v>
      </c>
      <c r="Z1297" s="106">
        <v>20.539267015706805</v>
      </c>
      <c r="AA1297" s="106">
        <v>40215.148420851707</v>
      </c>
      <c r="AB1297" s="106">
        <v>392.3029043280855</v>
      </c>
      <c r="AC1297" s="106">
        <v>2.4866251630728691</v>
      </c>
      <c r="AD1297" s="106">
        <v>33.275362318840578</v>
      </c>
      <c r="AE1297" s="106">
        <v>102.51045296167247</v>
      </c>
      <c r="AF1297" s="106">
        <v>0.22149991781011247</v>
      </c>
      <c r="AG1297" s="106">
        <v>1104</v>
      </c>
      <c r="AH1297" s="106">
        <v>13877.963038490951</v>
      </c>
      <c r="AI1297" s="106">
        <v>13877.963038490951</v>
      </c>
      <c r="AJ1297" s="106">
        <v>14342.728524088707</v>
      </c>
      <c r="AK1297" s="104">
        <v>15640.498088197808</v>
      </c>
      <c r="AL1297" s="119">
        <v>32182454</v>
      </c>
      <c r="AM1297" s="118">
        <v>6076</v>
      </c>
      <c r="AN1297" s="118">
        <v>117682</v>
      </c>
      <c r="AO1297" s="118">
        <v>684</v>
      </c>
      <c r="AP1297" s="118">
        <f t="shared" si="20"/>
        <v>38</v>
      </c>
    </row>
    <row r="1298" spans="1:42" ht="12.75">
      <c r="A1298" s="106">
        <v>2018</v>
      </c>
      <c r="B1298" s="106">
        <v>-127653</v>
      </c>
      <c r="C1298" s="106">
        <v>0</v>
      </c>
      <c r="D1298" s="106">
        <v>127653</v>
      </c>
      <c r="E1298" s="106" t="s">
        <v>2128</v>
      </c>
      <c r="F1298" s="106" t="s">
        <v>2129</v>
      </c>
      <c r="G1298" s="106" t="s">
        <v>66</v>
      </c>
      <c r="H1298" s="106">
        <v>6</v>
      </c>
      <c r="I1298" s="106" t="s">
        <v>3640</v>
      </c>
      <c r="J1298" s="106">
        <v>31790</v>
      </c>
      <c r="K1298" s="106">
        <v>25220</v>
      </c>
      <c r="L1298" s="106">
        <v>22849</v>
      </c>
      <c r="M1298" s="106">
        <v>0.51</v>
      </c>
      <c r="N1298" s="106">
        <v>0.51</v>
      </c>
      <c r="O1298" s="106">
        <v>0.78</v>
      </c>
      <c r="P1298" s="106">
        <v>20908</v>
      </c>
      <c r="Q1298" s="106">
        <v>8239.6612149532702</v>
      </c>
      <c r="R1298" s="106">
        <v>0.27500270396029003</v>
      </c>
      <c r="S1298" s="106">
        <v>25717.009345794391</v>
      </c>
      <c r="T1298" s="106">
        <v>27435.990654205609</v>
      </c>
      <c r="U1298" s="106">
        <v>25721.117990654206</v>
      </c>
      <c r="V1298" s="106">
        <v>0.84453749662140332</v>
      </c>
      <c r="W1298" s="106">
        <v>59338.547120418843</v>
      </c>
      <c r="X1298" s="110">
        <v>0.64344969821003928</v>
      </c>
      <c r="Y1298" s="106">
        <v>247.89928057553959</v>
      </c>
      <c r="Z1298" s="106">
        <v>9.2374100719424472</v>
      </c>
      <c r="AA1298" s="106">
        <v>75401.63356164383</v>
      </c>
      <c r="AB1298" s="106">
        <v>958.43970921121365</v>
      </c>
      <c r="AC1298" s="106">
        <v>1.3262312137872454</v>
      </c>
      <c r="AD1298" s="106">
        <v>34.720570749108205</v>
      </c>
      <c r="AE1298" s="106">
        <v>78.671232876712324</v>
      </c>
      <c r="AF1298" s="106">
        <v>-6.5524441701647812E-2</v>
      </c>
      <c r="AG1298" s="106">
        <v>31620</v>
      </c>
      <c r="AH1298" s="106">
        <v>24855.896028037383</v>
      </c>
      <c r="AI1298" s="106">
        <v>25717.009345794391</v>
      </c>
      <c r="AJ1298" s="106">
        <v>25890.853971962617</v>
      </c>
      <c r="AK1298" s="104">
        <v>25721.117990654206</v>
      </c>
      <c r="AM1298" s="118">
        <v>397</v>
      </c>
      <c r="AN1298" s="118">
        <v>22972</v>
      </c>
      <c r="AO1298" s="118">
        <v>103</v>
      </c>
      <c r="AP1298" s="118">
        <f t="shared" si="20"/>
        <v>170</v>
      </c>
    </row>
    <row r="1299" spans="1:42" ht="12.75">
      <c r="A1299" s="106">
        <v>2018</v>
      </c>
      <c r="B1299" s="106">
        <v>-199087</v>
      </c>
      <c r="C1299" s="106">
        <v>0</v>
      </c>
      <c r="D1299" s="106">
        <v>199087</v>
      </c>
      <c r="E1299" s="106" t="s">
        <v>2130</v>
      </c>
      <c r="F1299" s="106" t="s">
        <v>2131</v>
      </c>
      <c r="G1299" s="106" t="s">
        <v>90</v>
      </c>
      <c r="H1299" s="106">
        <v>4</v>
      </c>
      <c r="I1299" s="106" t="s">
        <v>24</v>
      </c>
      <c r="J1299" s="106">
        <v>2632</v>
      </c>
      <c r="K1299" s="106">
        <v>6168</v>
      </c>
      <c r="L1299" s="106">
        <v>5656</v>
      </c>
      <c r="M1299" s="106">
        <v>0.65</v>
      </c>
      <c r="N1299" s="106">
        <v>0.18</v>
      </c>
      <c r="O1299" s="106">
        <v>0.13</v>
      </c>
      <c r="P1299" s="106">
        <v>1335</v>
      </c>
      <c r="Q1299" s="106">
        <v>146.78381046396842</v>
      </c>
      <c r="R1299" s="106">
        <v>5.6913615640565247E-2</v>
      </c>
      <c r="S1299" s="106">
        <v>13799.115004935835</v>
      </c>
      <c r="T1299" s="106">
        <v>15205.99555774926</v>
      </c>
      <c r="U1299" s="106">
        <v>10861.933366238894</v>
      </c>
      <c r="V1299" s="106">
        <v>0.22392692775793016</v>
      </c>
      <c r="W1299" s="106">
        <v>57030.872778297467</v>
      </c>
      <c r="X1299" s="110">
        <v>0.65964787555384108</v>
      </c>
      <c r="Y1299" s="106">
        <v>277.97560975609753</v>
      </c>
      <c r="Z1299" s="106">
        <v>9.265243902439023</v>
      </c>
      <c r="AA1299" s="106">
        <v>24076.889496717726</v>
      </c>
      <c r="AB1299" s="106">
        <v>362.04061924190574</v>
      </c>
      <c r="AC1299" s="106">
        <v>4.1533604253004723</v>
      </c>
      <c r="AD1299" s="106">
        <v>53.016241299303942</v>
      </c>
      <c r="AE1299" s="106">
        <v>66.503282275711157</v>
      </c>
      <c r="AF1299" s="106">
        <v>5.9542658972879782E-2</v>
      </c>
      <c r="AG1299" s="106">
        <v>2432</v>
      </c>
      <c r="AH1299" s="106">
        <v>12711.337117472853</v>
      </c>
      <c r="AI1299" s="106">
        <v>12924.677690029615</v>
      </c>
      <c r="AJ1299" s="106">
        <v>13805.2152023692</v>
      </c>
      <c r="AK1299" s="104">
        <v>11930.900789733465</v>
      </c>
      <c r="AL1299" s="119">
        <v>17032528</v>
      </c>
      <c r="AM1299" s="118">
        <v>2966</v>
      </c>
      <c r="AN1299" s="118">
        <v>60784</v>
      </c>
      <c r="AO1299" s="118">
        <v>377</v>
      </c>
      <c r="AP1299" s="118">
        <f t="shared" si="20"/>
        <v>200</v>
      </c>
    </row>
    <row r="1300" spans="1:42">
      <c r="A1300" s="106">
        <v>2018</v>
      </c>
      <c r="B1300" s="106">
        <v>-183141</v>
      </c>
      <c r="C1300" s="106">
        <v>0</v>
      </c>
      <c r="D1300" s="106">
        <v>183141</v>
      </c>
      <c r="E1300" s="106" t="s">
        <v>2132</v>
      </c>
      <c r="F1300" s="106" t="s">
        <v>2133</v>
      </c>
      <c r="G1300" s="106" t="s">
        <v>179</v>
      </c>
      <c r="H1300" s="106">
        <v>4</v>
      </c>
      <c r="I1300" s="106" t="s">
        <v>24</v>
      </c>
      <c r="J1300" s="107">
        <v>7328</v>
      </c>
      <c r="K1300" s="107">
        <v>14733</v>
      </c>
      <c r="L1300" s="107">
        <v>14349</v>
      </c>
      <c r="M1300" s="107">
        <v>0.32</v>
      </c>
      <c r="N1300" s="107">
        <v>0.45</v>
      </c>
      <c r="O1300" s="107">
        <v>0.03</v>
      </c>
      <c r="P1300" s="108">
        <v>857</v>
      </c>
      <c r="Q1300" s="107">
        <v>168.04924543288325</v>
      </c>
      <c r="R1300" s="107">
        <v>2.4773071967943733E-2</v>
      </c>
      <c r="S1300" s="107">
        <v>14012.491660047657</v>
      </c>
      <c r="T1300" s="107">
        <v>14455.039714058777</v>
      </c>
      <c r="U1300" s="107">
        <v>10232.961654055569</v>
      </c>
      <c r="V1300" s="107">
        <v>0.64648885191821803</v>
      </c>
      <c r="W1300" s="107">
        <v>71389.126530612251</v>
      </c>
      <c r="X1300" s="111">
        <v>0.64071054863495835</v>
      </c>
      <c r="Y1300" s="107">
        <v>372.8289473684211</v>
      </c>
      <c r="Z1300" s="107">
        <v>12.424342105263159</v>
      </c>
      <c r="AA1300" s="107">
        <v>41160.698793789015</v>
      </c>
      <c r="AB1300" s="107">
        <v>341.00843627464167</v>
      </c>
      <c r="AC1300" s="107">
        <v>2.4295019990061393</v>
      </c>
      <c r="AD1300" s="107">
        <v>31.873727087576377</v>
      </c>
      <c r="AE1300" s="107">
        <v>120.70287539936102</v>
      </c>
      <c r="AF1300" s="107">
        <v>7.9150187368440927E-2</v>
      </c>
      <c r="AG1300" s="107">
        <v>6720</v>
      </c>
      <c r="AH1300" s="107">
        <v>12491.120730738681</v>
      </c>
      <c r="AI1300" s="107">
        <v>12491.120730738681</v>
      </c>
      <c r="AJ1300" s="107">
        <v>14183.576648133439</v>
      </c>
      <c r="AK1300" s="104">
        <v>12234.43050039714</v>
      </c>
      <c r="AL1300" s="118">
        <v>5816899</v>
      </c>
      <c r="AM1300" s="118">
        <v>1791</v>
      </c>
      <c r="AN1300" s="118">
        <v>37780</v>
      </c>
      <c r="AO1300" s="118">
        <v>265</v>
      </c>
      <c r="AP1300" s="118">
        <f t="shared" si="20"/>
        <v>608</v>
      </c>
    </row>
    <row r="1301" spans="1:42" ht="12.75">
      <c r="A1301" s="106">
        <v>2018</v>
      </c>
      <c r="B1301" s="106">
        <v>-221184</v>
      </c>
      <c r="C1301" s="106">
        <v>0</v>
      </c>
      <c r="D1301" s="106">
        <v>221184</v>
      </c>
      <c r="E1301" s="106" t="s">
        <v>2134</v>
      </c>
      <c r="F1301" s="106" t="s">
        <v>331</v>
      </c>
      <c r="G1301" s="106" t="s">
        <v>255</v>
      </c>
      <c r="H1301" s="106">
        <v>4</v>
      </c>
      <c r="I1301" s="106" t="s">
        <v>24</v>
      </c>
      <c r="J1301" s="106">
        <v>4065</v>
      </c>
      <c r="K1301" s="106">
        <v>6818</v>
      </c>
      <c r="L1301" s="106">
        <v>6658</v>
      </c>
      <c r="M1301" s="106">
        <v>0.69</v>
      </c>
      <c r="N1301" s="106">
        <v>0.17</v>
      </c>
      <c r="O1301" s="106">
        <v>0.03</v>
      </c>
      <c r="P1301" s="106">
        <v>2281</v>
      </c>
      <c r="Q1301" s="106">
        <v>247.98070309514711</v>
      </c>
      <c r="R1301" s="106">
        <v>5.0589330774369723E-2</v>
      </c>
      <c r="S1301" s="106">
        <v>10833.90523500191</v>
      </c>
      <c r="T1301" s="106">
        <v>9696.1518914787921</v>
      </c>
      <c r="U1301" s="106">
        <v>6501.656768975954</v>
      </c>
      <c r="V1301" s="106">
        <v>0.71579559559870187</v>
      </c>
      <c r="W1301" s="106">
        <v>60158.907498248067</v>
      </c>
      <c r="X1301" s="110">
        <v>0.56385771971393939</v>
      </c>
      <c r="Y1301" s="106">
        <v>639.17096336499321</v>
      </c>
      <c r="Z1301" s="106">
        <v>21.305291723202171</v>
      </c>
      <c r="AA1301" s="106">
        <v>25605.47142875857</v>
      </c>
      <c r="AB1301" s="106">
        <v>216.71775172312428</v>
      </c>
      <c r="AC1301" s="106">
        <v>3.9054153046245359</v>
      </c>
      <c r="AD1301" s="106">
        <v>26.182033096926716</v>
      </c>
      <c r="AE1301" s="106">
        <v>118.15124153498871</v>
      </c>
      <c r="AF1301" s="106">
        <v>5.2500584166162059E-2</v>
      </c>
      <c r="AG1301" s="106">
        <v>3840</v>
      </c>
      <c r="AH1301" s="106">
        <v>10010.811807413069</v>
      </c>
      <c r="AI1301" s="106">
        <v>10472.088651127246</v>
      </c>
      <c r="AJ1301" s="106">
        <v>10990.729079098204</v>
      </c>
      <c r="AK1301" s="104">
        <v>8076.46809323653</v>
      </c>
      <c r="AL1301" s="118">
        <v>20411638</v>
      </c>
      <c r="AM1301" s="118">
        <v>8197</v>
      </c>
      <c r="AN1301" s="118">
        <v>157023</v>
      </c>
      <c r="AO1301" s="118">
        <v>866</v>
      </c>
      <c r="AP1301" s="118">
        <f t="shared" si="20"/>
        <v>225</v>
      </c>
    </row>
    <row r="1302" spans="1:42" ht="12.75">
      <c r="A1302" s="106">
        <v>2018</v>
      </c>
      <c r="B1302" s="106">
        <v>-193478</v>
      </c>
      <c r="C1302" s="106">
        <v>0</v>
      </c>
      <c r="D1302" s="106">
        <v>193478</v>
      </c>
      <c r="E1302" s="106" t="s">
        <v>2135</v>
      </c>
      <c r="F1302" s="106" t="s">
        <v>68</v>
      </c>
      <c r="G1302" s="106" t="s">
        <v>69</v>
      </c>
      <c r="H1302" s="106">
        <v>4</v>
      </c>
      <c r="I1302" s="106" t="s">
        <v>24</v>
      </c>
      <c r="J1302" s="106">
        <v>5632</v>
      </c>
      <c r="K1302" s="106">
        <v>4436</v>
      </c>
      <c r="L1302" s="106">
        <v>2091</v>
      </c>
      <c r="M1302" s="106">
        <v>0.56000000000000005</v>
      </c>
      <c r="N1302" s="106">
        <v>0.16</v>
      </c>
      <c r="O1302" s="106">
        <v>0</v>
      </c>
      <c r="P1302" s="106"/>
      <c r="Q1302" s="106">
        <v>13.970411337711719</v>
      </c>
      <c r="R1302" s="106">
        <v>2.1635609325232194E-3</v>
      </c>
      <c r="S1302" s="106">
        <v>14437.229726927066</v>
      </c>
      <c r="T1302" s="106">
        <v>15041.665260974767</v>
      </c>
      <c r="U1302" s="106">
        <v>14991.398514757619</v>
      </c>
      <c r="V1302" s="106">
        <v>0.42979095655650157</v>
      </c>
      <c r="W1302" s="106">
        <v>121039.47292418774</v>
      </c>
      <c r="X1302" s="110">
        <v>0.82184735780444551</v>
      </c>
      <c r="Y1302" s="106">
        <v>578.86393952867934</v>
      </c>
      <c r="Z1302" s="106">
        <v>19.29524232992441</v>
      </c>
      <c r="AA1302" s="106">
        <v>66538.993407784277</v>
      </c>
      <c r="AB1302" s="106">
        <v>499.70752616277946</v>
      </c>
      <c r="AC1302" s="106">
        <v>1.5028781602864041</v>
      </c>
      <c r="AD1302" s="106">
        <v>23.484903077033941</v>
      </c>
      <c r="AE1302" s="106">
        <v>133.15587603559374</v>
      </c>
      <c r="AF1302" s="106">
        <v>3.4794674038690467E-3</v>
      </c>
      <c r="AG1302" s="106">
        <v>5102</v>
      </c>
      <c r="AH1302" s="106">
        <v>15351.791980642931</v>
      </c>
      <c r="AI1302" s="106">
        <v>15388.502315935015</v>
      </c>
      <c r="AJ1302" s="106">
        <v>14452.883511925336</v>
      </c>
      <c r="AK1302" s="104">
        <v>15037.798340822676</v>
      </c>
      <c r="AL1302" s="118">
        <v>109153524</v>
      </c>
      <c r="AM1302" s="118">
        <v>19059</v>
      </c>
      <c r="AN1302" s="118">
        <v>433955</v>
      </c>
      <c r="AO1302" s="118">
        <v>3144</v>
      </c>
      <c r="AP1302" s="118">
        <f t="shared" si="20"/>
        <v>530</v>
      </c>
    </row>
    <row r="1303" spans="1:42" ht="12.75">
      <c r="A1303" s="106">
        <v>2018</v>
      </c>
      <c r="B1303" s="106">
        <v>-147536</v>
      </c>
      <c r="C1303" s="106">
        <v>0</v>
      </c>
      <c r="D1303" s="106">
        <v>147536</v>
      </c>
      <c r="E1303" s="106" t="s">
        <v>2136</v>
      </c>
      <c r="F1303" s="106" t="s">
        <v>725</v>
      </c>
      <c r="G1303" s="106" t="s">
        <v>243</v>
      </c>
      <c r="H1303" s="106">
        <v>5</v>
      </c>
      <c r="I1303" s="106" t="s">
        <v>3639</v>
      </c>
      <c r="J1303" s="106">
        <v>12186</v>
      </c>
      <c r="K1303" s="106">
        <v>14285</v>
      </c>
      <c r="L1303" s="106">
        <v>13647</v>
      </c>
      <c r="M1303" s="106">
        <v>0.84</v>
      </c>
      <c r="N1303" s="106">
        <v>0.15</v>
      </c>
      <c r="O1303" s="106">
        <v>0.01</v>
      </c>
      <c r="P1303" s="106">
        <v>3339</v>
      </c>
      <c r="Q1303" s="106">
        <v>511.11876075731499</v>
      </c>
      <c r="R1303" s="106">
        <v>4.0378631938269335E-2</v>
      </c>
      <c r="S1303" s="106">
        <v>15195.729991394148</v>
      </c>
      <c r="T1303" s="106">
        <v>15556.418674698794</v>
      </c>
      <c r="U1303" s="106">
        <v>12401.763302326455</v>
      </c>
      <c r="V1303" s="106">
        <v>0.97945997434430598</v>
      </c>
      <c r="W1303" s="106">
        <v>85201.552550706823</v>
      </c>
      <c r="X1303" s="110">
        <v>0.6390547459573126</v>
      </c>
      <c r="Y1303" s="106">
        <v>1001.063492063492</v>
      </c>
      <c r="Z1303" s="106">
        <v>24.592592592592592</v>
      </c>
      <c r="AA1303" s="106">
        <v>33339.15316900715</v>
      </c>
      <c r="AB1303" s="106">
        <v>304.66750085471728</v>
      </c>
      <c r="AC1303" s="106">
        <v>2.9994763062237078</v>
      </c>
      <c r="AD1303" s="106">
        <v>50.232423009877976</v>
      </c>
      <c r="AE1303" s="106">
        <v>109.427993059572</v>
      </c>
      <c r="AF1303" s="106">
        <v>8.4237510234934886E-3</v>
      </c>
      <c r="AG1303" s="106">
        <v>11736</v>
      </c>
      <c r="AH1303" s="106">
        <v>14755.835413080895</v>
      </c>
      <c r="AI1303" s="106">
        <v>15195.729991394148</v>
      </c>
      <c r="AJ1303" s="106">
        <v>15597.292598967299</v>
      </c>
      <c r="AK1303" s="104">
        <v>15244.379087779691</v>
      </c>
      <c r="AL1303" s="118"/>
      <c r="AM1303" s="118">
        <v>1883</v>
      </c>
      <c r="AN1303" s="118">
        <v>189201</v>
      </c>
      <c r="AO1303" s="118">
        <v>663</v>
      </c>
      <c r="AP1303" s="118">
        <f t="shared" si="20"/>
        <v>450</v>
      </c>
    </row>
    <row r="1304" spans="1:42" ht="12.75">
      <c r="A1304" s="106">
        <v>2018</v>
      </c>
      <c r="B1304" s="106">
        <v>-106980</v>
      </c>
      <c r="C1304" s="106">
        <v>0</v>
      </c>
      <c r="D1304" s="106">
        <v>106980</v>
      </c>
      <c r="E1304" s="106" t="s">
        <v>4154</v>
      </c>
      <c r="F1304" s="106" t="s">
        <v>2137</v>
      </c>
      <c r="G1304" s="106" t="s">
        <v>200</v>
      </c>
      <c r="H1304" s="106">
        <v>4</v>
      </c>
      <c r="I1304" s="106" t="s">
        <v>24</v>
      </c>
      <c r="J1304" s="106">
        <v>3450</v>
      </c>
      <c r="K1304" s="106">
        <v>8091</v>
      </c>
      <c r="L1304" s="106">
        <v>7892</v>
      </c>
      <c r="M1304" s="106">
        <v>0.76</v>
      </c>
      <c r="N1304" s="106">
        <v>0.22</v>
      </c>
      <c r="O1304" s="106">
        <v>0.39</v>
      </c>
      <c r="P1304" s="106">
        <v>1699</v>
      </c>
      <c r="Q1304" s="106">
        <v>784.61904761904759</v>
      </c>
      <c r="R1304" s="106">
        <v>0.20348953687821614</v>
      </c>
      <c r="S1304" s="106">
        <v>17308.072898295122</v>
      </c>
      <c r="T1304" s="106">
        <v>16473.01646090535</v>
      </c>
      <c r="U1304" s="106">
        <v>12657.222103889448</v>
      </c>
      <c r="V1304" s="106">
        <v>0.24264416259688662</v>
      </c>
      <c r="W1304" s="106">
        <v>63460.672676837719</v>
      </c>
      <c r="X1304" s="110">
        <v>0.54430363574285934</v>
      </c>
      <c r="Y1304" s="106">
        <v>425.24166666666667</v>
      </c>
      <c r="Z1304" s="106">
        <v>14.175000000000001</v>
      </c>
      <c r="AA1304" s="106">
        <v>30238.672470106671</v>
      </c>
      <c r="AB1304" s="106">
        <v>421.91567145575948</v>
      </c>
      <c r="AC1304" s="106">
        <v>3.3070234845414572</v>
      </c>
      <c r="AD1304" s="106">
        <v>39.533592448639645</v>
      </c>
      <c r="AE1304" s="106">
        <v>71.669943820224717</v>
      </c>
      <c r="AF1304" s="106">
        <v>7.2893880435178832E-2</v>
      </c>
      <c r="AG1304" s="106">
        <v>2640</v>
      </c>
      <c r="AH1304" s="106">
        <v>14329.552616108173</v>
      </c>
      <c r="AI1304" s="106">
        <v>14329.552616108173</v>
      </c>
      <c r="AJ1304" s="106">
        <v>17365.299823633159</v>
      </c>
      <c r="AK1304" s="104">
        <v>16003.870664315109</v>
      </c>
      <c r="AL1304" s="118">
        <v>12419507</v>
      </c>
      <c r="AM1304" s="118">
        <v>2768</v>
      </c>
      <c r="AN1304" s="118">
        <v>51029</v>
      </c>
      <c r="AO1304" s="118">
        <v>253</v>
      </c>
      <c r="AP1304" s="118">
        <f t="shared" si="20"/>
        <v>810</v>
      </c>
    </row>
    <row r="1305" spans="1:42" ht="12.75">
      <c r="A1305" s="106">
        <v>2018</v>
      </c>
      <c r="B1305" s="106">
        <v>-119605</v>
      </c>
      <c r="C1305" s="106">
        <v>0</v>
      </c>
      <c r="D1305" s="106">
        <v>119605</v>
      </c>
      <c r="E1305" s="106" t="s">
        <v>2138</v>
      </c>
      <c r="F1305" s="106" t="s">
        <v>2139</v>
      </c>
      <c r="G1305" s="106" t="s">
        <v>121</v>
      </c>
      <c r="H1305" s="106">
        <v>6</v>
      </c>
      <c r="I1305" s="106" t="s">
        <v>3640</v>
      </c>
      <c r="J1305" s="106">
        <v>13032</v>
      </c>
      <c r="K1305" s="106"/>
      <c r="L1305" s="106"/>
      <c r="M1305" s="106">
        <v>0</v>
      </c>
      <c r="N1305" s="106">
        <v>0</v>
      </c>
      <c r="O1305" s="106">
        <v>0</v>
      </c>
      <c r="P1305" s="106"/>
      <c r="Q1305" s="106">
        <v>498.91182417009065</v>
      </c>
      <c r="R1305" s="106">
        <v>3.5042669673586727E-2</v>
      </c>
      <c r="S1305" s="106">
        <v>14271.681536555143</v>
      </c>
      <c r="T1305" s="106">
        <v>15118.37585599687</v>
      </c>
      <c r="U1305" s="106">
        <v>14834.556091932602</v>
      </c>
      <c r="V1305" s="106">
        <v>0.9261048668747397</v>
      </c>
      <c r="W1305" s="106">
        <v>68698.29576029352</v>
      </c>
      <c r="X1305" s="110">
        <v>0.48464080658933623</v>
      </c>
      <c r="Y1305" s="106">
        <v>966.58891820580459</v>
      </c>
      <c r="Z1305" s="106">
        <v>24.273878627968333</v>
      </c>
      <c r="AA1305" s="106">
        <v>42739.242494852042</v>
      </c>
      <c r="AB1305" s="106">
        <v>372.53915009057653</v>
      </c>
      <c r="AC1305" s="106">
        <v>2.3397700605490384</v>
      </c>
      <c r="AD1305" s="106">
        <v>45.216652506372135</v>
      </c>
      <c r="AE1305" s="106">
        <v>114.72416384817738</v>
      </c>
      <c r="AF1305" s="106">
        <v>2.1236458858326888E-3</v>
      </c>
      <c r="AG1305" s="106">
        <v>13032</v>
      </c>
      <c r="AH1305" s="106">
        <v>13911.903084849671</v>
      </c>
      <c r="AI1305" s="106">
        <v>13920.334898584751</v>
      </c>
      <c r="AJ1305" s="106">
        <v>17972.747277114719</v>
      </c>
      <c r="AK1305" s="104">
        <v>15118.37585599687</v>
      </c>
      <c r="AL1305" s="118"/>
      <c r="AM1305" s="118">
        <v>7877</v>
      </c>
      <c r="AN1305" s="118">
        <v>610562</v>
      </c>
      <c r="AO1305" s="118">
        <v>2026</v>
      </c>
      <c r="AP1305" s="118">
        <f t="shared" si="20"/>
        <v>0</v>
      </c>
    </row>
    <row r="1306" spans="1:42" ht="12.75">
      <c r="A1306" s="106">
        <v>2018</v>
      </c>
      <c r="B1306" s="106">
        <v>-129729</v>
      </c>
      <c r="C1306" s="106">
        <v>0</v>
      </c>
      <c r="D1306" s="106">
        <v>129729</v>
      </c>
      <c r="E1306" s="106" t="s">
        <v>2140</v>
      </c>
      <c r="F1306" s="106" t="s">
        <v>2141</v>
      </c>
      <c r="G1306" s="106" t="s">
        <v>99</v>
      </c>
      <c r="H1306" s="106">
        <v>4</v>
      </c>
      <c r="I1306" s="106" t="s">
        <v>24</v>
      </c>
      <c r="J1306" s="106">
        <v>4316</v>
      </c>
      <c r="K1306" s="106">
        <v>5319</v>
      </c>
      <c r="L1306" s="106">
        <v>5084</v>
      </c>
      <c r="M1306" s="106">
        <v>0.56999999999999995</v>
      </c>
      <c r="N1306" s="106">
        <v>0.02</v>
      </c>
      <c r="O1306" s="106">
        <v>0.48</v>
      </c>
      <c r="P1306" s="106">
        <v>932</v>
      </c>
      <c r="Q1306" s="106">
        <v>781.07278398752271</v>
      </c>
      <c r="R1306" s="106">
        <v>0.12496749263211383</v>
      </c>
      <c r="S1306" s="106">
        <v>16364.464777748895</v>
      </c>
      <c r="T1306" s="106">
        <v>18489.234988302574</v>
      </c>
      <c r="U1306" s="106">
        <v>14074.900487814526</v>
      </c>
      <c r="V1306" s="106">
        <v>0.38857361123474254</v>
      </c>
      <c r="W1306" s="106">
        <v>115434.95422808379</v>
      </c>
      <c r="X1306" s="110">
        <v>0.69731317250244618</v>
      </c>
      <c r="Y1306" s="106">
        <v>549.5761904761905</v>
      </c>
      <c r="Z1306" s="106">
        <v>18.31904761904762</v>
      </c>
      <c r="AA1306" s="106">
        <v>50462.387862649099</v>
      </c>
      <c r="AB1306" s="106">
        <v>469.15928444101934</v>
      </c>
      <c r="AC1306" s="106">
        <v>1.9816739602609514</v>
      </c>
      <c r="AD1306" s="106">
        <v>29.946971811331284</v>
      </c>
      <c r="AE1306" s="106">
        <v>107.5591798695247</v>
      </c>
      <c r="AF1306" s="106">
        <v>-4.516764909322158E-2</v>
      </c>
      <c r="AG1306" s="106">
        <v>3816</v>
      </c>
      <c r="AH1306" s="106">
        <v>15732.751234728359</v>
      </c>
      <c r="AI1306" s="106">
        <v>15756.276319209774</v>
      </c>
      <c r="AJ1306" s="106">
        <v>16407.375877306993</v>
      </c>
      <c r="AK1306" s="104">
        <v>15368.679490512088</v>
      </c>
      <c r="AL1306" s="118">
        <v>33224536</v>
      </c>
      <c r="AM1306" s="118">
        <v>6373</v>
      </c>
      <c r="AN1306" s="118">
        <v>115411</v>
      </c>
      <c r="AO1306" s="118">
        <v>713</v>
      </c>
      <c r="AP1306" s="118">
        <f t="shared" si="20"/>
        <v>500</v>
      </c>
    </row>
    <row r="1307" spans="1:42" ht="12.75">
      <c r="A1307" s="106">
        <v>2018</v>
      </c>
      <c r="B1307" s="106">
        <v>-227146</v>
      </c>
      <c r="C1307" s="106">
        <v>0</v>
      </c>
      <c r="D1307" s="106">
        <v>227146</v>
      </c>
      <c r="E1307" s="106" t="s">
        <v>2142</v>
      </c>
      <c r="F1307" s="106" t="s">
        <v>2143</v>
      </c>
      <c r="G1307" s="106" t="s">
        <v>60</v>
      </c>
      <c r="H1307" s="106">
        <v>4</v>
      </c>
      <c r="I1307" s="106" t="s">
        <v>24</v>
      </c>
      <c r="J1307" s="106">
        <v>2400</v>
      </c>
      <c r="K1307" s="106">
        <v>10611</v>
      </c>
      <c r="L1307" s="106">
        <v>13063</v>
      </c>
      <c r="M1307" s="106">
        <v>0.53</v>
      </c>
      <c r="N1307" s="106">
        <v>0.34</v>
      </c>
      <c r="O1307" s="106">
        <v>0.11</v>
      </c>
      <c r="P1307" s="106">
        <v>2685</v>
      </c>
      <c r="Q1307" s="106">
        <v>43.152863070539418</v>
      </c>
      <c r="R1307" s="106">
        <v>1.2400067629101594E-2</v>
      </c>
      <c r="S1307" s="106">
        <v>10279.90489626556</v>
      </c>
      <c r="T1307" s="106">
        <v>10151.189211618257</v>
      </c>
      <c r="U1307" s="106">
        <v>5827.9286604285562</v>
      </c>
      <c r="V1307" s="106">
        <v>0.5897288658786306</v>
      </c>
      <c r="W1307" s="106">
        <v>67797.264588859412</v>
      </c>
      <c r="X1307" s="110">
        <v>0.55720920787401562</v>
      </c>
      <c r="Y1307" s="106">
        <v>782.42857142857144</v>
      </c>
      <c r="Z1307" s="106">
        <v>26.082251082251084</v>
      </c>
      <c r="AA1307" s="106">
        <v>22727.035714616213</v>
      </c>
      <c r="AB1307" s="106">
        <v>194.27396207325427</v>
      </c>
      <c r="AC1307" s="106">
        <v>4.4000458861288276</v>
      </c>
      <c r="AD1307" s="106">
        <v>30.642602142007142</v>
      </c>
      <c r="AE1307" s="106">
        <v>116.98446601941748</v>
      </c>
      <c r="AF1307" s="106">
        <v>1.8853256749447673E-2</v>
      </c>
      <c r="AG1307" s="106">
        <v>1260</v>
      </c>
      <c r="AH1307" s="106">
        <v>9122.8796680497926</v>
      </c>
      <c r="AI1307" s="106">
        <v>9276.6028215767637</v>
      </c>
      <c r="AJ1307" s="106">
        <v>10300.424066390042</v>
      </c>
      <c r="AK1307" s="104">
        <v>7293.8466390041494</v>
      </c>
      <c r="AL1307" s="119">
        <v>21071616</v>
      </c>
      <c r="AM1307" s="118">
        <v>8968</v>
      </c>
      <c r="AN1307" s="118">
        <v>180741</v>
      </c>
      <c r="AO1307" s="118">
        <v>935</v>
      </c>
      <c r="AP1307" s="118">
        <f t="shared" si="20"/>
        <v>1140</v>
      </c>
    </row>
    <row r="1308" spans="1:42" ht="12.75">
      <c r="A1308" s="106">
        <v>2018</v>
      </c>
      <c r="B1308" s="106">
        <v>-193584</v>
      </c>
      <c r="C1308" s="106">
        <v>0</v>
      </c>
      <c r="D1308" s="106">
        <v>193584</v>
      </c>
      <c r="E1308" s="106" t="s">
        <v>2144</v>
      </c>
      <c r="F1308" s="106" t="s">
        <v>1923</v>
      </c>
      <c r="G1308" s="106" t="s">
        <v>69</v>
      </c>
      <c r="H1308" s="106">
        <v>6</v>
      </c>
      <c r="I1308" s="106" t="s">
        <v>3640</v>
      </c>
      <c r="J1308" s="106">
        <v>33324</v>
      </c>
      <c r="K1308" s="106">
        <v>29881</v>
      </c>
      <c r="L1308" s="106">
        <v>19968</v>
      </c>
      <c r="M1308" s="106">
        <v>0.26</v>
      </c>
      <c r="N1308" s="106">
        <v>0.84</v>
      </c>
      <c r="O1308" s="106">
        <v>0.98</v>
      </c>
      <c r="P1308" s="106">
        <v>16228</v>
      </c>
      <c r="Q1308" s="106">
        <v>10554.112262521588</v>
      </c>
      <c r="R1308" s="106">
        <v>0.34649780935996816</v>
      </c>
      <c r="S1308" s="106">
        <v>29865.890155440415</v>
      </c>
      <c r="T1308" s="106">
        <v>28139.952331606219</v>
      </c>
      <c r="U1308" s="106">
        <v>22499.421423393011</v>
      </c>
      <c r="V1308" s="106">
        <v>0.88470180552202315</v>
      </c>
      <c r="W1308" s="106">
        <v>83804.096674876841</v>
      </c>
      <c r="X1308" s="110">
        <v>0.55687547764282352</v>
      </c>
      <c r="Y1308" s="106">
        <v>296.1232528589581</v>
      </c>
      <c r="Z1308" s="106">
        <v>11.035578144853876</v>
      </c>
      <c r="AA1308" s="106">
        <v>78856.931017824172</v>
      </c>
      <c r="AB1308" s="106">
        <v>838.48235805417869</v>
      </c>
      <c r="AC1308" s="106">
        <v>1.2681193486644418</v>
      </c>
      <c r="AD1308" s="106">
        <v>31.347248576850095</v>
      </c>
      <c r="AE1308" s="106">
        <v>94.04721549636804</v>
      </c>
      <c r="AF1308" s="106">
        <v>4.8007992639317973E-2</v>
      </c>
      <c r="AG1308" s="106">
        <v>31924</v>
      </c>
      <c r="AH1308" s="106">
        <v>28012.935405872195</v>
      </c>
      <c r="AI1308" s="106">
        <v>29908.101554404144</v>
      </c>
      <c r="AJ1308" s="106">
        <v>31796.877720207252</v>
      </c>
      <c r="AK1308" s="104">
        <v>23295.837651122627</v>
      </c>
      <c r="AL1308" s="118">
        <v>250164</v>
      </c>
      <c r="AM1308" s="118">
        <v>2194</v>
      </c>
      <c r="AN1308" s="118">
        <v>77683</v>
      </c>
      <c r="AO1308" s="118">
        <v>515</v>
      </c>
      <c r="AP1308" s="118">
        <f t="shared" si="20"/>
        <v>1400</v>
      </c>
    </row>
    <row r="1309" spans="1:42" ht="12.75">
      <c r="A1309" s="106">
        <v>2018</v>
      </c>
      <c r="B1309" s="106">
        <v>-181765</v>
      </c>
      <c r="C1309" s="106">
        <v>0</v>
      </c>
      <c r="D1309" s="106">
        <v>181765</v>
      </c>
      <c r="E1309" s="106" t="s">
        <v>2145</v>
      </c>
      <c r="F1309" s="106" t="s">
        <v>2146</v>
      </c>
      <c r="G1309" s="106" t="s">
        <v>323</v>
      </c>
      <c r="H1309" s="106">
        <v>4</v>
      </c>
      <c r="I1309" s="106" t="s">
        <v>24</v>
      </c>
      <c r="J1309" s="106">
        <v>5062</v>
      </c>
      <c r="K1309" s="106">
        <v>12572</v>
      </c>
      <c r="L1309" s="106">
        <v>11027</v>
      </c>
      <c r="M1309" s="106">
        <v>0.28999999999999998</v>
      </c>
      <c r="N1309" s="106">
        <v>0.39</v>
      </c>
      <c r="O1309" s="106">
        <v>0.4</v>
      </c>
      <c r="P1309" s="106">
        <v>1659</v>
      </c>
      <c r="Q1309" s="106">
        <v>3145.1580756013745</v>
      </c>
      <c r="R1309" s="106">
        <v>0.79806648454033446</v>
      </c>
      <c r="S1309" s="106">
        <v>24392.216494845361</v>
      </c>
      <c r="T1309" s="106">
        <v>24141.426116838487</v>
      </c>
      <c r="U1309" s="106">
        <v>15520.538943074158</v>
      </c>
      <c r="V1309" s="106">
        <v>5.1274922598278247E-2</v>
      </c>
      <c r="W1309" s="106">
        <v>65680.429530201349</v>
      </c>
      <c r="X1309" s="110">
        <v>0.46434961221496179</v>
      </c>
      <c r="Y1309" s="106">
        <v>568.63043478260863</v>
      </c>
      <c r="Z1309" s="106">
        <v>18.978260869565215</v>
      </c>
      <c r="AA1309" s="106">
        <v>57170.592815627591</v>
      </c>
      <c r="AB1309" s="106">
        <v>518.00399500339256</v>
      </c>
      <c r="AC1309" s="106">
        <v>1.7491510071007166</v>
      </c>
      <c r="AD1309" s="106">
        <v>28.623188405797102</v>
      </c>
      <c r="AE1309" s="106">
        <v>110.36708860759494</v>
      </c>
      <c r="AF1309" s="106">
        <v>2.5122694658633645E-2</v>
      </c>
      <c r="AG1309" s="106">
        <v>4335</v>
      </c>
      <c r="AH1309" s="106">
        <v>19746.865979381444</v>
      </c>
      <c r="AI1309" s="106">
        <v>21796.982817869415</v>
      </c>
      <c r="AJ1309" s="106">
        <v>24452.412371134022</v>
      </c>
      <c r="AK1309" s="104">
        <v>18574.171821305841</v>
      </c>
      <c r="AL1309" s="118">
        <v>3369573</v>
      </c>
      <c r="AM1309" s="118">
        <v>317</v>
      </c>
      <c r="AN1309" s="118">
        <v>8719</v>
      </c>
      <c r="AO1309" s="118">
        <v>76</v>
      </c>
      <c r="AP1309" s="118">
        <f t="shared" si="20"/>
        <v>727</v>
      </c>
    </row>
    <row r="1310" spans="1:42" ht="12.75">
      <c r="A1310" s="106">
        <v>2018</v>
      </c>
      <c r="B1310" s="106">
        <v>-181446</v>
      </c>
      <c r="C1310" s="106">
        <v>0</v>
      </c>
      <c r="D1310" s="106">
        <v>181446</v>
      </c>
      <c r="E1310" s="106" t="s">
        <v>2147</v>
      </c>
      <c r="F1310" s="106" t="s">
        <v>1052</v>
      </c>
      <c r="G1310" s="106" t="s">
        <v>323</v>
      </c>
      <c r="H1310" s="106">
        <v>6</v>
      </c>
      <c r="I1310" s="106" t="s">
        <v>3640</v>
      </c>
      <c r="J1310" s="106">
        <v>32894</v>
      </c>
      <c r="K1310" s="106">
        <v>24519</v>
      </c>
      <c r="L1310" s="106">
        <v>18404</v>
      </c>
      <c r="M1310" s="106">
        <v>0.31</v>
      </c>
      <c r="N1310" s="106">
        <v>0.71</v>
      </c>
      <c r="O1310" s="106">
        <v>1</v>
      </c>
      <c r="P1310" s="106">
        <v>19096</v>
      </c>
      <c r="Q1310" s="106">
        <v>10931.956463793869</v>
      </c>
      <c r="R1310" s="106">
        <v>0.46889927591463409</v>
      </c>
      <c r="S1310" s="106">
        <v>19475.788538427365</v>
      </c>
      <c r="T1310" s="106">
        <v>18255.886272767661</v>
      </c>
      <c r="U1310" s="106">
        <v>16234.19530168798</v>
      </c>
      <c r="V1310" s="106">
        <v>0.76271881273110742</v>
      </c>
      <c r="W1310" s="106">
        <v>72875.746601941748</v>
      </c>
      <c r="X1310" s="110">
        <v>0.60886438409500165</v>
      </c>
      <c r="Y1310" s="106">
        <v>434.62745098039215</v>
      </c>
      <c r="Z1310" s="106">
        <v>14.712418300653594</v>
      </c>
      <c r="AA1310" s="106">
        <v>74274.743138413905</v>
      </c>
      <c r="AB1310" s="106">
        <v>549.53793533789951</v>
      </c>
      <c r="AC1310" s="106">
        <v>1.3463526869914051</v>
      </c>
      <c r="AD1310" s="106">
        <v>27.671541057367826</v>
      </c>
      <c r="AE1310" s="106">
        <v>135.15853658536585</v>
      </c>
      <c r="AF1310" s="106">
        <v>7.3841304801868346E-2</v>
      </c>
      <c r="AG1310" s="106">
        <v>31974</v>
      </c>
      <c r="AH1310" s="106">
        <v>16296.38649489116</v>
      </c>
      <c r="AI1310" s="106">
        <v>19734.858285206574</v>
      </c>
      <c r="AJ1310" s="106">
        <v>21593.069746779209</v>
      </c>
      <c r="AK1310" s="104">
        <v>16243.891603731674</v>
      </c>
      <c r="AL1310" s="118"/>
      <c r="AM1310" s="118">
        <v>1779</v>
      </c>
      <c r="AN1310" s="118">
        <v>66498</v>
      </c>
      <c r="AO1310" s="118">
        <v>396</v>
      </c>
      <c r="AP1310" s="118">
        <f t="shared" si="20"/>
        <v>920</v>
      </c>
    </row>
    <row r="1311" spans="1:42" ht="12.75">
      <c r="A1311" s="106">
        <v>2018</v>
      </c>
      <c r="B1311" s="106">
        <v>-155566</v>
      </c>
      <c r="C1311" s="106">
        <v>0</v>
      </c>
      <c r="D1311" s="106">
        <v>155566</v>
      </c>
      <c r="E1311" s="106" t="s">
        <v>2148</v>
      </c>
      <c r="F1311" s="106" t="s">
        <v>2149</v>
      </c>
      <c r="G1311" s="106" t="s">
        <v>129</v>
      </c>
      <c r="H1311" s="106">
        <v>4</v>
      </c>
      <c r="I1311" s="106" t="s">
        <v>24</v>
      </c>
      <c r="J1311" s="106">
        <v>3680</v>
      </c>
      <c r="K1311" s="106">
        <v>9537</v>
      </c>
      <c r="L1311" s="106">
        <v>7835</v>
      </c>
      <c r="M1311" s="106">
        <v>0.51</v>
      </c>
      <c r="N1311" s="106">
        <v>0.28999999999999998</v>
      </c>
      <c r="O1311" s="106">
        <v>0.75</v>
      </c>
      <c r="P1311" s="106">
        <v>2448</v>
      </c>
      <c r="Q1311" s="106">
        <v>283.43140364789849</v>
      </c>
      <c r="R1311" s="106">
        <v>5.8625352622785239E-2</v>
      </c>
      <c r="S1311" s="106">
        <v>16283.209357652657</v>
      </c>
      <c r="T1311" s="106">
        <v>15455.664551942902</v>
      </c>
      <c r="U1311" s="106">
        <v>10405.685515776153</v>
      </c>
      <c r="V1311" s="106">
        <v>0.4373753481439237</v>
      </c>
      <c r="W1311" s="106">
        <v>44659.419681620835</v>
      </c>
      <c r="X1311" s="110">
        <v>0.52779721977775529</v>
      </c>
      <c r="Y1311" s="106">
        <v>375.8245033112583</v>
      </c>
      <c r="Z1311" s="106">
        <v>12.526490066225167</v>
      </c>
      <c r="AA1311" s="106">
        <v>14595.739082751645</v>
      </c>
      <c r="AB1311" s="106">
        <v>346.82867960229771</v>
      </c>
      <c r="AC1311" s="106">
        <v>6.8513145811282632</v>
      </c>
      <c r="AD1311" s="106">
        <v>75.737152485256956</v>
      </c>
      <c r="AE1311" s="106">
        <v>42.083426028921025</v>
      </c>
      <c r="AF1311" s="106">
        <v>8.8999630167830149E-2</v>
      </c>
      <c r="AG1311" s="106">
        <v>2240</v>
      </c>
      <c r="AH1311" s="106">
        <v>15151.533703409992</v>
      </c>
      <c r="AI1311" s="106">
        <v>15151.533703409992</v>
      </c>
      <c r="AJ1311" s="106">
        <v>16291.160190325139</v>
      </c>
      <c r="AK1311" s="104">
        <v>11547.197462331484</v>
      </c>
      <c r="AL1311" s="118">
        <v>7639127</v>
      </c>
      <c r="AM1311" s="118">
        <v>1977</v>
      </c>
      <c r="AN1311" s="118">
        <v>37833</v>
      </c>
      <c r="AO1311" s="118">
        <v>366</v>
      </c>
      <c r="AP1311" s="118">
        <f t="shared" si="20"/>
        <v>1440</v>
      </c>
    </row>
    <row r="1312" spans="1:42" ht="12.75">
      <c r="A1312" s="106">
        <v>2018</v>
      </c>
      <c r="B1312" s="106">
        <v>-214272</v>
      </c>
      <c r="C1312" s="106">
        <v>0</v>
      </c>
      <c r="D1312" s="106">
        <v>214272</v>
      </c>
      <c r="E1312" s="106" t="s">
        <v>2150</v>
      </c>
      <c r="F1312" s="106" t="s">
        <v>2151</v>
      </c>
      <c r="G1312" s="106" t="s">
        <v>104</v>
      </c>
      <c r="H1312" s="106">
        <v>6</v>
      </c>
      <c r="I1312" s="106" t="s">
        <v>3640</v>
      </c>
      <c r="J1312" s="106">
        <v>30050</v>
      </c>
      <c r="K1312" s="106">
        <v>24344</v>
      </c>
      <c r="L1312" s="106">
        <v>20805</v>
      </c>
      <c r="M1312" s="106">
        <v>0.49</v>
      </c>
      <c r="N1312" s="106">
        <v>0.87</v>
      </c>
      <c r="O1312" s="106">
        <v>1</v>
      </c>
      <c r="P1312" s="106">
        <v>15974</v>
      </c>
      <c r="Q1312" s="106">
        <v>7996.0239927569037</v>
      </c>
      <c r="R1312" s="106">
        <v>0.28597211101086278</v>
      </c>
      <c r="S1312" s="106">
        <v>22508.841104572206</v>
      </c>
      <c r="T1312" s="106">
        <v>22512.335898596652</v>
      </c>
      <c r="U1312" s="106">
        <v>19466.906416627546</v>
      </c>
      <c r="V1312" s="106">
        <v>1.0255778705598861</v>
      </c>
      <c r="W1312" s="106">
        <v>78094.87309644671</v>
      </c>
      <c r="X1312" s="110">
        <v>0.51560987135467196</v>
      </c>
      <c r="Y1312" s="106">
        <v>420.21577726218101</v>
      </c>
      <c r="Z1312" s="106">
        <v>15.37587006960557</v>
      </c>
      <c r="AA1312" s="106">
        <v>65954.595512776461</v>
      </c>
      <c r="AB1312" s="106">
        <v>712.3022026193081</v>
      </c>
      <c r="AC1312" s="106">
        <v>1.516194576322258</v>
      </c>
      <c r="AD1312" s="106">
        <v>31.742940603700099</v>
      </c>
      <c r="AE1312" s="106">
        <v>92.593558282208591</v>
      </c>
      <c r="AF1312" s="106">
        <v>2.3328835897251314E-2</v>
      </c>
      <c r="AG1312" s="106">
        <v>28710</v>
      </c>
      <c r="AH1312" s="106">
        <v>21755.528293345404</v>
      </c>
      <c r="AI1312" s="106">
        <v>22775.751923947486</v>
      </c>
      <c r="AJ1312" s="106">
        <v>23484.688094160254</v>
      </c>
      <c r="AK1312" s="104">
        <v>19751.9692168402</v>
      </c>
      <c r="AM1312" s="118">
        <v>2085</v>
      </c>
      <c r="AN1312" s="118">
        <v>60371</v>
      </c>
      <c r="AO1312" s="118">
        <v>445</v>
      </c>
      <c r="AP1312" s="118">
        <f t="shared" si="20"/>
        <v>1340</v>
      </c>
    </row>
    <row r="1313" spans="1:42" ht="12.75">
      <c r="A1313" s="106">
        <v>2018</v>
      </c>
      <c r="B1313" s="106">
        <v>-441900</v>
      </c>
      <c r="C1313" s="106">
        <v>0</v>
      </c>
      <c r="D1313" s="106">
        <v>441900</v>
      </c>
      <c r="E1313" s="106" t="s">
        <v>2152</v>
      </c>
      <c r="F1313" s="106" t="s">
        <v>1286</v>
      </c>
      <c r="G1313" s="106" t="s">
        <v>844</v>
      </c>
      <c r="H1313" s="106">
        <v>3</v>
      </c>
      <c r="I1313" s="104" t="s">
        <v>26</v>
      </c>
      <c r="J1313" s="106">
        <v>5131</v>
      </c>
      <c r="K1313" s="106">
        <v>14073</v>
      </c>
      <c r="L1313" s="106">
        <v>11853</v>
      </c>
      <c r="M1313" s="106">
        <v>0.48</v>
      </c>
      <c r="N1313" s="106">
        <v>0.1</v>
      </c>
      <c r="O1313" s="106">
        <v>0.72</v>
      </c>
      <c r="P1313" s="106">
        <v>1484</v>
      </c>
      <c r="Q1313" s="106">
        <v>627.19428741445995</v>
      </c>
      <c r="R1313" s="106">
        <v>0.10850877644515364</v>
      </c>
      <c r="S1313" s="106">
        <v>12944.659327581077</v>
      </c>
      <c r="T1313" s="106">
        <v>12262.124367747694</v>
      </c>
      <c r="U1313" s="106">
        <v>10112.120159080752</v>
      </c>
      <c r="V1313" s="106">
        <v>0.50957965237061209</v>
      </c>
      <c r="W1313" s="106">
        <v>108310.72749691739</v>
      </c>
      <c r="X1313" s="110">
        <v>0.71045543881784878</v>
      </c>
      <c r="Y1313" s="106">
        <v>727.03125</v>
      </c>
      <c r="Z1313" s="106">
        <v>24.23798076923077</v>
      </c>
      <c r="AA1313" s="106">
        <v>59941.509443863149</v>
      </c>
      <c r="AB1313" s="106">
        <v>337.12082383246945</v>
      </c>
      <c r="AC1313" s="106">
        <v>1.6682929897461578</v>
      </c>
      <c r="AD1313" s="106">
        <v>20.84558823529412</v>
      </c>
      <c r="AE1313" s="106">
        <v>177.80423280423281</v>
      </c>
      <c r="AF1313" s="106">
        <v>0.18480270574971816</v>
      </c>
      <c r="AG1313" s="106">
        <v>4553</v>
      </c>
      <c r="AH1313" s="106">
        <v>11692.650996727165</v>
      </c>
      <c r="AI1313" s="106">
        <v>12595.358524248735</v>
      </c>
      <c r="AJ1313" s="106">
        <v>13142.219577506694</v>
      </c>
      <c r="AK1313" s="104">
        <v>11557.274620648617</v>
      </c>
      <c r="AL1313" s="119">
        <v>17220000</v>
      </c>
      <c r="AM1313" s="118">
        <v>4216</v>
      </c>
      <c r="AN1313" s="118">
        <v>100815</v>
      </c>
      <c r="AO1313" s="118">
        <v>567</v>
      </c>
      <c r="AP1313" s="118">
        <f t="shared" si="20"/>
        <v>578</v>
      </c>
    </row>
    <row r="1314" spans="1:42" ht="12.75">
      <c r="A1314" s="106">
        <v>2018</v>
      </c>
      <c r="B1314" s="106">
        <v>-262129</v>
      </c>
      <c r="C1314" s="106">
        <v>0</v>
      </c>
      <c r="D1314" s="106">
        <v>262129</v>
      </c>
      <c r="E1314" s="106" t="s">
        <v>2153</v>
      </c>
      <c r="F1314" s="106" t="s">
        <v>2154</v>
      </c>
      <c r="G1314" s="106" t="s">
        <v>258</v>
      </c>
      <c r="H1314" s="106">
        <v>3</v>
      </c>
      <c r="I1314" s="104" t="s">
        <v>26</v>
      </c>
      <c r="J1314" s="106">
        <v>6916</v>
      </c>
      <c r="K1314" s="106">
        <v>10308</v>
      </c>
      <c r="L1314" s="106">
        <v>6107</v>
      </c>
      <c r="M1314" s="106">
        <v>0.35</v>
      </c>
      <c r="N1314" s="106">
        <v>0.33</v>
      </c>
      <c r="O1314" s="106">
        <v>0.99</v>
      </c>
      <c r="P1314" s="106">
        <v>5780</v>
      </c>
      <c r="Q1314" s="106">
        <v>4704.3862212943632</v>
      </c>
      <c r="R1314" s="106">
        <v>0.54338171897744258</v>
      </c>
      <c r="S1314" s="106">
        <v>47075.253653444677</v>
      </c>
      <c r="T1314" s="106">
        <v>47283.901878914403</v>
      </c>
      <c r="U1314" s="106">
        <v>36067.83624529135</v>
      </c>
      <c r="V1314" s="106">
        <v>0.10960519814161809</v>
      </c>
      <c r="W1314" s="106">
        <v>87337.211473565811</v>
      </c>
      <c r="X1314" s="110">
        <v>0.5713483944029466</v>
      </c>
      <c r="Y1314" s="106">
        <v>318.91449814126395</v>
      </c>
      <c r="Z1314" s="106">
        <v>10.684014869888475</v>
      </c>
      <c r="AA1314" s="106">
        <v>187787.97349450603</v>
      </c>
      <c r="AB1314" s="106">
        <v>1208.3153980622853</v>
      </c>
      <c r="AC1314" s="106">
        <v>0.53251546485710177</v>
      </c>
      <c r="AD1314" s="106">
        <v>21.420256111757858</v>
      </c>
      <c r="AE1314" s="106">
        <v>155.41304347826087</v>
      </c>
      <c r="AF1314" s="106">
        <v>4.2639113892525934E-2</v>
      </c>
      <c r="AG1314" s="106">
        <v>5227</v>
      </c>
      <c r="AH1314" s="106">
        <v>47343.351774530274</v>
      </c>
      <c r="AI1314" s="106">
        <v>48819.824634655532</v>
      </c>
      <c r="AJ1314" s="106">
        <v>47189.360125260959</v>
      </c>
      <c r="AK1314" s="104">
        <v>39500.254697286015</v>
      </c>
      <c r="AL1314" s="118">
        <v>29524337</v>
      </c>
      <c r="AM1314" s="118">
        <v>835</v>
      </c>
      <c r="AN1314" s="118">
        <v>28596</v>
      </c>
      <c r="AO1314" s="118">
        <v>177</v>
      </c>
      <c r="AP1314" s="118">
        <f t="shared" si="20"/>
        <v>1689</v>
      </c>
    </row>
    <row r="1315" spans="1:42" ht="12.75">
      <c r="A1315" s="106">
        <v>2018</v>
      </c>
      <c r="B1315" s="106">
        <v>-182980</v>
      </c>
      <c r="C1315" s="106">
        <v>0</v>
      </c>
      <c r="D1315" s="106">
        <v>182980</v>
      </c>
      <c r="E1315" s="106" t="s">
        <v>2155</v>
      </c>
      <c r="F1315" s="106" t="s">
        <v>2156</v>
      </c>
      <c r="G1315" s="106" t="s">
        <v>179</v>
      </c>
      <c r="H1315" s="106">
        <v>6</v>
      </c>
      <c r="I1315" s="106" t="s">
        <v>3640</v>
      </c>
      <c r="J1315" s="106">
        <v>24695</v>
      </c>
      <c r="K1315" s="106">
        <v>27800</v>
      </c>
      <c r="L1315" s="106">
        <v>28505</v>
      </c>
      <c r="M1315" s="106">
        <v>0.56000000000000005</v>
      </c>
      <c r="N1315" s="106">
        <v>0.86</v>
      </c>
      <c r="O1315" s="106">
        <v>0.85</v>
      </c>
      <c r="P1315" s="106">
        <v>23555</v>
      </c>
      <c r="Q1315" s="106">
        <v>8766.7664835164833</v>
      </c>
      <c r="R1315" s="106">
        <v>0.46788635761819114</v>
      </c>
      <c r="S1315" s="106">
        <v>16000.716248037677</v>
      </c>
      <c r="T1315" s="106">
        <v>15057.452904238618</v>
      </c>
      <c r="U1315" s="106">
        <v>12820.54457239813</v>
      </c>
      <c r="V1315" s="106">
        <v>0.77767292091742679</v>
      </c>
      <c r="W1315" s="106">
        <v>74290.299625468164</v>
      </c>
      <c r="X1315" s="110">
        <v>0.51700225118912668</v>
      </c>
      <c r="Y1315" s="106">
        <v>758.56834532374114</v>
      </c>
      <c r="Z1315" s="106">
        <v>27.496402877697843</v>
      </c>
      <c r="AA1315" s="106">
        <v>37037.128764705711</v>
      </c>
      <c r="AB1315" s="106">
        <v>464.71601517157137</v>
      </c>
      <c r="AC1315" s="106">
        <v>2.6999933130695148</v>
      </c>
      <c r="AD1315" s="106">
        <v>31.624238078164218</v>
      </c>
      <c r="AE1315" s="106">
        <v>79.698412698412696</v>
      </c>
      <c r="AF1315" s="106">
        <v>9.3549890710882072E-2</v>
      </c>
      <c r="AG1315" s="106">
        <v>23599</v>
      </c>
      <c r="AH1315" s="106">
        <v>14373.499607535321</v>
      </c>
      <c r="AI1315" s="106">
        <v>16115.721350078493</v>
      </c>
      <c r="AJ1315" s="106">
        <v>16374.756671899529</v>
      </c>
      <c r="AK1315" s="104">
        <v>12919.097723704866</v>
      </c>
      <c r="AL1315" s="118"/>
      <c r="AM1315" s="118">
        <v>1844</v>
      </c>
      <c r="AN1315" s="118">
        <v>70294</v>
      </c>
      <c r="AO1315" s="118">
        <v>212</v>
      </c>
      <c r="AP1315" s="118">
        <f t="shared" si="20"/>
        <v>1096</v>
      </c>
    </row>
    <row r="1316" spans="1:42" ht="12.75">
      <c r="A1316" s="106">
        <v>2018</v>
      </c>
      <c r="B1316" s="106">
        <v>-217305</v>
      </c>
      <c r="C1316" s="106">
        <v>0</v>
      </c>
      <c r="D1316" s="106">
        <v>217305</v>
      </c>
      <c r="E1316" s="106" t="s">
        <v>2157</v>
      </c>
      <c r="F1316" s="106" t="s">
        <v>2158</v>
      </c>
      <c r="G1316" s="106" t="s">
        <v>469</v>
      </c>
      <c r="H1316" s="106">
        <v>7</v>
      </c>
      <c r="I1316" s="106" t="s">
        <v>3641</v>
      </c>
      <c r="J1316" s="106">
        <v>28656</v>
      </c>
      <c r="K1316" s="106">
        <v>30624</v>
      </c>
      <c r="L1316" s="106">
        <v>27815</v>
      </c>
      <c r="M1316" s="106">
        <v>0.59</v>
      </c>
      <c r="N1316" s="106">
        <v>0.86</v>
      </c>
      <c r="O1316" s="106">
        <v>0.91</v>
      </c>
      <c r="P1316" s="106">
        <v>6722</v>
      </c>
      <c r="Q1316" s="106">
        <v>3664.868752015479</v>
      </c>
      <c r="R1316" s="106">
        <v>0.17187462403988435</v>
      </c>
      <c r="S1316" s="106">
        <v>23046.226378587551</v>
      </c>
      <c r="T1316" s="106">
        <v>22229.885843276363</v>
      </c>
      <c r="U1316" s="106">
        <v>21370.867610650821</v>
      </c>
      <c r="V1316" s="106">
        <v>0.826267372506158</v>
      </c>
      <c r="W1316" s="106">
        <v>93346.386994448854</v>
      </c>
      <c r="X1316" s="110">
        <v>0.56918355811650401</v>
      </c>
      <c r="Y1316" s="106">
        <v>704.69949066213928</v>
      </c>
      <c r="Z1316" s="106">
        <v>15.794567062818338</v>
      </c>
      <c r="AA1316" s="106">
        <v>58285.893105213894</v>
      </c>
      <c r="AB1316" s="106">
        <v>478.98942193058627</v>
      </c>
      <c r="AC1316" s="106">
        <v>1.7156810108320124</v>
      </c>
      <c r="AD1316" s="106">
        <v>45.589414595028067</v>
      </c>
      <c r="AE1316" s="106">
        <v>121.68513632365875</v>
      </c>
      <c r="AF1316" s="106">
        <v>4.261844986610154E-2</v>
      </c>
      <c r="AG1316" s="106">
        <v>27000</v>
      </c>
      <c r="AH1316" s="106">
        <v>20493.904546920348</v>
      </c>
      <c r="AI1316" s="106">
        <v>20681.649790390198</v>
      </c>
      <c r="AJ1316" s="106">
        <v>25952.126088358593</v>
      </c>
      <c r="AK1316" s="104">
        <v>21452.533376330215</v>
      </c>
      <c r="AL1316" s="118"/>
      <c r="AM1316" s="118">
        <v>2658</v>
      </c>
      <c r="AN1316" s="118">
        <v>138356</v>
      </c>
      <c r="AO1316" s="118">
        <v>1094</v>
      </c>
      <c r="AP1316" s="118">
        <f t="shared" si="20"/>
        <v>1656</v>
      </c>
    </row>
    <row r="1317" spans="1:42" ht="12.75">
      <c r="A1317" s="106">
        <v>2018</v>
      </c>
      <c r="B1317" s="106">
        <v>-185129</v>
      </c>
      <c r="C1317" s="106">
        <v>0</v>
      </c>
      <c r="D1317" s="106">
        <v>185129</v>
      </c>
      <c r="E1317" s="106" t="s">
        <v>2159</v>
      </c>
      <c r="F1317" s="106" t="s">
        <v>1526</v>
      </c>
      <c r="G1317" s="106" t="s">
        <v>234</v>
      </c>
      <c r="H1317" s="106">
        <v>2</v>
      </c>
      <c r="I1317" s="106" t="s">
        <v>25</v>
      </c>
      <c r="J1317" s="106">
        <v>11760</v>
      </c>
      <c r="K1317" s="106">
        <v>12476</v>
      </c>
      <c r="L1317" s="106">
        <v>11365</v>
      </c>
      <c r="M1317" s="106">
        <v>0.74</v>
      </c>
      <c r="N1317" s="106">
        <v>0.4</v>
      </c>
      <c r="O1317" s="106">
        <v>0.33</v>
      </c>
      <c r="P1317" s="106">
        <v>5193</v>
      </c>
      <c r="Q1317" s="106">
        <v>873.91269841269843</v>
      </c>
      <c r="R1317" s="106">
        <v>6.3006130952897629E-2</v>
      </c>
      <c r="S1317" s="106">
        <v>24669.131027253668</v>
      </c>
      <c r="T1317" s="106">
        <v>27353.768493560947</v>
      </c>
      <c r="U1317" s="106">
        <v>20527.176070415226</v>
      </c>
      <c r="V1317" s="106">
        <v>0.63312983629386987</v>
      </c>
      <c r="W1317" s="106">
        <v>108476.54589226602</v>
      </c>
      <c r="X1317" s="110">
        <v>0.65778104251447533</v>
      </c>
      <c r="Y1317" s="106">
        <v>435.49103139013454</v>
      </c>
      <c r="Z1317" s="106">
        <v>14.973094170403588</v>
      </c>
      <c r="AA1317" s="106">
        <v>73580.50552776859</v>
      </c>
      <c r="AB1317" s="106">
        <v>705.76732515861625</v>
      </c>
      <c r="AC1317" s="106">
        <v>1.3590556259804567</v>
      </c>
      <c r="AD1317" s="106">
        <v>28.193099273607746</v>
      </c>
      <c r="AE1317" s="106">
        <v>104.25603864734299</v>
      </c>
      <c r="AF1317" s="106">
        <v>0.76788317991884603</v>
      </c>
      <c r="AG1317" s="106">
        <v>8348</v>
      </c>
      <c r="AH1317" s="106">
        <v>27278.091793950283</v>
      </c>
      <c r="AI1317" s="106">
        <v>27278.091793950283</v>
      </c>
      <c r="AJ1317" s="106">
        <v>24710.555555555555</v>
      </c>
      <c r="AK1317" s="104">
        <v>20869.353998203056</v>
      </c>
      <c r="AL1317" s="118">
        <v>61512428</v>
      </c>
      <c r="AM1317" s="118">
        <v>6508</v>
      </c>
      <c r="AN1317" s="118">
        <v>194229</v>
      </c>
      <c r="AO1317" s="118">
        <v>1392</v>
      </c>
      <c r="AP1317" s="118">
        <f t="shared" si="20"/>
        <v>3412</v>
      </c>
    </row>
    <row r="1318" spans="1:42" ht="12.75">
      <c r="A1318" s="106">
        <v>2018</v>
      </c>
      <c r="B1318" s="106">
        <v>-185828</v>
      </c>
      <c r="C1318" s="106">
        <v>0</v>
      </c>
      <c r="D1318" s="106">
        <v>185828</v>
      </c>
      <c r="E1318" s="106" t="s">
        <v>2160</v>
      </c>
      <c r="F1318" s="106" t="s">
        <v>676</v>
      </c>
      <c r="G1318" s="106" t="s">
        <v>234</v>
      </c>
      <c r="H1318" s="106">
        <v>1</v>
      </c>
      <c r="I1318" s="106" t="s">
        <v>23</v>
      </c>
      <c r="J1318" s="106">
        <v>16898</v>
      </c>
      <c r="K1318" s="106">
        <v>17855</v>
      </c>
      <c r="L1318" s="106">
        <v>12294</v>
      </c>
      <c r="M1318" s="106">
        <v>0.34</v>
      </c>
      <c r="N1318" s="106">
        <v>0.44</v>
      </c>
      <c r="O1318" s="106">
        <v>0.67</v>
      </c>
      <c r="P1318" s="106">
        <v>10962</v>
      </c>
      <c r="Q1318" s="106">
        <v>4134.9408251299637</v>
      </c>
      <c r="R1318" s="106">
        <v>0.19463939854634821</v>
      </c>
      <c r="S1318" s="106">
        <v>45989.713527264685</v>
      </c>
      <c r="T1318" s="106">
        <v>47711.7575489437</v>
      </c>
      <c r="U1318" s="106">
        <v>27370.238492129105</v>
      </c>
      <c r="V1318" s="106">
        <v>0.62510121512441041</v>
      </c>
      <c r="W1318" s="106">
        <v>169380.53676631028</v>
      </c>
      <c r="X1318" s="110">
        <v>0.59986044204171907</v>
      </c>
      <c r="Y1318" s="106">
        <v>435.33741648106906</v>
      </c>
      <c r="Z1318" s="106">
        <v>15.101893095768375</v>
      </c>
      <c r="AA1318" s="106">
        <v>86674.019687334236</v>
      </c>
      <c r="AB1318" s="106">
        <v>949.47596982349626</v>
      </c>
      <c r="AC1318" s="106">
        <v>1.153748266905557</v>
      </c>
      <c r="AD1318" s="106">
        <v>30.14465209587161</v>
      </c>
      <c r="AE1318" s="106">
        <v>91.286164623467599</v>
      </c>
      <c r="AF1318" s="106">
        <v>-1.657873297211144E-3</v>
      </c>
      <c r="AG1318" s="106">
        <v>13906</v>
      </c>
      <c r="AH1318" s="106">
        <v>46978.874018360802</v>
      </c>
      <c r="AI1318" s="106">
        <v>47508.903882313905</v>
      </c>
      <c r="AJ1318" s="106">
        <v>47334.365667514656</v>
      </c>
      <c r="AK1318" s="104">
        <v>44831.987611989825</v>
      </c>
      <c r="AL1318" s="118">
        <v>124010000</v>
      </c>
      <c r="AM1318" s="118">
        <v>8483</v>
      </c>
      <c r="AN1318" s="118">
        <v>260622</v>
      </c>
      <c r="AO1318" s="118">
        <v>1631</v>
      </c>
      <c r="AP1318" s="118">
        <f t="shared" si="20"/>
        <v>2992</v>
      </c>
    </row>
    <row r="1319" spans="1:42" ht="12.75">
      <c r="A1319" s="106">
        <v>2018</v>
      </c>
      <c r="B1319" s="106">
        <v>-187897</v>
      </c>
      <c r="C1319" s="106">
        <v>0</v>
      </c>
      <c r="D1319" s="106">
        <v>187897</v>
      </c>
      <c r="E1319" s="106" t="s">
        <v>2161</v>
      </c>
      <c r="F1319" s="106" t="s">
        <v>843</v>
      </c>
      <c r="G1319" s="106" t="s">
        <v>674</v>
      </c>
      <c r="H1319" s="106">
        <v>2</v>
      </c>
      <c r="I1319" s="106" t="s">
        <v>25</v>
      </c>
      <c r="J1319" s="106">
        <v>5954</v>
      </c>
      <c r="K1319" s="106">
        <v>10821</v>
      </c>
      <c r="L1319" s="106">
        <v>8998</v>
      </c>
      <c r="M1319" s="106">
        <v>0.67</v>
      </c>
      <c r="N1319" s="106">
        <v>0.23</v>
      </c>
      <c r="O1319" s="106">
        <v>0.81</v>
      </c>
      <c r="P1319" s="106">
        <v>3563</v>
      </c>
      <c r="Q1319" s="106">
        <v>369.14448111477816</v>
      </c>
      <c r="R1319" s="106">
        <v>5.0386473804746694E-2</v>
      </c>
      <c r="S1319" s="106">
        <v>25000.476347634765</v>
      </c>
      <c r="T1319" s="106">
        <v>30068.066740007333</v>
      </c>
      <c r="U1319" s="106">
        <v>14427.269927874593</v>
      </c>
      <c r="V1319" s="106">
        <v>0.48221992193566843</v>
      </c>
      <c r="W1319" s="106">
        <v>89115.92127521144</v>
      </c>
      <c r="X1319" s="110">
        <v>0.55682313413382656</v>
      </c>
      <c r="Y1319" s="106">
        <v>397.76748251748256</v>
      </c>
      <c r="Z1319" s="106">
        <v>14.302447552447553</v>
      </c>
      <c r="AA1319" s="106">
        <v>41545.052896846901</v>
      </c>
      <c r="AB1319" s="106">
        <v>518.7585223469365</v>
      </c>
      <c r="AC1319" s="106">
        <v>2.4070254585616278</v>
      </c>
      <c r="AD1319" s="106">
        <v>39.873684210526314</v>
      </c>
      <c r="AE1319" s="106">
        <v>80.085533262935584</v>
      </c>
      <c r="AF1319" s="106">
        <v>-0.30739433066458705</v>
      </c>
      <c r="AG1319" s="106">
        <v>4248</v>
      </c>
      <c r="AH1319" s="106">
        <v>23342.66519985332</v>
      </c>
      <c r="AI1319" s="106">
        <v>23342.66519985332</v>
      </c>
      <c r="AJ1319" s="106">
        <v>25216.667766776678</v>
      </c>
      <c r="AK1319" s="104">
        <v>21779.906857352402</v>
      </c>
      <c r="AL1319" s="119">
        <v>29090900</v>
      </c>
      <c r="AM1319" s="118">
        <v>1935</v>
      </c>
      <c r="AN1319" s="118">
        <v>75841</v>
      </c>
      <c r="AO1319" s="118">
        <v>521</v>
      </c>
      <c r="AP1319" s="118">
        <f t="shared" si="20"/>
        <v>1706</v>
      </c>
    </row>
    <row r="1320" spans="1:42" ht="12.75">
      <c r="A1320" s="106">
        <v>2018</v>
      </c>
      <c r="B1320" s="106">
        <v>-187967</v>
      </c>
      <c r="C1320" s="106">
        <v>0</v>
      </c>
      <c r="D1320" s="106">
        <v>187967</v>
      </c>
      <c r="E1320" s="106" t="s">
        <v>2162</v>
      </c>
      <c r="F1320" s="106" t="s">
        <v>2163</v>
      </c>
      <c r="G1320" s="106" t="s">
        <v>674</v>
      </c>
      <c r="H1320" s="106">
        <v>2</v>
      </c>
      <c r="I1320" s="106" t="s">
        <v>25</v>
      </c>
      <c r="J1320" s="106">
        <v>7183</v>
      </c>
      <c r="K1320" s="106">
        <v>14641</v>
      </c>
      <c r="L1320" s="106">
        <v>9948</v>
      </c>
      <c r="M1320" s="106">
        <v>0.32</v>
      </c>
      <c r="N1320" s="106">
        <v>0.62</v>
      </c>
      <c r="O1320" s="106">
        <v>0.8</v>
      </c>
      <c r="P1320" s="106">
        <v>3201</v>
      </c>
      <c r="Q1320" s="106">
        <v>2361.3661631419941</v>
      </c>
      <c r="R1320" s="106">
        <v>0.28019791644410591</v>
      </c>
      <c r="S1320" s="106">
        <v>78014.087009063442</v>
      </c>
      <c r="T1320" s="106">
        <v>96533.150453172202</v>
      </c>
      <c r="U1320" s="106">
        <v>12378.382965378691</v>
      </c>
      <c r="V1320" s="106">
        <v>0.49005815294401417</v>
      </c>
      <c r="W1320" s="106">
        <v>79574.014440433224</v>
      </c>
      <c r="X1320" s="110">
        <v>0.36791313378412455</v>
      </c>
      <c r="Y1320" s="106">
        <v>306.72127659574471</v>
      </c>
      <c r="Z1320" s="106">
        <v>10.563829787234043</v>
      </c>
      <c r="AA1320" s="106">
        <v>51602.578860709655</v>
      </c>
      <c r="AB1320" s="106">
        <v>426.32559481617659</v>
      </c>
      <c r="AC1320" s="106">
        <v>1.9378876445289495</v>
      </c>
      <c r="AD1320" s="106">
        <v>23.380447585394581</v>
      </c>
      <c r="AE1320" s="106">
        <v>121.04030226700252</v>
      </c>
      <c r="AF1320" s="106">
        <v>-8.5152795646109086E-2</v>
      </c>
      <c r="AG1320" s="106">
        <v>6133</v>
      </c>
      <c r="AH1320" s="106">
        <v>75406.647129909368</v>
      </c>
      <c r="AI1320" s="106">
        <v>77055.479154078552</v>
      </c>
      <c r="AJ1320" s="106">
        <v>78446.28882175227</v>
      </c>
      <c r="AK1320" s="104">
        <v>51717.224169184286</v>
      </c>
      <c r="AL1320" s="118">
        <v>35800310</v>
      </c>
      <c r="AM1320" s="118">
        <v>1471</v>
      </c>
      <c r="AN1320" s="118">
        <v>48053</v>
      </c>
      <c r="AO1320" s="118">
        <v>295</v>
      </c>
      <c r="AP1320" s="118">
        <f t="shared" si="20"/>
        <v>1050</v>
      </c>
    </row>
    <row r="1321" spans="1:42" ht="12.75">
      <c r="A1321" s="106">
        <v>2018</v>
      </c>
      <c r="B1321" s="106">
        <v>-187903</v>
      </c>
      <c r="C1321" s="106">
        <v>0</v>
      </c>
      <c r="D1321" s="106">
        <v>187903</v>
      </c>
      <c r="E1321" s="106" t="s">
        <v>2164</v>
      </c>
      <c r="F1321" s="106" t="s">
        <v>2165</v>
      </c>
      <c r="G1321" s="106" t="s">
        <v>674</v>
      </c>
      <c r="H1321" s="106">
        <v>4</v>
      </c>
      <c r="I1321" s="106" t="s">
        <v>24</v>
      </c>
      <c r="J1321" s="106">
        <v>1320</v>
      </c>
      <c r="K1321" s="106">
        <v>6364</v>
      </c>
      <c r="L1321" s="106">
        <v>5878</v>
      </c>
      <c r="M1321" s="106">
        <v>0.53</v>
      </c>
      <c r="N1321" s="106">
        <v>0.08</v>
      </c>
      <c r="O1321" s="106">
        <v>0.26</v>
      </c>
      <c r="P1321" s="106">
        <v>1657</v>
      </c>
      <c r="Q1321" s="106"/>
      <c r="R1321" s="106"/>
      <c r="S1321" s="106">
        <v>26447.709228090538</v>
      </c>
      <c r="T1321" s="106">
        <v>25382.678467788741</v>
      </c>
      <c r="U1321" s="106">
        <v>13515.437927476811</v>
      </c>
      <c r="V1321" s="106">
        <v>0.19520266963374996</v>
      </c>
      <c r="W1321" s="106">
        <v>93485.157384987906</v>
      </c>
      <c r="X1321" s="110">
        <v>0.5885437203772641</v>
      </c>
      <c r="Y1321" s="106">
        <v>578.52985074626872</v>
      </c>
      <c r="Z1321" s="106">
        <v>19.287313432835823</v>
      </c>
      <c r="AA1321" s="106">
        <v>58954.682402639351</v>
      </c>
      <c r="AB1321" s="106">
        <v>450.58433398557611</v>
      </c>
      <c r="AC1321" s="106">
        <v>1.6962181106673739</v>
      </c>
      <c r="AD1321" s="106">
        <v>31.499202551834131</v>
      </c>
      <c r="AE1321" s="106">
        <v>130.84050632911394</v>
      </c>
      <c r="AF1321" s="106">
        <v>8.1083760556124804E-2</v>
      </c>
      <c r="AG1321" s="106">
        <v>888</v>
      </c>
      <c r="AH1321" s="106">
        <v>24971.18978525827</v>
      </c>
      <c r="AI1321" s="106">
        <v>24971.18978525827</v>
      </c>
      <c r="AJ1321" s="106">
        <v>26528.124201973304</v>
      </c>
      <c r="AK1321" s="104">
        <v>16034.178757980268</v>
      </c>
      <c r="AL1321" s="118">
        <v>32840812</v>
      </c>
      <c r="AM1321" s="118">
        <v>2310</v>
      </c>
      <c r="AN1321" s="118">
        <v>51682</v>
      </c>
      <c r="AO1321" s="118">
        <v>315</v>
      </c>
      <c r="AP1321" s="118">
        <f t="shared" si="20"/>
        <v>432</v>
      </c>
    </row>
    <row r="1322" spans="1:42" ht="12.75">
      <c r="A1322" s="106">
        <v>2018</v>
      </c>
      <c r="B1322" s="106">
        <v>-187912</v>
      </c>
      <c r="C1322" s="106">
        <v>0</v>
      </c>
      <c r="D1322" s="106">
        <v>187912</v>
      </c>
      <c r="E1322" s="106" t="s">
        <v>2166</v>
      </c>
      <c r="F1322" s="106" t="s">
        <v>1125</v>
      </c>
      <c r="G1322" s="106" t="s">
        <v>674</v>
      </c>
      <c r="H1322" s="106">
        <v>4</v>
      </c>
      <c r="I1322" s="106" t="s">
        <v>24</v>
      </c>
      <c r="J1322" s="106">
        <v>4318</v>
      </c>
      <c r="K1322" s="106">
        <v>6954</v>
      </c>
      <c r="L1322" s="106">
        <v>1947</v>
      </c>
      <c r="M1322" s="106">
        <v>0.33</v>
      </c>
      <c r="N1322" s="106">
        <v>0.18</v>
      </c>
      <c r="O1322" s="106">
        <v>0.96</v>
      </c>
      <c r="P1322" s="106">
        <v>6223</v>
      </c>
      <c r="Q1322" s="106">
        <v>5218.3874709976799</v>
      </c>
      <c r="R1322" s="106">
        <v>0.36584606105402051</v>
      </c>
      <c r="S1322" s="106">
        <v>29100.259860788865</v>
      </c>
      <c r="T1322" s="106">
        <v>52984.498839907195</v>
      </c>
      <c r="U1322" s="106">
        <v>36273.436194895592</v>
      </c>
      <c r="V1322" s="106">
        <v>0.2493698449601445</v>
      </c>
      <c r="W1322" s="106">
        <v>38248.428238039669</v>
      </c>
      <c r="X1322" s="110">
        <v>0.47846156817129765</v>
      </c>
      <c r="Y1322" s="106">
        <v>155.328</v>
      </c>
      <c r="Z1322" s="106">
        <v>5.1720000000000006</v>
      </c>
      <c r="AA1322" s="106">
        <v>121192.64341085272</v>
      </c>
      <c r="AB1322" s="106">
        <v>1207.8067830655129</v>
      </c>
      <c r="AC1322" s="106">
        <v>0.82513259209135359</v>
      </c>
      <c r="AD1322" s="106">
        <v>30.787589498806682</v>
      </c>
      <c r="AE1322" s="106">
        <v>100.34108527131782</v>
      </c>
      <c r="AF1322" s="106">
        <v>1.0406069495871906E-2</v>
      </c>
      <c r="AG1322" s="106">
        <v>400</v>
      </c>
      <c r="AH1322" s="106">
        <v>26300.568445475637</v>
      </c>
      <c r="AI1322" s="106">
        <v>26417.737819025522</v>
      </c>
      <c r="AJ1322" s="106">
        <v>66281.229698375872</v>
      </c>
      <c r="AK1322" s="104">
        <v>39249.638051044087</v>
      </c>
      <c r="AL1322" s="118"/>
      <c r="AM1322" s="118">
        <v>419</v>
      </c>
      <c r="AN1322" s="118">
        <v>12944</v>
      </c>
      <c r="AO1322" s="118">
        <v>129</v>
      </c>
      <c r="AP1322" s="118">
        <f t="shared" si="20"/>
        <v>3918</v>
      </c>
    </row>
    <row r="1323" spans="1:42" ht="12.75">
      <c r="A1323" s="106">
        <v>2018</v>
      </c>
      <c r="B1323" s="106">
        <v>-187994</v>
      </c>
      <c r="C1323" s="106">
        <v>0</v>
      </c>
      <c r="D1323" s="106">
        <v>187994</v>
      </c>
      <c r="E1323" s="106" t="s">
        <v>4155</v>
      </c>
      <c r="F1323" s="106" t="s">
        <v>4156</v>
      </c>
      <c r="G1323" s="106" t="s">
        <v>674</v>
      </c>
      <c r="H1323" s="106">
        <v>4</v>
      </c>
      <c r="I1323" s="106" t="s">
        <v>24</v>
      </c>
      <c r="J1323" s="106">
        <v>2064</v>
      </c>
      <c r="K1323" s="106">
        <v>7290</v>
      </c>
      <c r="L1323" s="106">
        <v>5148</v>
      </c>
      <c r="M1323" s="106">
        <v>0.57999999999999996</v>
      </c>
      <c r="N1323" s="106">
        <v>7.0000000000000007E-2</v>
      </c>
      <c r="O1323" s="106">
        <v>0.54</v>
      </c>
      <c r="P1323" s="106">
        <v>1085</v>
      </c>
      <c r="Q1323" s="106">
        <v>162.03369434416365</v>
      </c>
      <c r="R1323" s="106">
        <v>5.4575197042198605E-2</v>
      </c>
      <c r="S1323" s="106">
        <v>14457.513838748495</v>
      </c>
      <c r="T1323" s="106">
        <v>17666.160048134778</v>
      </c>
      <c r="U1323" s="106">
        <v>15576.027707068151</v>
      </c>
      <c r="V1323" s="106">
        <v>0.18021058738953361</v>
      </c>
      <c r="W1323" s="106">
        <v>67208.566473988438</v>
      </c>
      <c r="X1323" s="110">
        <v>0.52800288054033839</v>
      </c>
      <c r="Y1323" s="106">
        <v>476.27388535031849</v>
      </c>
      <c r="Z1323" s="106">
        <v>15.878980891719747</v>
      </c>
      <c r="AA1323" s="106">
        <v>98058.174428588129</v>
      </c>
      <c r="AB1323" s="106">
        <v>519.30507621158006</v>
      </c>
      <c r="AC1323" s="106">
        <v>1.0198027913810084</v>
      </c>
      <c r="AD1323" s="106">
        <v>15.420560747663551</v>
      </c>
      <c r="AE1323" s="106">
        <v>188.82575757575756</v>
      </c>
      <c r="AF1323" s="106"/>
      <c r="AG1323" s="106">
        <v>1872</v>
      </c>
      <c r="AH1323" s="106">
        <v>13128.779783393502</v>
      </c>
      <c r="AI1323" s="106">
        <v>13155.614921780987</v>
      </c>
      <c r="AJ1323" s="106">
        <v>14484.333333333334</v>
      </c>
      <c r="AK1323" s="104">
        <v>17541.530685920578</v>
      </c>
      <c r="AL1323" s="118">
        <v>7719439</v>
      </c>
      <c r="AM1323" s="118">
        <v>1710</v>
      </c>
      <c r="AN1323" s="118">
        <v>24925</v>
      </c>
      <c r="AO1323" s="118">
        <v>121</v>
      </c>
      <c r="AP1323" s="118">
        <f t="shared" si="20"/>
        <v>192</v>
      </c>
    </row>
    <row r="1324" spans="1:42" ht="12.75">
      <c r="A1324" s="106">
        <v>2018</v>
      </c>
      <c r="B1324" s="106">
        <v>-188003</v>
      </c>
      <c r="C1324" s="106">
        <v>0</v>
      </c>
      <c r="D1324" s="106">
        <v>188003</v>
      </c>
      <c r="E1324" s="106" t="s">
        <v>4157</v>
      </c>
      <c r="F1324" s="106" t="s">
        <v>4158</v>
      </c>
      <c r="G1324" s="106" t="s">
        <v>674</v>
      </c>
      <c r="H1324" s="106">
        <v>4</v>
      </c>
      <c r="I1324" s="106" t="s">
        <v>24</v>
      </c>
      <c r="J1324" s="106">
        <v>1276</v>
      </c>
      <c r="K1324" s="106">
        <v>8436</v>
      </c>
      <c r="L1324" s="106">
        <v>5677</v>
      </c>
      <c r="M1324" s="106">
        <v>0.45</v>
      </c>
      <c r="N1324" s="106">
        <v>0.03</v>
      </c>
      <c r="O1324" s="106">
        <v>0.18</v>
      </c>
      <c r="P1324" s="106">
        <v>896</v>
      </c>
      <c r="Q1324" s="106">
        <v>51.338278931750743</v>
      </c>
      <c r="R1324" s="106">
        <v>3.1896006592689416E-2</v>
      </c>
      <c r="S1324" s="106">
        <v>16108.392680514342</v>
      </c>
      <c r="T1324" s="106">
        <v>15761.286844708209</v>
      </c>
      <c r="U1324" s="106">
        <v>13419.743527123284</v>
      </c>
      <c r="V1324" s="106">
        <v>0.11611351936065335</v>
      </c>
      <c r="W1324" s="106">
        <v>66589.627840909088</v>
      </c>
      <c r="X1324" s="110">
        <v>0.4903262767874384</v>
      </c>
      <c r="Y1324" s="106">
        <v>587.24516129032259</v>
      </c>
      <c r="Z1324" s="106">
        <v>19.567741935483873</v>
      </c>
      <c r="AA1324" s="106">
        <v>74957.793955368179</v>
      </c>
      <c r="AB1324" s="106">
        <v>447.16260854690489</v>
      </c>
      <c r="AC1324" s="106">
        <v>1.3340840854994025</v>
      </c>
      <c r="AD1324" s="106">
        <v>18.282828282828284</v>
      </c>
      <c r="AE1324" s="106">
        <v>167.62983425414365</v>
      </c>
      <c r="AF1324" s="106"/>
      <c r="AG1324" s="106">
        <v>984</v>
      </c>
      <c r="AH1324" s="106">
        <v>15354.708209693374</v>
      </c>
      <c r="AI1324" s="106">
        <v>15364.386745796241</v>
      </c>
      <c r="AJ1324" s="106">
        <v>16141.917903066271</v>
      </c>
      <c r="AK1324" s="104">
        <v>15311.876360039565</v>
      </c>
      <c r="AL1324" s="118">
        <v>12128371</v>
      </c>
      <c r="AM1324" s="118">
        <v>1952</v>
      </c>
      <c r="AN1324" s="118">
        <v>30341</v>
      </c>
      <c r="AO1324" s="118">
        <v>156</v>
      </c>
      <c r="AP1324" s="118">
        <f t="shared" si="20"/>
        <v>292</v>
      </c>
    </row>
    <row r="1325" spans="1:42" ht="12.75">
      <c r="A1325" s="106">
        <v>2018</v>
      </c>
      <c r="B1325" s="106">
        <v>-187620</v>
      </c>
      <c r="C1325" s="106">
        <v>0</v>
      </c>
      <c r="D1325" s="106">
        <v>187620</v>
      </c>
      <c r="E1325" s="106" t="s">
        <v>4159</v>
      </c>
      <c r="F1325" s="106" t="s">
        <v>4160</v>
      </c>
      <c r="G1325" s="106" t="s">
        <v>674</v>
      </c>
      <c r="H1325" s="106">
        <v>4</v>
      </c>
      <c r="I1325" s="106" t="s">
        <v>24</v>
      </c>
      <c r="J1325" s="106">
        <v>1728</v>
      </c>
      <c r="K1325" s="106">
        <v>6131</v>
      </c>
      <c r="L1325" s="106">
        <v>4703</v>
      </c>
      <c r="M1325" s="106">
        <v>0.71</v>
      </c>
      <c r="N1325" s="106">
        <v>0.21</v>
      </c>
      <c r="O1325" s="106">
        <v>0.02</v>
      </c>
      <c r="P1325" s="106">
        <v>1093</v>
      </c>
      <c r="Q1325" s="106">
        <v>87.39216503438216</v>
      </c>
      <c r="R1325" s="106">
        <v>3.925518712377072E-2</v>
      </c>
      <c r="S1325" s="106">
        <v>10585.173161075223</v>
      </c>
      <c r="T1325" s="106">
        <v>12711.967284851011</v>
      </c>
      <c r="U1325" s="106">
        <v>9833.575073366721</v>
      </c>
      <c r="V1325" s="106">
        <v>0.2175064085077546</v>
      </c>
      <c r="W1325" s="106">
        <v>60947.055118110235</v>
      </c>
      <c r="X1325" s="110">
        <v>0.46522641006318016</v>
      </c>
      <c r="Y1325" s="106">
        <v>571.32539682539687</v>
      </c>
      <c r="Z1325" s="106">
        <v>19.043650793650794</v>
      </c>
      <c r="AA1325" s="106">
        <v>33163.265479330214</v>
      </c>
      <c r="AB1325" s="106">
        <v>327.77672897250125</v>
      </c>
      <c r="AC1325" s="106">
        <v>3.015384599635623</v>
      </c>
      <c r="AD1325" s="106">
        <v>28.380534503390507</v>
      </c>
      <c r="AE1325" s="106">
        <v>101.17638791286015</v>
      </c>
      <c r="AF1325" s="106"/>
      <c r="AG1325" s="106">
        <v>1536</v>
      </c>
      <c r="AH1325" s="106">
        <v>8645.7876640966861</v>
      </c>
      <c r="AI1325" s="106">
        <v>8679.655761617003</v>
      </c>
      <c r="AJ1325" s="106">
        <v>10616.666388831007</v>
      </c>
      <c r="AK1325" s="104">
        <v>12249.75098978954</v>
      </c>
      <c r="AL1325" s="119">
        <v>27536607</v>
      </c>
      <c r="AM1325" s="118">
        <v>7917</v>
      </c>
      <c r="AN1325" s="118">
        <v>143974</v>
      </c>
      <c r="AO1325" s="118">
        <v>1046</v>
      </c>
      <c r="AP1325" s="118">
        <f t="shared" si="20"/>
        <v>192</v>
      </c>
    </row>
    <row r="1326" spans="1:42" ht="12.75">
      <c r="A1326" s="106">
        <v>2018</v>
      </c>
      <c r="B1326" s="106">
        <v>-188021</v>
      </c>
      <c r="C1326" s="106">
        <v>0</v>
      </c>
      <c r="D1326" s="106">
        <v>188021</v>
      </c>
      <c r="E1326" s="106" t="s">
        <v>4161</v>
      </c>
      <c r="F1326" s="106" t="s">
        <v>4162</v>
      </c>
      <c r="G1326" s="106" t="s">
        <v>674</v>
      </c>
      <c r="H1326" s="106">
        <v>4</v>
      </c>
      <c r="I1326" s="106" t="s">
        <v>24</v>
      </c>
      <c r="J1326" s="106">
        <v>2064</v>
      </c>
      <c r="K1326" s="106">
        <v>5688</v>
      </c>
      <c r="L1326" s="106">
        <v>4521</v>
      </c>
      <c r="M1326" s="106">
        <v>0.83</v>
      </c>
      <c r="N1326" s="106">
        <v>0.08</v>
      </c>
      <c r="O1326" s="106">
        <v>0.18</v>
      </c>
      <c r="P1326" s="106">
        <v>1250</v>
      </c>
      <c r="Q1326" s="106">
        <v>149.83292978208232</v>
      </c>
      <c r="R1326" s="106">
        <v>6.7099459135918665E-2</v>
      </c>
      <c r="S1326" s="106">
        <v>14708.324455205811</v>
      </c>
      <c r="T1326" s="106">
        <v>16685.135593220341</v>
      </c>
      <c r="U1326" s="106">
        <v>13629.03576748577</v>
      </c>
      <c r="V1326" s="106">
        <v>0.15284754434940526</v>
      </c>
      <c r="W1326" s="106">
        <v>53079.466666666667</v>
      </c>
      <c r="X1326" s="110">
        <v>0.46216601719266731</v>
      </c>
      <c r="Y1326" s="106">
        <v>395.2021276595745</v>
      </c>
      <c r="Z1326" s="106">
        <v>13.180851063829788</v>
      </c>
      <c r="AA1326" s="106">
        <v>53607.540685444023</v>
      </c>
      <c r="AB1326" s="106">
        <v>454.55800468154911</v>
      </c>
      <c r="AC1326" s="106">
        <v>1.8654092077600726</v>
      </c>
      <c r="AD1326" s="106">
        <v>23.972602739726025</v>
      </c>
      <c r="AE1326" s="106">
        <v>117.93333333333334</v>
      </c>
      <c r="AF1326" s="106"/>
      <c r="AG1326" s="106">
        <v>1872</v>
      </c>
      <c r="AH1326" s="106">
        <v>13102.1598062954</v>
      </c>
      <c r="AI1326" s="106">
        <v>13118.387409200968</v>
      </c>
      <c r="AJ1326" s="106">
        <v>14857.484261501211</v>
      </c>
      <c r="AK1326" s="104">
        <v>16542.697336561745</v>
      </c>
      <c r="AL1326" s="118">
        <v>3640685</v>
      </c>
      <c r="AM1326" s="118">
        <v>963</v>
      </c>
      <c r="AN1326" s="118">
        <v>12383</v>
      </c>
      <c r="AO1326" s="118">
        <v>66</v>
      </c>
      <c r="AP1326" s="118">
        <f t="shared" si="20"/>
        <v>192</v>
      </c>
    </row>
    <row r="1327" spans="1:42" ht="12.75">
      <c r="A1327" s="106">
        <v>2018</v>
      </c>
      <c r="B1327" s="106">
        <v>-188030</v>
      </c>
      <c r="C1327" s="106">
        <v>0</v>
      </c>
      <c r="D1327" s="106">
        <v>188030</v>
      </c>
      <c r="E1327" s="106" t="s">
        <v>4163</v>
      </c>
      <c r="F1327" s="106" t="s">
        <v>4160</v>
      </c>
      <c r="G1327" s="106" t="s">
        <v>674</v>
      </c>
      <c r="H1327" s="106">
        <v>1</v>
      </c>
      <c r="I1327" s="106" t="s">
        <v>23</v>
      </c>
      <c r="J1327" s="106">
        <v>6461</v>
      </c>
      <c r="K1327" s="106">
        <v>9462</v>
      </c>
      <c r="L1327" s="106">
        <v>5954</v>
      </c>
      <c r="M1327" s="106">
        <v>0.48</v>
      </c>
      <c r="N1327" s="106">
        <v>0.32</v>
      </c>
      <c r="O1327" s="106">
        <v>0.65</v>
      </c>
      <c r="P1327" s="106">
        <v>8847</v>
      </c>
      <c r="Q1327" s="106">
        <v>1594.3384892380718</v>
      </c>
      <c r="R1327" s="106">
        <v>0.20921560110938311</v>
      </c>
      <c r="S1327" s="106">
        <v>32690.357967100419</v>
      </c>
      <c r="T1327" s="106">
        <v>39620.243145920285</v>
      </c>
      <c r="U1327" s="106">
        <v>15853.747638293253</v>
      </c>
      <c r="V1327" s="106">
        <v>0.38011290644304985</v>
      </c>
      <c r="W1327" s="106">
        <v>109622.64294819793</v>
      </c>
      <c r="X1327" s="110">
        <v>0.65130840323843764</v>
      </c>
      <c r="Y1327" s="106">
        <v>395.57047229453326</v>
      </c>
      <c r="Z1327" s="106">
        <v>13.632205280773521</v>
      </c>
      <c r="AA1327" s="106">
        <v>56908.619974237736</v>
      </c>
      <c r="AB1327" s="106">
        <v>546.35408204551868</v>
      </c>
      <c r="AC1327" s="106">
        <v>1.7572030396321248</v>
      </c>
      <c r="AD1327" s="106">
        <v>27.369944520382727</v>
      </c>
      <c r="AE1327" s="106">
        <v>104.16069330199765</v>
      </c>
      <c r="AF1327" s="106">
        <v>-0.90139178315868407</v>
      </c>
      <c r="AG1327" s="106">
        <v>5323</v>
      </c>
      <c r="AH1327" s="106">
        <v>31834.585890825761</v>
      </c>
      <c r="AI1327" s="106">
        <v>32578.640559783944</v>
      </c>
      <c r="AJ1327" s="106">
        <v>32817.734921024632</v>
      </c>
      <c r="AK1327" s="104">
        <v>33668.902365169</v>
      </c>
      <c r="AL1327" s="118">
        <v>154301291</v>
      </c>
      <c r="AM1327" s="118">
        <v>11713</v>
      </c>
      <c r="AN1327" s="118">
        <v>354563</v>
      </c>
      <c r="AO1327" s="118">
        <v>2514</v>
      </c>
      <c r="AP1327" s="118">
        <f t="shared" si="20"/>
        <v>1138</v>
      </c>
    </row>
    <row r="1328" spans="1:42" ht="12.75">
      <c r="A1328" s="106">
        <v>2018</v>
      </c>
      <c r="B1328" s="106">
        <v>-447582</v>
      </c>
      <c r="C1328" s="106">
        <v>0</v>
      </c>
      <c r="D1328" s="106">
        <v>447582</v>
      </c>
      <c r="E1328" s="106" t="s">
        <v>2168</v>
      </c>
      <c r="F1328" s="106" t="s">
        <v>2169</v>
      </c>
      <c r="G1328" s="106" t="s">
        <v>110</v>
      </c>
      <c r="H1328" s="106">
        <v>4</v>
      </c>
      <c r="I1328" s="106" t="s">
        <v>24</v>
      </c>
      <c r="J1328" s="106">
        <v>3966</v>
      </c>
      <c r="K1328" s="106">
        <v>5702</v>
      </c>
      <c r="L1328" s="106">
        <v>7985</v>
      </c>
      <c r="M1328" s="106">
        <v>0.73</v>
      </c>
      <c r="N1328" s="106">
        <v>0.3</v>
      </c>
      <c r="O1328" s="106">
        <v>0.09</v>
      </c>
      <c r="P1328" s="106">
        <v>1910</v>
      </c>
      <c r="Q1328" s="106"/>
      <c r="R1328" s="106"/>
      <c r="S1328" s="106">
        <v>13650.731101511879</v>
      </c>
      <c r="T1328" s="106">
        <v>14510.798056155507</v>
      </c>
      <c r="U1328" s="106">
        <v>9716.9892008639308</v>
      </c>
      <c r="V1328" s="106">
        <v>0.63172248912305629</v>
      </c>
      <c r="W1328" s="106">
        <v>61819.597402597399</v>
      </c>
      <c r="X1328" s="110">
        <v>0.59042312945025899</v>
      </c>
      <c r="Y1328" s="106">
        <v>452.93478260869563</v>
      </c>
      <c r="Z1328" s="106">
        <v>15.097826086956522</v>
      </c>
      <c r="AA1328" s="106">
        <v>31571.691228070176</v>
      </c>
      <c r="AB1328" s="106">
        <v>323.89964002879771</v>
      </c>
      <c r="AC1328" s="106">
        <v>3.1673944635278417</v>
      </c>
      <c r="AD1328" s="106">
        <v>32.23981900452489</v>
      </c>
      <c r="AE1328" s="106">
        <v>97.473684210526315</v>
      </c>
      <c r="AF1328" s="106">
        <v>-2.9252046896592717E-2</v>
      </c>
      <c r="AG1328" s="106">
        <v>3966</v>
      </c>
      <c r="AH1328" s="106">
        <v>13773.546436285098</v>
      </c>
      <c r="AI1328" s="106">
        <v>13773.546436285098</v>
      </c>
      <c r="AJ1328" s="106">
        <v>13660.441684665228</v>
      </c>
      <c r="AK1328" s="104">
        <v>11155.060475161987</v>
      </c>
      <c r="AL1328" s="118">
        <v>5247765</v>
      </c>
      <c r="AM1328" s="118">
        <v>1172</v>
      </c>
      <c r="AN1328" s="118">
        <v>27780</v>
      </c>
      <c r="AO1328" s="118">
        <v>177</v>
      </c>
      <c r="AP1328" s="118">
        <f t="shared" si="20"/>
        <v>0</v>
      </c>
    </row>
    <row r="1329" spans="1:42" ht="12.75">
      <c r="A1329" s="106">
        <v>2018</v>
      </c>
      <c r="B1329" s="106">
        <v>-232867</v>
      </c>
      <c r="C1329" s="106">
        <v>0</v>
      </c>
      <c r="D1329" s="106">
        <v>232867</v>
      </c>
      <c r="E1329" s="106" t="s">
        <v>2167</v>
      </c>
      <c r="F1329" s="106" t="s">
        <v>394</v>
      </c>
      <c r="G1329" s="106" t="s">
        <v>261</v>
      </c>
      <c r="H1329" s="106">
        <v>4</v>
      </c>
      <c r="I1329" s="106" t="s">
        <v>24</v>
      </c>
      <c r="J1329" s="106">
        <v>4585</v>
      </c>
      <c r="K1329" s="106">
        <v>6741</v>
      </c>
      <c r="L1329" s="106">
        <v>5556</v>
      </c>
      <c r="M1329" s="106">
        <v>0.54</v>
      </c>
      <c r="N1329" s="106">
        <v>0.15</v>
      </c>
      <c r="O1329" s="106">
        <v>0.14000000000000001</v>
      </c>
      <c r="P1329" s="106">
        <v>1501</v>
      </c>
      <c r="Q1329" s="106"/>
      <c r="R1329" s="106"/>
      <c r="S1329" s="106">
        <v>9987.0146848137538</v>
      </c>
      <c r="T1329" s="106">
        <v>9832.2163323782243</v>
      </c>
      <c r="U1329" s="106">
        <v>8581.073964131263</v>
      </c>
      <c r="V1329" s="106">
        <v>0.57845068957694112</v>
      </c>
      <c r="W1329" s="106">
        <v>96567.59225092252</v>
      </c>
      <c r="X1329" s="110">
        <v>0.63553956957181434</v>
      </c>
      <c r="Y1329" s="106">
        <v>959.20992366412202</v>
      </c>
      <c r="Z1329" s="106">
        <v>31.969465648854957</v>
      </c>
      <c r="AA1329" s="106">
        <v>39797.937720688511</v>
      </c>
      <c r="AB1329" s="106">
        <v>285.99823934123367</v>
      </c>
      <c r="AC1329" s="106">
        <v>2.5126930119300157</v>
      </c>
      <c r="AD1329" s="106">
        <v>22.263313609467456</v>
      </c>
      <c r="AE1329" s="106">
        <v>139.15448504983388</v>
      </c>
      <c r="AF1329" s="106">
        <v>4.462574869397154E-2</v>
      </c>
      <c r="AG1329" s="106">
        <v>4253</v>
      </c>
      <c r="AH1329" s="106">
        <v>9420.7249283667625</v>
      </c>
      <c r="AI1329" s="106">
        <v>9533.6751432664751</v>
      </c>
      <c r="AJ1329" s="106">
        <v>10022.805157593124</v>
      </c>
      <c r="AK1329" s="104">
        <v>9503.8875358166188</v>
      </c>
      <c r="AL1329" s="118">
        <v>10747983</v>
      </c>
      <c r="AM1329" s="118">
        <v>4626</v>
      </c>
      <c r="AN1329" s="118">
        <v>83771</v>
      </c>
      <c r="AO1329" s="118">
        <v>438</v>
      </c>
      <c r="AP1329" s="118">
        <f t="shared" si="20"/>
        <v>332</v>
      </c>
    </row>
    <row r="1330" spans="1:42" ht="12.75">
      <c r="A1330" s="106">
        <v>2018</v>
      </c>
      <c r="B1330" s="106">
        <v>-193900</v>
      </c>
      <c r="C1330" s="106">
        <v>0</v>
      </c>
      <c r="D1330" s="106">
        <v>193900</v>
      </c>
      <c r="E1330" s="106" t="s">
        <v>2171</v>
      </c>
      <c r="F1330" s="106" t="s">
        <v>290</v>
      </c>
      <c r="G1330" s="106" t="s">
        <v>69</v>
      </c>
      <c r="H1330" s="106">
        <v>5</v>
      </c>
      <c r="I1330" s="106" t="s">
        <v>3639</v>
      </c>
      <c r="J1330" s="106">
        <v>50464</v>
      </c>
      <c r="K1330" s="106">
        <v>39935</v>
      </c>
      <c r="L1330" s="106">
        <v>29080</v>
      </c>
      <c r="M1330" s="106">
        <v>0.2</v>
      </c>
      <c r="N1330" s="106">
        <v>0.31</v>
      </c>
      <c r="O1330" s="106">
        <v>0.44</v>
      </c>
      <c r="P1330" s="106">
        <v>27303</v>
      </c>
      <c r="Q1330" s="106">
        <v>13371.784446339674</v>
      </c>
      <c r="R1330" s="106">
        <v>0.26563908589440505</v>
      </c>
      <c r="S1330" s="106">
        <v>130487.2766219084</v>
      </c>
      <c r="T1330" s="106">
        <v>128030.62337610821</v>
      </c>
      <c r="U1330" s="106">
        <v>45173.248149655847</v>
      </c>
      <c r="V1330" s="106">
        <v>0.81832463317026649</v>
      </c>
      <c r="W1330" s="106">
        <v>204190.34187453275</v>
      </c>
      <c r="X1330" s="110">
        <v>0.62053614030043491</v>
      </c>
      <c r="Y1330" s="106">
        <v>183.63665049686807</v>
      </c>
      <c r="Z1330" s="106">
        <v>7.1236754109169684</v>
      </c>
      <c r="AA1330" s="106">
        <v>136186.91691326824</v>
      </c>
      <c r="AB1330" s="106">
        <v>1752.3710882563832</v>
      </c>
      <c r="AC1330" s="106">
        <v>0.73428492447395532</v>
      </c>
      <c r="AD1330" s="106">
        <v>36.597588463137626</v>
      </c>
      <c r="AE1330" s="106">
        <v>77.715797656063145</v>
      </c>
      <c r="AF1330" s="106">
        <v>8.0217476508647537E-2</v>
      </c>
      <c r="AG1330" s="106">
        <v>47942</v>
      </c>
      <c r="AH1330" s="106">
        <v>112710.76645708959</v>
      </c>
      <c r="AI1330" s="106">
        <v>130180.60576370019</v>
      </c>
      <c r="AJ1330" s="106">
        <v>137057.31966123881</v>
      </c>
      <c r="AK1330" s="104">
        <v>75458.8547968028</v>
      </c>
      <c r="AL1330" s="119">
        <v>4185113</v>
      </c>
      <c r="AM1330" s="118">
        <v>26417</v>
      </c>
      <c r="AN1330" s="118">
        <v>1299719</v>
      </c>
      <c r="AO1330" s="118">
        <v>6394</v>
      </c>
      <c r="AP1330" s="118">
        <f t="shared" si="20"/>
        <v>2522</v>
      </c>
    </row>
    <row r="1331" spans="1:42" ht="12.75">
      <c r="A1331" s="106">
        <v>2018</v>
      </c>
      <c r="B1331" s="106">
        <v>-218414</v>
      </c>
      <c r="C1331" s="106">
        <v>0</v>
      </c>
      <c r="D1331" s="106">
        <v>218414</v>
      </c>
      <c r="E1331" s="106" t="s">
        <v>2172</v>
      </c>
      <c r="F1331" s="106" t="s">
        <v>2173</v>
      </c>
      <c r="G1331" s="106" t="s">
        <v>79</v>
      </c>
      <c r="H1331" s="106">
        <v>7</v>
      </c>
      <c r="I1331" s="106" t="s">
        <v>3641</v>
      </c>
      <c r="J1331" s="106">
        <v>25267</v>
      </c>
      <c r="K1331" s="106">
        <v>19683</v>
      </c>
      <c r="L1331" s="106">
        <v>24554</v>
      </c>
      <c r="M1331" s="106">
        <v>0.5</v>
      </c>
      <c r="N1331" s="106">
        <v>0.95</v>
      </c>
      <c r="O1331" s="106">
        <v>0.99</v>
      </c>
      <c r="P1331" s="106">
        <v>13312</v>
      </c>
      <c r="Q1331" s="106">
        <v>13387.550819672131</v>
      </c>
      <c r="R1331" s="106">
        <v>0.55290935973625244</v>
      </c>
      <c r="S1331" s="106">
        <v>22658.388524590166</v>
      </c>
      <c r="T1331" s="106">
        <v>22988.497540983608</v>
      </c>
      <c r="U1331" s="106">
        <v>17983.600263446708</v>
      </c>
      <c r="V1331" s="106">
        <v>0.60195791350004724</v>
      </c>
      <c r="W1331" s="106">
        <v>59988.682042833607</v>
      </c>
      <c r="X1331" s="110">
        <v>0.43277915858633081</v>
      </c>
      <c r="Y1331" s="106">
        <v>527.74038461538464</v>
      </c>
      <c r="Z1331" s="106">
        <v>17.596153846153847</v>
      </c>
      <c r="AA1331" s="106">
        <v>101105.95539817965</v>
      </c>
      <c r="AB1331" s="106">
        <v>599.61717194329003</v>
      </c>
      <c r="AC1331" s="106">
        <v>0.98906142181413426</v>
      </c>
      <c r="AD1331" s="106">
        <v>18.594687232219364</v>
      </c>
      <c r="AE1331" s="106">
        <v>168.61751152073734</v>
      </c>
      <c r="AF1331" s="106">
        <v>2.7450507984154274E-2</v>
      </c>
      <c r="AG1331" s="106">
        <v>23067</v>
      </c>
      <c r="AH1331" s="106">
        <v>20299.346721311475</v>
      </c>
      <c r="AI1331" s="106">
        <v>22829.105737704918</v>
      </c>
      <c r="AJ1331" s="106">
        <v>23466.657377049181</v>
      </c>
      <c r="AK1331" s="104">
        <v>18044.679508196721</v>
      </c>
      <c r="AL1331" s="118"/>
      <c r="AM1331" s="118">
        <v>1181</v>
      </c>
      <c r="AN1331" s="118">
        <v>36590</v>
      </c>
      <c r="AO1331" s="118">
        <v>217</v>
      </c>
      <c r="AP1331" s="118">
        <f t="shared" si="20"/>
        <v>2200</v>
      </c>
    </row>
    <row r="1332" spans="1:42" ht="12.75">
      <c r="A1332" s="106">
        <v>2018</v>
      </c>
      <c r="B1332" s="106">
        <v>-167251</v>
      </c>
      <c r="C1332" s="106">
        <v>0</v>
      </c>
      <c r="D1332" s="106">
        <v>167251</v>
      </c>
      <c r="E1332" s="106" t="s">
        <v>2174</v>
      </c>
      <c r="F1332" s="106" t="s">
        <v>2175</v>
      </c>
      <c r="G1332" s="106" t="s">
        <v>150</v>
      </c>
      <c r="H1332" s="106">
        <v>7</v>
      </c>
      <c r="I1332" s="106" t="s">
        <v>3641</v>
      </c>
      <c r="J1332" s="106">
        <v>34470</v>
      </c>
      <c r="K1332" s="106">
        <v>23613</v>
      </c>
      <c r="L1332" s="106">
        <v>22836</v>
      </c>
      <c r="M1332" s="106">
        <v>0.62</v>
      </c>
      <c r="N1332" s="106">
        <v>0.86</v>
      </c>
      <c r="O1332" s="106">
        <v>1</v>
      </c>
      <c r="P1332" s="106">
        <v>22514</v>
      </c>
      <c r="Q1332" s="106">
        <v>18946.077186963979</v>
      </c>
      <c r="R1332" s="106">
        <v>0.54970968646097973</v>
      </c>
      <c r="S1332" s="106">
        <v>22127.574614065179</v>
      </c>
      <c r="T1332" s="106">
        <v>34820.207547169812</v>
      </c>
      <c r="U1332" s="106">
        <v>28013.744425385936</v>
      </c>
      <c r="V1332" s="106">
        <v>0.5539969261596841</v>
      </c>
      <c r="W1332" s="106">
        <v>68398.570977917974</v>
      </c>
      <c r="X1332" s="110">
        <v>0.35602879599940512</v>
      </c>
      <c r="Y1332" s="106">
        <v>385.98529411764707</v>
      </c>
      <c r="Z1332" s="106">
        <v>12.86029411764706</v>
      </c>
      <c r="AA1332" s="106">
        <v>124671.85496183205</v>
      </c>
      <c r="AB1332" s="106">
        <v>933.36455594925133</v>
      </c>
      <c r="AC1332" s="106">
        <v>0.80210565592863547</v>
      </c>
      <c r="AD1332" s="106">
        <v>22.822299651567945</v>
      </c>
      <c r="AE1332" s="106">
        <v>133.57251908396947</v>
      </c>
      <c r="AF1332" s="106">
        <v>-0.66320321157742279</v>
      </c>
      <c r="AG1332" s="106">
        <v>32950</v>
      </c>
      <c r="AH1332" s="106">
        <v>22439.722126929675</v>
      </c>
      <c r="AI1332" s="106">
        <v>23358.876500857634</v>
      </c>
      <c r="AJ1332" s="106">
        <v>22380.951972555747</v>
      </c>
      <c r="AK1332" s="104">
        <v>28013.744425385936</v>
      </c>
      <c r="AL1332" s="118"/>
      <c r="AM1332" s="118">
        <v>620</v>
      </c>
      <c r="AN1332" s="118">
        <v>17498</v>
      </c>
      <c r="AO1332" s="118">
        <v>128</v>
      </c>
      <c r="AP1332" s="118">
        <f t="shared" si="20"/>
        <v>1520</v>
      </c>
    </row>
    <row r="1333" spans="1:42" ht="12.75">
      <c r="A1333" s="106">
        <v>2018</v>
      </c>
      <c r="B1333" s="106">
        <v>-155335</v>
      </c>
      <c r="C1333" s="106">
        <v>0</v>
      </c>
      <c r="D1333" s="106">
        <v>155335</v>
      </c>
      <c r="E1333" s="106" t="s">
        <v>2176</v>
      </c>
      <c r="F1333" s="106" t="s">
        <v>1289</v>
      </c>
      <c r="G1333" s="106" t="s">
        <v>129</v>
      </c>
      <c r="H1333" s="106">
        <v>6</v>
      </c>
      <c r="I1333" s="106" t="s">
        <v>3640</v>
      </c>
      <c r="J1333" s="106">
        <v>29200</v>
      </c>
      <c r="K1333" s="106">
        <v>13902</v>
      </c>
      <c r="L1333" s="106">
        <v>10579</v>
      </c>
      <c r="M1333" s="106">
        <v>0.43</v>
      </c>
      <c r="N1333" s="106">
        <v>0.5</v>
      </c>
      <c r="O1333" s="106">
        <v>0.99</v>
      </c>
      <c r="P1333" s="106">
        <v>19820</v>
      </c>
      <c r="Q1333" s="107">
        <v>7798.3790697674422</v>
      </c>
      <c r="R1333" s="106">
        <v>0.46691134156194508</v>
      </c>
      <c r="S1333" s="106">
        <v>11596.306046511629</v>
      </c>
      <c r="T1333" s="106">
        <v>12718.601860465116</v>
      </c>
      <c r="U1333" s="106">
        <v>11195.954418604651</v>
      </c>
      <c r="V1333" s="106">
        <v>0.79525835370267883</v>
      </c>
      <c r="W1333" s="106">
        <v>60401.876095118903</v>
      </c>
      <c r="X1333" s="110">
        <v>0.58829901370612847</v>
      </c>
      <c r="Y1333" s="106">
        <v>447.05797101449275</v>
      </c>
      <c r="Z1333" s="106">
        <v>15.579710144927537</v>
      </c>
      <c r="AA1333" s="106">
        <v>50358.37238493724</v>
      </c>
      <c r="AB1333" s="106">
        <v>390.17249651505819</v>
      </c>
      <c r="AC1333" s="106">
        <v>1.9857671180395644</v>
      </c>
      <c r="AD1333" s="106">
        <v>23.816641753861482</v>
      </c>
      <c r="AE1333" s="106">
        <v>129.06694560669456</v>
      </c>
      <c r="AF1333" s="106">
        <v>-2.0536120647437529E-2</v>
      </c>
      <c r="AG1333" s="106">
        <v>28000</v>
      </c>
      <c r="AH1333" s="106">
        <v>10837.832093023257</v>
      </c>
      <c r="AI1333" s="106">
        <v>11506.182325581396</v>
      </c>
      <c r="AJ1333" s="106">
        <v>12152.776279069767</v>
      </c>
      <c r="AK1333" s="104">
        <v>11195.954418604651</v>
      </c>
      <c r="AL1333" s="118"/>
      <c r="AM1333" s="118">
        <v>2810</v>
      </c>
      <c r="AN1333" s="118">
        <v>61694</v>
      </c>
      <c r="AO1333" s="118">
        <v>299</v>
      </c>
      <c r="AP1333" s="118">
        <f t="shared" si="20"/>
        <v>1200</v>
      </c>
    </row>
    <row r="1334" spans="1:42" ht="12.75">
      <c r="A1334" s="106">
        <v>2018</v>
      </c>
      <c r="B1334" s="106">
        <v>-183099</v>
      </c>
      <c r="C1334" s="106">
        <v>0</v>
      </c>
      <c r="D1334" s="106">
        <v>183099</v>
      </c>
      <c r="E1334" s="106" t="s">
        <v>2125</v>
      </c>
      <c r="F1334" s="106" t="s">
        <v>1379</v>
      </c>
      <c r="G1334" s="106" t="s">
        <v>179</v>
      </c>
      <c r="H1334" s="106">
        <v>4</v>
      </c>
      <c r="I1334" s="106" t="s">
        <v>24</v>
      </c>
      <c r="J1334" s="106">
        <v>7424</v>
      </c>
      <c r="K1334" s="106">
        <v>15926</v>
      </c>
      <c r="L1334" s="106">
        <v>15499</v>
      </c>
      <c r="M1334" s="106">
        <v>0.39</v>
      </c>
      <c r="N1334" s="106">
        <v>0.66</v>
      </c>
      <c r="O1334" s="106">
        <v>0</v>
      </c>
      <c r="P1334" s="106">
        <v>1313</v>
      </c>
      <c r="Q1334" s="108">
        <v>151.62613760465962</v>
      </c>
      <c r="R1334" s="106">
        <v>2.2216376326747576E-2</v>
      </c>
      <c r="S1334" s="106">
        <v>16017.111758281762</v>
      </c>
      <c r="T1334" s="106">
        <v>15737.920276665453</v>
      </c>
      <c r="U1334" s="106">
        <v>11140.132989953603</v>
      </c>
      <c r="V1334" s="106">
        <v>0.59903642746466257</v>
      </c>
      <c r="W1334" s="106">
        <v>84556.537239324738</v>
      </c>
      <c r="X1334" s="110">
        <v>0.65652218294350806</v>
      </c>
      <c r="Y1334" s="106">
        <v>432.93520140105085</v>
      </c>
      <c r="Z1334" s="106">
        <v>14.432574430823118</v>
      </c>
      <c r="AA1334" s="106">
        <v>37273.989431671798</v>
      </c>
      <c r="AB1334" s="106">
        <v>371.37381766707784</v>
      </c>
      <c r="AC1334" s="106">
        <v>2.6828359809274871</v>
      </c>
      <c r="AD1334" s="106">
        <v>35.266323024054984</v>
      </c>
      <c r="AE1334" s="106">
        <v>100.36784409257004</v>
      </c>
      <c r="AF1334" s="106">
        <v>0.24351478039525307</v>
      </c>
      <c r="AG1334" s="106">
        <v>6720</v>
      </c>
      <c r="AH1334" s="106">
        <v>14365.502730251183</v>
      </c>
      <c r="AI1334" s="106">
        <v>14368.609392064071</v>
      </c>
      <c r="AJ1334" s="106">
        <v>16190.810338551146</v>
      </c>
      <c r="AK1334" s="104">
        <v>13011.523480160175</v>
      </c>
      <c r="AL1334" s="118">
        <v>11702444</v>
      </c>
      <c r="AM1334" s="118">
        <v>3666</v>
      </c>
      <c r="AN1334" s="118">
        <v>82402</v>
      </c>
      <c r="AO1334" s="118">
        <v>587</v>
      </c>
      <c r="AP1334" s="118">
        <f t="shared" si="20"/>
        <v>704</v>
      </c>
    </row>
    <row r="1335" spans="1:42" ht="12.75">
      <c r="A1335" s="106">
        <v>2018</v>
      </c>
      <c r="B1335" s="106">
        <v>-193946</v>
      </c>
      <c r="C1335" s="106">
        <v>0</v>
      </c>
      <c r="D1335" s="106">
        <v>193946</v>
      </c>
      <c r="E1335" s="106" t="s">
        <v>2177</v>
      </c>
      <c r="F1335" s="106" t="s">
        <v>2178</v>
      </c>
      <c r="G1335" s="106" t="s">
        <v>69</v>
      </c>
      <c r="H1335" s="106">
        <v>4</v>
      </c>
      <c r="I1335" s="106" t="s">
        <v>24</v>
      </c>
      <c r="J1335" s="106">
        <v>4698</v>
      </c>
      <c r="K1335" s="106">
        <v>4828</v>
      </c>
      <c r="L1335" s="106">
        <v>2237</v>
      </c>
      <c r="M1335" s="106">
        <v>0.56000000000000005</v>
      </c>
      <c r="N1335" s="106">
        <v>0.38</v>
      </c>
      <c r="O1335" s="106">
        <v>0.04</v>
      </c>
      <c r="P1335" s="106">
        <v>1170</v>
      </c>
      <c r="Q1335" s="106"/>
      <c r="R1335" s="106"/>
      <c r="S1335" s="106">
        <v>13898.729831144465</v>
      </c>
      <c r="T1335" s="106">
        <v>16096.583221656392</v>
      </c>
      <c r="U1335" s="106">
        <v>14100.344665271883</v>
      </c>
      <c r="V1335" s="106">
        <v>0.34115686458007521</v>
      </c>
      <c r="W1335" s="106">
        <v>95145.963325183373</v>
      </c>
      <c r="X1335" s="110">
        <v>0.64796974348358694</v>
      </c>
      <c r="Y1335" s="106">
        <v>629.92682926829264</v>
      </c>
      <c r="Z1335" s="106">
        <v>20.999999999999996</v>
      </c>
      <c r="AA1335" s="106">
        <v>54403.708320712925</v>
      </c>
      <c r="AB1335" s="106">
        <v>470.06608420641544</v>
      </c>
      <c r="AC1335" s="106">
        <v>1.8381099944602004</v>
      </c>
      <c r="AD1335" s="106">
        <v>24.351548728280033</v>
      </c>
      <c r="AE1335" s="106">
        <v>115.73629782833505</v>
      </c>
      <c r="AF1335" s="106">
        <v>0.46890101039480497</v>
      </c>
      <c r="AG1335" s="106">
        <v>4224</v>
      </c>
      <c r="AH1335" s="106">
        <v>13376.251407129455</v>
      </c>
      <c r="AI1335" s="106">
        <v>13376.251407129455</v>
      </c>
      <c r="AJ1335" s="106">
        <v>13904.01554543018</v>
      </c>
      <c r="AK1335" s="104">
        <v>15952.277405521309</v>
      </c>
      <c r="AL1335" s="118">
        <v>20914087</v>
      </c>
      <c r="AM1335" s="118">
        <v>5439</v>
      </c>
      <c r="AN1335" s="118">
        <v>111917</v>
      </c>
      <c r="AO1335" s="118">
        <v>870</v>
      </c>
      <c r="AP1335" s="118">
        <f t="shared" si="20"/>
        <v>474</v>
      </c>
    </row>
    <row r="1336" spans="1:42" ht="12.75">
      <c r="A1336" s="106">
        <v>2018</v>
      </c>
      <c r="B1336" s="106">
        <v>-193973</v>
      </c>
      <c r="C1336" s="106">
        <v>0</v>
      </c>
      <c r="D1336" s="106">
        <v>193973</v>
      </c>
      <c r="E1336" s="106" t="s">
        <v>2179</v>
      </c>
      <c r="F1336" s="106" t="s">
        <v>2179</v>
      </c>
      <c r="G1336" s="106" t="s">
        <v>69</v>
      </c>
      <c r="H1336" s="106">
        <v>6</v>
      </c>
      <c r="I1336" s="106" t="s">
        <v>3640</v>
      </c>
      <c r="J1336" s="106">
        <v>31950</v>
      </c>
      <c r="K1336" s="106">
        <v>19106</v>
      </c>
      <c r="L1336" s="106">
        <v>12776</v>
      </c>
      <c r="M1336" s="106">
        <v>0.34</v>
      </c>
      <c r="N1336" s="106">
        <v>0.75</v>
      </c>
      <c r="O1336" s="106">
        <v>0.99</v>
      </c>
      <c r="P1336" s="106">
        <v>21949</v>
      </c>
      <c r="Q1336" s="106">
        <v>13024.930783732831</v>
      </c>
      <c r="R1336" s="106">
        <v>0.51056808412107146</v>
      </c>
      <c r="S1336" s="106">
        <v>21376.892270401291</v>
      </c>
      <c r="T1336" s="106">
        <v>23308.286560732562</v>
      </c>
      <c r="U1336" s="106">
        <v>17551.124508621557</v>
      </c>
      <c r="V1336" s="106">
        <v>0.71139220132509995</v>
      </c>
      <c r="W1336" s="106">
        <v>69987.934399999998</v>
      </c>
      <c r="X1336" s="110">
        <v>0.50543800616354739</v>
      </c>
      <c r="Y1336" s="106">
        <v>426.52191235059763</v>
      </c>
      <c r="Z1336" s="106">
        <v>14.792828685258964</v>
      </c>
      <c r="AA1336" s="106">
        <v>53241.278840287458</v>
      </c>
      <c r="AB1336" s="106">
        <v>608.71615401619556</v>
      </c>
      <c r="AC1336" s="106">
        <v>1.8782418863374561</v>
      </c>
      <c r="AD1336" s="106">
        <v>34.45945945945946</v>
      </c>
      <c r="AE1336" s="106">
        <v>87.46486928104575</v>
      </c>
      <c r="AF1336" s="106">
        <v>1.0246161849209706E-2</v>
      </c>
      <c r="AG1336" s="106">
        <v>30500</v>
      </c>
      <c r="AH1336" s="106">
        <v>18832.338270939941</v>
      </c>
      <c r="AI1336" s="106">
        <v>20804.171020737947</v>
      </c>
      <c r="AJ1336" s="106">
        <v>23874.635065984377</v>
      </c>
      <c r="AK1336" s="104">
        <v>18984.119579854567</v>
      </c>
      <c r="AL1336" s="119">
        <v>299594</v>
      </c>
      <c r="AM1336" s="118">
        <v>2994</v>
      </c>
      <c r="AN1336" s="118">
        <v>107057</v>
      </c>
      <c r="AO1336" s="118">
        <v>839</v>
      </c>
      <c r="AP1336" s="118">
        <f t="shared" si="20"/>
        <v>1450</v>
      </c>
    </row>
    <row r="1337" spans="1:42" ht="12.75">
      <c r="A1337" s="106">
        <v>2018</v>
      </c>
      <c r="B1337" s="106">
        <v>-159966</v>
      </c>
      <c r="C1337" s="106">
        <v>0</v>
      </c>
      <c r="D1337" s="106">
        <v>159966</v>
      </c>
      <c r="E1337" s="106" t="s">
        <v>2180</v>
      </c>
      <c r="F1337" s="106" t="s">
        <v>2181</v>
      </c>
      <c r="G1337" s="106" t="s">
        <v>306</v>
      </c>
      <c r="H1337" s="106">
        <v>2</v>
      </c>
      <c r="I1337" s="106" t="s">
        <v>25</v>
      </c>
      <c r="J1337" s="106">
        <v>7886</v>
      </c>
      <c r="K1337" s="106">
        <v>10496</v>
      </c>
      <c r="L1337" s="106">
        <v>8876</v>
      </c>
      <c r="M1337" s="106">
        <v>0.37</v>
      </c>
      <c r="N1337" s="106">
        <v>0.51</v>
      </c>
      <c r="O1337" s="106">
        <v>0.5</v>
      </c>
      <c r="P1337" s="106">
        <v>3819</v>
      </c>
      <c r="Q1337" s="107">
        <v>901.29071834992885</v>
      </c>
      <c r="R1337" s="106">
        <v>8.5864832492684937E-2</v>
      </c>
      <c r="S1337" s="106">
        <v>15526.063300142248</v>
      </c>
      <c r="T1337" s="106">
        <v>15418.174253200568</v>
      </c>
      <c r="U1337" s="106">
        <v>10427.960778145069</v>
      </c>
      <c r="V1337" s="106">
        <v>0.92015417190858184</v>
      </c>
      <c r="W1337" s="106">
        <v>79298.321631388753</v>
      </c>
      <c r="X1337" s="110">
        <v>0.59046491843579507</v>
      </c>
      <c r="Y1337" s="106">
        <v>617.76894409937893</v>
      </c>
      <c r="Z1337" s="106">
        <v>20.959006211180125</v>
      </c>
      <c r="AA1337" s="106">
        <v>40670.493353875077</v>
      </c>
      <c r="AB1337" s="106">
        <v>353.78873736962419</v>
      </c>
      <c r="AC1337" s="106">
        <v>2.4587850245606138</v>
      </c>
      <c r="AD1337" s="106">
        <v>26.458715596330272</v>
      </c>
      <c r="AE1337" s="106">
        <v>114.95700416088765</v>
      </c>
      <c r="AF1337" s="106">
        <v>-0.10548982186348954</v>
      </c>
      <c r="AG1337" s="106">
        <v>4922</v>
      </c>
      <c r="AH1337" s="106">
        <v>16920.9923541963</v>
      </c>
      <c r="AI1337" s="106">
        <v>17018.285739687057</v>
      </c>
      <c r="AJ1337" s="106">
        <v>15628.590682788052</v>
      </c>
      <c r="AK1337" s="104">
        <v>11756.748577524893</v>
      </c>
      <c r="AL1337" s="118">
        <v>15099715</v>
      </c>
      <c r="AM1337" s="118">
        <v>5685</v>
      </c>
      <c r="AN1337" s="118">
        <v>165768</v>
      </c>
      <c r="AO1337" s="118">
        <v>1203</v>
      </c>
      <c r="AP1337" s="118">
        <f t="shared" si="20"/>
        <v>2964</v>
      </c>
    </row>
    <row r="1338" spans="1:42" ht="12.75">
      <c r="A1338" s="106">
        <v>2018</v>
      </c>
      <c r="B1338" s="106">
        <v>-239442</v>
      </c>
      <c r="C1338" s="106">
        <v>0</v>
      </c>
      <c r="D1338" s="106">
        <v>239442</v>
      </c>
      <c r="E1338" s="106" t="s">
        <v>2182</v>
      </c>
      <c r="F1338" s="106" t="s">
        <v>2183</v>
      </c>
      <c r="G1338" s="106" t="s">
        <v>139</v>
      </c>
      <c r="H1338" s="106">
        <v>4</v>
      </c>
      <c r="I1338" s="106" t="s">
        <v>24</v>
      </c>
      <c r="J1338" s="106">
        <v>4877</v>
      </c>
      <c r="K1338" s="106">
        <v>7672</v>
      </c>
      <c r="L1338" s="106">
        <v>6670</v>
      </c>
      <c r="M1338" s="106">
        <v>0.57999999999999996</v>
      </c>
      <c r="N1338" s="106">
        <v>0.28000000000000003</v>
      </c>
      <c r="O1338" s="106">
        <v>0</v>
      </c>
      <c r="P1338" s="106"/>
      <c r="Q1338" s="106"/>
      <c r="R1338" s="106"/>
      <c r="S1338" s="106">
        <v>41534.972027972028</v>
      </c>
      <c r="T1338" s="106">
        <v>39931.563636363637</v>
      </c>
      <c r="U1338" s="106">
        <v>31266.913286713287</v>
      </c>
      <c r="V1338" s="106">
        <v>0.15367342667418088</v>
      </c>
      <c r="W1338" s="106">
        <v>93209.41706161137</v>
      </c>
      <c r="X1338" s="110">
        <v>0.68884242789096362</v>
      </c>
      <c r="Y1338" s="106">
        <v>279.78260869565213</v>
      </c>
      <c r="Z1338" s="106">
        <v>9.3260869565217384</v>
      </c>
      <c r="AA1338" s="106">
        <v>43409.403883495143</v>
      </c>
      <c r="AB1338" s="106">
        <v>1042.2304428904429</v>
      </c>
      <c r="AC1338" s="106">
        <v>2.3036483124344715</v>
      </c>
      <c r="AD1338" s="106">
        <v>78.030303030303031</v>
      </c>
      <c r="AE1338" s="106">
        <v>41.650485436893206</v>
      </c>
      <c r="AF1338" s="106">
        <v>4.0619492897976874E-2</v>
      </c>
      <c r="AG1338" s="106">
        <v>4523</v>
      </c>
      <c r="AH1338" s="106">
        <v>40445.351048951052</v>
      </c>
      <c r="AI1338" s="106">
        <v>40445.351048951052</v>
      </c>
      <c r="AJ1338" s="106">
        <v>41910.914685314689</v>
      </c>
      <c r="AK1338" s="104">
        <v>32461.674125874128</v>
      </c>
      <c r="AL1338" s="118">
        <v>22797909</v>
      </c>
      <c r="AM1338" s="118">
        <v>1338</v>
      </c>
      <c r="AN1338" s="118">
        <v>21450</v>
      </c>
      <c r="AO1338" s="118">
        <v>133</v>
      </c>
      <c r="AP1338" s="118">
        <f t="shared" si="20"/>
        <v>354</v>
      </c>
    </row>
    <row r="1339" spans="1:42" ht="12.75">
      <c r="A1339" s="106">
        <v>2018</v>
      </c>
      <c r="B1339" s="106">
        <v>-232937</v>
      </c>
      <c r="C1339" s="106">
        <v>0</v>
      </c>
      <c r="D1339" s="106">
        <v>232937</v>
      </c>
      <c r="E1339" s="106" t="s">
        <v>2184</v>
      </c>
      <c r="F1339" s="106" t="s">
        <v>2185</v>
      </c>
      <c r="G1339" s="106" t="s">
        <v>261</v>
      </c>
      <c r="H1339" s="106">
        <v>2</v>
      </c>
      <c r="I1339" s="106" t="s">
        <v>25</v>
      </c>
      <c r="J1339" s="106">
        <v>9036</v>
      </c>
      <c r="K1339" s="106">
        <v>14824</v>
      </c>
      <c r="L1339" s="106">
        <v>13431</v>
      </c>
      <c r="M1339" s="106">
        <v>0.71</v>
      </c>
      <c r="N1339" s="106">
        <v>0.83</v>
      </c>
      <c r="O1339" s="106">
        <v>0.39</v>
      </c>
      <c r="P1339" s="106">
        <v>2437</v>
      </c>
      <c r="Q1339" s="106">
        <v>1136.3262246621621</v>
      </c>
      <c r="R1339" s="106">
        <v>0.12487732165896133</v>
      </c>
      <c r="S1339" s="106">
        <v>29753.51541385135</v>
      </c>
      <c r="T1339" s="106">
        <v>33492.28272804054</v>
      </c>
      <c r="U1339" s="106">
        <v>18230.370774545932</v>
      </c>
      <c r="V1339" s="106">
        <v>0.43681032071209042</v>
      </c>
      <c r="W1339" s="106">
        <v>78120.498399146207</v>
      </c>
      <c r="X1339" s="110">
        <v>0.4614749738353337</v>
      </c>
      <c r="Y1339" s="106">
        <v>488.11411764705883</v>
      </c>
      <c r="Z1339" s="106">
        <v>16.715294117647058</v>
      </c>
      <c r="AA1339" s="106">
        <v>90312.799150888633</v>
      </c>
      <c r="AB1339" s="106">
        <v>624.29255445266801</v>
      </c>
      <c r="AC1339" s="106">
        <v>1.1072627682918634</v>
      </c>
      <c r="AD1339" s="106">
        <v>19.991635299038059</v>
      </c>
      <c r="AE1339" s="107">
        <v>144.66422594142259</v>
      </c>
      <c r="AF1339" s="106">
        <v>-3.4539873050423817E-2</v>
      </c>
      <c r="AG1339" s="106">
        <v>5478</v>
      </c>
      <c r="AH1339" s="106">
        <v>32085.226984797297</v>
      </c>
      <c r="AI1339" s="106">
        <v>32320.69552364865</v>
      </c>
      <c r="AJ1339" s="106">
        <v>29774.408783783783</v>
      </c>
      <c r="AK1339" s="104">
        <v>23686.529349662163</v>
      </c>
      <c r="AL1339" s="118">
        <v>58650177</v>
      </c>
      <c r="AM1339" s="118">
        <v>4689</v>
      </c>
      <c r="AN1339" s="118">
        <v>138299</v>
      </c>
      <c r="AO1339" s="118">
        <v>731</v>
      </c>
      <c r="AP1339" s="118">
        <f t="shared" si="20"/>
        <v>3558</v>
      </c>
    </row>
    <row r="1340" spans="1:42" ht="12.75">
      <c r="A1340" s="106">
        <v>2018</v>
      </c>
      <c r="B1340" s="106">
        <v>-174428</v>
      </c>
      <c r="C1340" s="106">
        <v>0</v>
      </c>
      <c r="D1340" s="106">
        <v>174428</v>
      </c>
      <c r="E1340" s="106" t="s">
        <v>2186</v>
      </c>
      <c r="F1340" s="106" t="s">
        <v>1548</v>
      </c>
      <c r="G1340" s="106" t="s">
        <v>113</v>
      </c>
      <c r="H1340" s="106">
        <v>4</v>
      </c>
      <c r="I1340" s="106" t="s">
        <v>24</v>
      </c>
      <c r="J1340" s="106">
        <v>5790</v>
      </c>
      <c r="K1340" s="106">
        <v>12248</v>
      </c>
      <c r="L1340" s="106">
        <v>11073</v>
      </c>
      <c r="M1340" s="106">
        <v>0.48</v>
      </c>
      <c r="N1340" s="106">
        <v>0.28999999999999998</v>
      </c>
      <c r="O1340" s="106">
        <v>0.04</v>
      </c>
      <c r="P1340" s="106">
        <v>1673</v>
      </c>
      <c r="Q1340" s="106">
        <v>4.0917726143504307</v>
      </c>
      <c r="R1340" s="106">
        <v>7.5876646252235637E-4</v>
      </c>
      <c r="S1340" s="106">
        <v>11607.482098494813</v>
      </c>
      <c r="T1340" s="106">
        <v>12138.097325734327</v>
      </c>
      <c r="U1340" s="106">
        <v>9681.6237035972281</v>
      </c>
      <c r="V1340" s="106">
        <v>0.55657732923713288</v>
      </c>
      <c r="W1340" s="106">
        <v>119871.92474674384</v>
      </c>
      <c r="X1340" s="110">
        <v>0.66482464694622023</v>
      </c>
      <c r="Y1340" s="106">
        <v>908.32743362831854</v>
      </c>
      <c r="Z1340" s="106">
        <v>30.278761061946902</v>
      </c>
      <c r="AA1340" s="106">
        <v>52414.043515597972</v>
      </c>
      <c r="AB1340" s="106">
        <v>322.73336680135537</v>
      </c>
      <c r="AC1340" s="106">
        <v>1.9078856217273306</v>
      </c>
      <c r="AD1340" s="106">
        <v>20.920225091029458</v>
      </c>
      <c r="AE1340" s="106">
        <v>162.40664556962025</v>
      </c>
      <c r="AF1340" s="106">
        <v>-3.9508079847908745E-2</v>
      </c>
      <c r="AG1340" s="106">
        <v>4845</v>
      </c>
      <c r="AH1340" s="106">
        <v>11822.592430220664</v>
      </c>
      <c r="AI1340" s="106">
        <v>11876.2238784159</v>
      </c>
      <c r="AJ1340" s="106">
        <v>11717.375420137367</v>
      </c>
      <c r="AK1340" s="104">
        <v>10165.716790881192</v>
      </c>
      <c r="AL1340" s="118">
        <v>27699000</v>
      </c>
      <c r="AM1340" s="118">
        <v>9844</v>
      </c>
      <c r="AN1340" s="118">
        <v>205282</v>
      </c>
      <c r="AO1340" s="118">
        <v>1091</v>
      </c>
      <c r="AP1340" s="118">
        <f t="shared" si="20"/>
        <v>945</v>
      </c>
    </row>
    <row r="1341" spans="1:42" ht="12.75">
      <c r="A1341" s="106">
        <v>2018</v>
      </c>
      <c r="B1341" s="106">
        <v>-461795</v>
      </c>
      <c r="C1341" s="106">
        <v>0</v>
      </c>
      <c r="D1341" s="106">
        <v>461795</v>
      </c>
      <c r="E1341" s="106" t="s">
        <v>2187</v>
      </c>
      <c r="F1341" s="106" t="s">
        <v>4164</v>
      </c>
      <c r="G1341" s="106" t="s">
        <v>60</v>
      </c>
      <c r="H1341" s="106">
        <v>7</v>
      </c>
      <c r="I1341" s="106" t="s">
        <v>3641</v>
      </c>
      <c r="J1341" s="106">
        <v>9900</v>
      </c>
      <c r="K1341" s="106">
        <v>13632</v>
      </c>
      <c r="L1341" s="106">
        <v>10786</v>
      </c>
      <c r="M1341" s="106">
        <v>0.62</v>
      </c>
      <c r="N1341" s="106">
        <v>0.46</v>
      </c>
      <c r="O1341" s="106">
        <v>0.98</v>
      </c>
      <c r="P1341" s="107">
        <v>4449</v>
      </c>
      <c r="Q1341" s="107">
        <v>4109.1244725738397</v>
      </c>
      <c r="R1341" s="106">
        <v>0.48032130831561465</v>
      </c>
      <c r="S1341" s="106">
        <v>19292.014767932491</v>
      </c>
      <c r="T1341" s="106">
        <v>19101.573839662447</v>
      </c>
      <c r="U1341" s="106">
        <v>14037.863568423445</v>
      </c>
      <c r="V1341" s="106">
        <v>0.31670238657363348</v>
      </c>
      <c r="W1341" s="106">
        <v>69037.448863636368</v>
      </c>
      <c r="X1341" s="110">
        <v>0.44733064830189395</v>
      </c>
      <c r="Y1341" s="106">
        <v>742.52830188679252</v>
      </c>
      <c r="Z1341" s="106">
        <v>26.830188679245285</v>
      </c>
      <c r="AA1341" s="106">
        <v>37592.922776456006</v>
      </c>
      <c r="AB1341" s="106">
        <v>507.23794263094322</v>
      </c>
      <c r="AC1341" s="106">
        <v>2.6600751581526083</v>
      </c>
      <c r="AD1341" s="106">
        <v>38.146551724137936</v>
      </c>
      <c r="AE1341" s="106">
        <v>74.112994350282491</v>
      </c>
      <c r="AF1341" s="106">
        <v>1.0892795579409142E-2</v>
      </c>
      <c r="AG1341" s="106">
        <v>9450</v>
      </c>
      <c r="AH1341" s="106">
        <v>6717.9050632911394</v>
      </c>
      <c r="AI1341" s="106">
        <v>15182.890295358649</v>
      </c>
      <c r="AJ1341" s="106">
        <v>19292.014767932491</v>
      </c>
      <c r="AK1341" s="104">
        <v>14368.871308016878</v>
      </c>
      <c r="AL1341" s="118"/>
      <c r="AM1341" s="118">
        <v>340</v>
      </c>
      <c r="AN1341" s="118">
        <v>13118</v>
      </c>
      <c r="AO1341" s="118">
        <v>67</v>
      </c>
      <c r="AP1341" s="118">
        <f t="shared" si="20"/>
        <v>450</v>
      </c>
    </row>
    <row r="1342" spans="1:42" ht="12.75">
      <c r="A1342" s="106">
        <v>2018</v>
      </c>
      <c r="B1342" s="106">
        <v>-107460</v>
      </c>
      <c r="C1342" s="106">
        <v>0</v>
      </c>
      <c r="D1342" s="106">
        <v>107460</v>
      </c>
      <c r="E1342" s="106" t="s">
        <v>2188</v>
      </c>
      <c r="F1342" s="106" t="s">
        <v>1971</v>
      </c>
      <c r="G1342" s="106" t="s">
        <v>200</v>
      </c>
      <c r="H1342" s="106">
        <v>4</v>
      </c>
      <c r="I1342" s="106" t="s">
        <v>24</v>
      </c>
      <c r="J1342" s="106">
        <v>2208</v>
      </c>
      <c r="K1342" s="106">
        <v>5036</v>
      </c>
      <c r="L1342" s="106">
        <v>4324</v>
      </c>
      <c r="M1342" s="106">
        <v>0.71</v>
      </c>
      <c r="N1342" s="106">
        <v>0.11</v>
      </c>
      <c r="O1342" s="106">
        <v>0.33</v>
      </c>
      <c r="P1342" s="107">
        <v>1690</v>
      </c>
      <c r="Q1342" s="108">
        <v>627.72788104089216</v>
      </c>
      <c r="R1342" s="106">
        <v>0.18139563263760963</v>
      </c>
      <c r="S1342" s="106">
        <v>16904.71375464684</v>
      </c>
      <c r="T1342" s="106">
        <v>16651.342007434945</v>
      </c>
      <c r="U1342" s="106">
        <v>12904.94612551717</v>
      </c>
      <c r="V1342" s="106">
        <v>0.21951411623988046</v>
      </c>
      <c r="W1342" s="106">
        <v>53740.566964285717</v>
      </c>
      <c r="X1342" s="110">
        <v>0.53750033208973635</v>
      </c>
      <c r="Y1342" s="106">
        <v>476.71653543307082</v>
      </c>
      <c r="Z1342" s="106">
        <v>15.885826771653543</v>
      </c>
      <c r="AA1342" s="106">
        <v>27507.373278638028</v>
      </c>
      <c r="AB1342" s="106">
        <v>430.0369788122639</v>
      </c>
      <c r="AC1342" s="106">
        <v>3.635388918710718</v>
      </c>
      <c r="AD1342" s="106">
        <v>47.766843300529906</v>
      </c>
      <c r="AE1342" s="106">
        <v>63.965134706814581</v>
      </c>
      <c r="AF1342" s="106">
        <v>3.5662470443022697E-2</v>
      </c>
      <c r="AG1342" s="106">
        <v>1704</v>
      </c>
      <c r="AH1342" s="106">
        <v>14819.085501858735</v>
      </c>
      <c r="AI1342" s="106">
        <v>15659.715241635688</v>
      </c>
      <c r="AJ1342" s="106">
        <v>16928.064684014869</v>
      </c>
      <c r="AK1342" s="104">
        <v>15474.189591078068</v>
      </c>
      <c r="AL1342" s="118">
        <v>9886677</v>
      </c>
      <c r="AM1342" s="118">
        <v>1821</v>
      </c>
      <c r="AN1342" s="118">
        <v>40362</v>
      </c>
      <c r="AO1342" s="118">
        <v>300</v>
      </c>
      <c r="AP1342" s="118">
        <f t="shared" si="20"/>
        <v>504</v>
      </c>
    </row>
    <row r="1343" spans="1:42" ht="12.75">
      <c r="A1343" s="106">
        <v>2018</v>
      </c>
      <c r="B1343" s="106">
        <v>-199102</v>
      </c>
      <c r="C1343" s="106">
        <v>0</v>
      </c>
      <c r="D1343" s="106">
        <v>199102</v>
      </c>
      <c r="E1343" s="106" t="s">
        <v>2189</v>
      </c>
      <c r="F1343" s="106" t="s">
        <v>342</v>
      </c>
      <c r="G1343" s="106" t="s">
        <v>90</v>
      </c>
      <c r="H1343" s="106">
        <v>1</v>
      </c>
      <c r="I1343" s="106" t="s">
        <v>23</v>
      </c>
      <c r="J1343" s="106">
        <v>6526</v>
      </c>
      <c r="K1343" s="106">
        <v>9378</v>
      </c>
      <c r="L1343" s="106">
        <v>7629</v>
      </c>
      <c r="M1343" s="106">
        <v>0.65</v>
      </c>
      <c r="N1343" s="106">
        <v>0.84</v>
      </c>
      <c r="O1343" s="106">
        <v>0.71</v>
      </c>
      <c r="P1343" s="106">
        <v>2637</v>
      </c>
      <c r="Q1343" s="107">
        <v>1756.6907225936441</v>
      </c>
      <c r="R1343" s="106">
        <v>0.17717241729668817</v>
      </c>
      <c r="S1343" s="106">
        <v>26782.432823518637</v>
      </c>
      <c r="T1343" s="106">
        <v>26396.131147540982</v>
      </c>
      <c r="U1343" s="106">
        <v>12867.251535903268</v>
      </c>
      <c r="V1343" s="106">
        <v>0.6340481618750885</v>
      </c>
      <c r="W1343" s="106">
        <v>93087.327998457375</v>
      </c>
      <c r="X1343" s="110">
        <v>0.55831420635052698</v>
      </c>
      <c r="Y1343" s="106">
        <v>568.98995865327822</v>
      </c>
      <c r="Z1343" s="106">
        <v>19.348493797991729</v>
      </c>
      <c r="AA1343" s="106">
        <v>65591.745807902786</v>
      </c>
      <c r="AB1343" s="106">
        <v>437.5506680801239</v>
      </c>
      <c r="AC1343" s="106">
        <v>1.5245820761177475</v>
      </c>
      <c r="AD1343" s="106">
        <v>19.689309679198455</v>
      </c>
      <c r="AE1343" s="106">
        <v>149.90662931839401</v>
      </c>
      <c r="AF1343" s="106">
        <v>5.585599292018939E-2</v>
      </c>
      <c r="AG1343" s="106">
        <v>3540</v>
      </c>
      <c r="AH1343" s="106">
        <v>26301.969869035627</v>
      </c>
      <c r="AI1343" s="106">
        <v>26672.197820313217</v>
      </c>
      <c r="AJ1343" s="106">
        <v>27385.99670299478</v>
      </c>
      <c r="AK1343" s="104">
        <v>19650.416887993408</v>
      </c>
      <c r="AL1343" s="118">
        <v>92315804</v>
      </c>
      <c r="AM1343" s="118">
        <v>10341</v>
      </c>
      <c r="AN1343" s="118">
        <v>321100</v>
      </c>
      <c r="AO1343" s="118">
        <v>1662</v>
      </c>
      <c r="AP1343" s="118">
        <f t="shared" si="20"/>
        <v>2986</v>
      </c>
    </row>
    <row r="1344" spans="1:42" ht="12.75">
      <c r="A1344" s="106">
        <v>2018</v>
      </c>
      <c r="B1344" s="106">
        <v>-199157</v>
      </c>
      <c r="C1344" s="106">
        <v>0</v>
      </c>
      <c r="D1344" s="106">
        <v>199157</v>
      </c>
      <c r="E1344" s="106" t="s">
        <v>2190</v>
      </c>
      <c r="F1344" s="106" t="s">
        <v>1069</v>
      </c>
      <c r="G1344" s="106" t="s">
        <v>90</v>
      </c>
      <c r="H1344" s="106">
        <v>2</v>
      </c>
      <c r="I1344" s="106" t="s">
        <v>25</v>
      </c>
      <c r="J1344" s="106">
        <v>6399</v>
      </c>
      <c r="K1344" s="106">
        <v>12470</v>
      </c>
      <c r="L1344" s="106">
        <v>11390</v>
      </c>
      <c r="M1344" s="106">
        <v>0.77</v>
      </c>
      <c r="N1344" s="106">
        <v>0.87</v>
      </c>
      <c r="O1344" s="106">
        <v>0.82</v>
      </c>
      <c r="P1344" s="106">
        <v>3081</v>
      </c>
      <c r="Q1344" s="107">
        <v>742.25701298701301</v>
      </c>
      <c r="R1344" s="106">
        <v>8.9144968494061547E-2</v>
      </c>
      <c r="S1344" s="106">
        <v>26591.47896103896</v>
      </c>
      <c r="T1344" s="106">
        <v>27053.379610389609</v>
      </c>
      <c r="U1344" s="106">
        <v>15877.939179297075</v>
      </c>
      <c r="V1344" s="106">
        <v>0.47765310078814888</v>
      </c>
      <c r="W1344" s="106">
        <v>91496.649881982696</v>
      </c>
      <c r="X1344" s="110">
        <v>0.55826254571271539</v>
      </c>
      <c r="Y1344" s="106">
        <v>471.70256024096386</v>
      </c>
      <c r="Z1344" s="106">
        <v>17.39457831325301</v>
      </c>
      <c r="AA1344" s="106">
        <v>75144.518549838642</v>
      </c>
      <c r="AB1344" s="106">
        <v>585.51739970684639</v>
      </c>
      <c r="AC1344" s="106">
        <v>1.3307690558117857</v>
      </c>
      <c r="AD1344" s="106">
        <v>22.581540596807773</v>
      </c>
      <c r="AE1344" s="106">
        <v>128.33866011063307</v>
      </c>
      <c r="AF1344" s="106">
        <v>1.8252793219028628E-2</v>
      </c>
      <c r="AG1344" s="106">
        <v>3728</v>
      </c>
      <c r="AH1344" s="106">
        <v>26099.703116883116</v>
      </c>
      <c r="AI1344" s="106">
        <v>26170.344415584415</v>
      </c>
      <c r="AJ1344" s="106">
        <v>27230.766363636365</v>
      </c>
      <c r="AK1344" s="104">
        <v>19684.453116883116</v>
      </c>
      <c r="AL1344" s="119">
        <v>84046914</v>
      </c>
      <c r="AM1344" s="118">
        <v>6355</v>
      </c>
      <c r="AN1344" s="118">
        <v>208807</v>
      </c>
      <c r="AO1344" s="118">
        <v>1026</v>
      </c>
      <c r="AP1344" s="118">
        <f t="shared" si="20"/>
        <v>2671</v>
      </c>
    </row>
    <row r="1345" spans="1:42" ht="12.75">
      <c r="A1345" s="106">
        <v>2018</v>
      </c>
      <c r="B1345" s="106">
        <v>-199193</v>
      </c>
      <c r="C1345" s="106">
        <v>0</v>
      </c>
      <c r="D1345" s="106">
        <v>199193</v>
      </c>
      <c r="E1345" s="106" t="s">
        <v>2191</v>
      </c>
      <c r="F1345" s="106" t="s">
        <v>1949</v>
      </c>
      <c r="G1345" s="106" t="s">
        <v>90</v>
      </c>
      <c r="H1345" s="106">
        <v>1</v>
      </c>
      <c r="I1345" s="106" t="s">
        <v>23</v>
      </c>
      <c r="J1345" s="106">
        <v>9058</v>
      </c>
      <c r="K1345" s="106">
        <v>14771</v>
      </c>
      <c r="L1345" s="106">
        <v>8744</v>
      </c>
      <c r="M1345" s="106">
        <v>0.19</v>
      </c>
      <c r="N1345" s="106">
        <v>0.47</v>
      </c>
      <c r="O1345" s="106">
        <v>0.49</v>
      </c>
      <c r="P1345" s="106">
        <v>7735</v>
      </c>
      <c r="Q1345" s="106">
        <v>3776.3118381487775</v>
      </c>
      <c r="R1345" s="106">
        <v>0.26771869762286887</v>
      </c>
      <c r="S1345" s="106">
        <v>51312.185579814352</v>
      </c>
      <c r="T1345" s="106">
        <v>50972.975519675776</v>
      </c>
      <c r="U1345" s="106">
        <v>20792.31542826417</v>
      </c>
      <c r="V1345" s="106">
        <v>0.49678015278689736</v>
      </c>
      <c r="W1345" s="106">
        <v>101699.59567889737</v>
      </c>
      <c r="X1345" s="110">
        <v>0.58352133776710569</v>
      </c>
      <c r="Y1345" s="106">
        <v>340.55124470338978</v>
      </c>
      <c r="Z1345" s="106">
        <v>12.154131355932202</v>
      </c>
      <c r="AA1345" s="106">
        <v>68930.727364088263</v>
      </c>
      <c r="AB1345" s="106">
        <v>742.06903319118294</v>
      </c>
      <c r="AC1345" s="106">
        <v>1.4507318263421998</v>
      </c>
      <c r="AD1345" s="106">
        <v>30.692740031261433</v>
      </c>
      <c r="AE1345" s="106">
        <v>92.889912233178023</v>
      </c>
      <c r="AF1345" s="106">
        <v>4.6605046274450015E-2</v>
      </c>
      <c r="AG1345" s="106">
        <v>6535</v>
      </c>
      <c r="AH1345" s="106">
        <v>48300.85860896849</v>
      </c>
      <c r="AI1345" s="106">
        <v>50803.955615113089</v>
      </c>
      <c r="AJ1345" s="106">
        <v>52716.343803111515</v>
      </c>
      <c r="AK1345" s="104">
        <v>40677.873905085631</v>
      </c>
      <c r="AL1345" s="118">
        <v>515352773</v>
      </c>
      <c r="AM1345" s="118">
        <v>24150</v>
      </c>
      <c r="AN1345" s="118">
        <v>857281</v>
      </c>
      <c r="AO1345" s="118">
        <v>5937</v>
      </c>
      <c r="AP1345" s="118">
        <f t="shared" si="20"/>
        <v>2523</v>
      </c>
    </row>
    <row r="1346" spans="1:42" ht="12.75">
      <c r="A1346" s="106">
        <v>2018</v>
      </c>
      <c r="B1346" s="106">
        <v>-199209</v>
      </c>
      <c r="C1346" s="106">
        <v>0</v>
      </c>
      <c r="D1346" s="106">
        <v>199209</v>
      </c>
      <c r="E1346" s="106" t="s">
        <v>2192</v>
      </c>
      <c r="F1346" s="106" t="s">
        <v>2131</v>
      </c>
      <c r="G1346" s="106" t="s">
        <v>90</v>
      </c>
      <c r="H1346" s="106">
        <v>7</v>
      </c>
      <c r="I1346" s="106" t="s">
        <v>3641</v>
      </c>
      <c r="J1346" s="106">
        <v>29900</v>
      </c>
      <c r="K1346" s="106">
        <v>16419</v>
      </c>
      <c r="L1346" s="106">
        <v>13673</v>
      </c>
      <c r="M1346" s="106">
        <v>0.56999999999999995</v>
      </c>
      <c r="N1346" s="106">
        <v>0.73</v>
      </c>
      <c r="O1346" s="106">
        <v>0.99</v>
      </c>
      <c r="P1346" s="106">
        <v>20244</v>
      </c>
      <c r="Q1346" s="107">
        <v>11232.698521046645</v>
      </c>
      <c r="R1346" s="106">
        <v>0.51045440925060326</v>
      </c>
      <c r="S1346" s="106">
        <v>18173.084755403866</v>
      </c>
      <c r="T1346" s="106">
        <v>18502.640500568828</v>
      </c>
      <c r="U1346" s="106">
        <v>13962.317246285687</v>
      </c>
      <c r="V1346" s="106">
        <v>0.77154770706281284</v>
      </c>
      <c r="W1346" s="106">
        <v>54744.380757420673</v>
      </c>
      <c r="X1346" s="110">
        <v>0.54810059702452452</v>
      </c>
      <c r="Y1346" s="106">
        <v>393.47880299251864</v>
      </c>
      <c r="Z1346" s="106">
        <v>13.152119700748127</v>
      </c>
      <c r="AA1346" s="106">
        <v>45624.077544554348</v>
      </c>
      <c r="AB1346" s="106">
        <v>466.69367276300483</v>
      </c>
      <c r="AC1346" s="106">
        <v>2.1918251366801806</v>
      </c>
      <c r="AD1346" s="106">
        <v>28.510863804981451</v>
      </c>
      <c r="AE1346" s="106">
        <v>97.760223048327134</v>
      </c>
      <c r="AF1346" s="106">
        <v>2.8436709447556986E-3</v>
      </c>
      <c r="AG1346" s="106">
        <v>29750</v>
      </c>
      <c r="AH1346" s="106">
        <v>16139.137656427758</v>
      </c>
      <c r="AI1346" s="106">
        <v>18236.87827076223</v>
      </c>
      <c r="AJ1346" s="106">
        <v>18562.482935153585</v>
      </c>
      <c r="AK1346" s="104">
        <v>14718.212172923777</v>
      </c>
      <c r="AL1346" s="118"/>
      <c r="AM1346" s="118">
        <v>2093</v>
      </c>
      <c r="AN1346" s="118">
        <v>52595</v>
      </c>
      <c r="AO1346" s="118">
        <v>538</v>
      </c>
      <c r="AP1346" s="118">
        <f t="shared" si="20"/>
        <v>150</v>
      </c>
    </row>
    <row r="1347" spans="1:42" ht="12.75">
      <c r="A1347" s="106">
        <v>2018</v>
      </c>
      <c r="B1347" s="106">
        <v>-147660</v>
      </c>
      <c r="C1347" s="106">
        <v>0</v>
      </c>
      <c r="D1347" s="106">
        <v>147660</v>
      </c>
      <c r="E1347" s="106" t="s">
        <v>2193</v>
      </c>
      <c r="F1347" s="106" t="s">
        <v>2194</v>
      </c>
      <c r="G1347" s="106" t="s">
        <v>243</v>
      </c>
      <c r="H1347" s="106">
        <v>6</v>
      </c>
      <c r="I1347" s="106" t="s">
        <v>3640</v>
      </c>
      <c r="J1347" s="106">
        <v>37749</v>
      </c>
      <c r="K1347" s="106">
        <v>24913</v>
      </c>
      <c r="L1347" s="106">
        <v>19244</v>
      </c>
      <c r="M1347" s="106">
        <v>0.26</v>
      </c>
      <c r="N1347" s="106">
        <v>0.68</v>
      </c>
      <c r="O1347" s="106">
        <v>1</v>
      </c>
      <c r="P1347" s="106">
        <v>21928</v>
      </c>
      <c r="Q1347" s="106">
        <v>18130.389975115537</v>
      </c>
      <c r="R1347" s="106">
        <v>0.51805703088077104</v>
      </c>
      <c r="S1347" s="106">
        <v>25352.081407749734</v>
      </c>
      <c r="T1347" s="106">
        <v>28165.343405616779</v>
      </c>
      <c r="U1347" s="106">
        <v>21058.765730536794</v>
      </c>
      <c r="V1347" s="106">
        <v>0.80092584683546331</v>
      </c>
      <c r="W1347" s="106">
        <v>85451.48894668401</v>
      </c>
      <c r="X1347" s="110">
        <v>0.55292971796692258</v>
      </c>
      <c r="Y1347" s="106">
        <v>611.92195121951215</v>
      </c>
      <c r="Z1347" s="106">
        <v>13.721951219512196</v>
      </c>
      <c r="AA1347" s="106">
        <v>78879.238348868181</v>
      </c>
      <c r="AB1347" s="106">
        <v>472.22910621472528</v>
      </c>
      <c r="AC1347" s="106">
        <v>1.2677607199719478</v>
      </c>
      <c r="AD1347" s="106">
        <v>26.773618538324424</v>
      </c>
      <c r="AE1347" s="106">
        <v>167.03595206391478</v>
      </c>
      <c r="AF1347" s="106">
        <v>4.2557750296146071E-2</v>
      </c>
      <c r="AG1347" s="106">
        <v>37569</v>
      </c>
      <c r="AH1347" s="106">
        <v>24047.873444720939</v>
      </c>
      <c r="AI1347" s="106">
        <v>25352.081407749734</v>
      </c>
      <c r="AJ1347" s="106">
        <v>26818.87451119801</v>
      </c>
      <c r="AK1347" s="104">
        <v>21058.765730536794</v>
      </c>
      <c r="AL1347" s="118"/>
      <c r="AM1347" s="118">
        <v>2769</v>
      </c>
      <c r="AN1347" s="118">
        <v>125444</v>
      </c>
      <c r="AO1347" s="118">
        <v>668</v>
      </c>
      <c r="AP1347" s="118">
        <f t="shared" si="20"/>
        <v>180</v>
      </c>
    </row>
    <row r="1348" spans="1:42" ht="12.75">
      <c r="A1348" s="106">
        <v>2018</v>
      </c>
      <c r="B1348" s="106">
        <v>-155593</v>
      </c>
      <c r="C1348" s="106">
        <v>0</v>
      </c>
      <c r="D1348" s="106">
        <v>155593</v>
      </c>
      <c r="E1348" s="106" t="s">
        <v>2195</v>
      </c>
      <c r="F1348" s="106" t="s">
        <v>333</v>
      </c>
      <c r="G1348" s="106" t="s">
        <v>129</v>
      </c>
      <c r="H1348" s="106">
        <v>4</v>
      </c>
      <c r="I1348" s="106" t="s">
        <v>24</v>
      </c>
      <c r="J1348" s="106">
        <v>6019</v>
      </c>
      <c r="K1348" s="106">
        <v>11946</v>
      </c>
      <c r="L1348" s="106">
        <v>10488</v>
      </c>
      <c r="M1348" s="106">
        <v>0.57999999999999996</v>
      </c>
      <c r="N1348" s="106">
        <v>0.67</v>
      </c>
      <c r="O1348" s="106">
        <v>0.31</v>
      </c>
      <c r="P1348" s="106">
        <v>657</v>
      </c>
      <c r="Q1348" s="106"/>
      <c r="R1348" s="106"/>
      <c r="S1348" s="106">
        <v>15446.561764705883</v>
      </c>
      <c r="T1348" s="106">
        <v>15876.114705882354</v>
      </c>
      <c r="U1348" s="106">
        <v>13061.732352941177</v>
      </c>
      <c r="V1348" s="106">
        <v>0.35838683680594569</v>
      </c>
      <c r="W1348" s="106">
        <v>52221.760135135133</v>
      </c>
      <c r="X1348" s="110">
        <v>0.47727514825730627</v>
      </c>
      <c r="Y1348" s="106">
        <v>323.61904761904759</v>
      </c>
      <c r="Z1348" s="106">
        <v>10.793650793650794</v>
      </c>
      <c r="AA1348" s="106">
        <v>20049.611738148986</v>
      </c>
      <c r="AB1348" s="106">
        <v>435.64734157347459</v>
      </c>
      <c r="AC1348" s="106">
        <v>4.9876277558895099</v>
      </c>
      <c r="AD1348" s="106">
        <v>70.206022187004763</v>
      </c>
      <c r="AE1348" s="106">
        <v>46.02257336343115</v>
      </c>
      <c r="AF1348" s="106">
        <v>-5.35864182152565E-4</v>
      </c>
      <c r="AG1348" s="106">
        <v>4164</v>
      </c>
      <c r="AH1348" s="106">
        <v>15099.408823529411</v>
      </c>
      <c r="AI1348" s="106">
        <v>15099.408823529411</v>
      </c>
      <c r="AJ1348" s="106">
        <v>15482.97794117647</v>
      </c>
      <c r="AK1348" s="104">
        <v>13927.710294117647</v>
      </c>
      <c r="AL1348" s="119">
        <v>3657654</v>
      </c>
      <c r="AM1348" s="118">
        <v>853</v>
      </c>
      <c r="AN1348" s="118">
        <v>20388</v>
      </c>
      <c r="AO1348" s="118">
        <v>139</v>
      </c>
      <c r="AP1348" s="118">
        <f t="shared" si="20"/>
        <v>1855</v>
      </c>
    </row>
    <row r="1349" spans="1:42" ht="12.75">
      <c r="A1349" s="106">
        <v>2018</v>
      </c>
      <c r="B1349" s="106">
        <v>-171395</v>
      </c>
      <c r="C1349" s="106">
        <v>0</v>
      </c>
      <c r="D1349" s="106">
        <v>171395</v>
      </c>
      <c r="E1349" s="106" t="s">
        <v>2196</v>
      </c>
      <c r="F1349" s="106" t="s">
        <v>2197</v>
      </c>
      <c r="G1349" s="106" t="s">
        <v>74</v>
      </c>
      <c r="H1349" s="106">
        <v>4</v>
      </c>
      <c r="I1349" s="106" t="s">
        <v>24</v>
      </c>
      <c r="J1349" s="106">
        <v>3952</v>
      </c>
      <c r="K1349" s="106">
        <v>3519</v>
      </c>
      <c r="L1349" s="106">
        <v>2359</v>
      </c>
      <c r="M1349" s="106">
        <v>0.56999999999999995</v>
      </c>
      <c r="N1349" s="106">
        <v>0.19</v>
      </c>
      <c r="O1349" s="106">
        <v>0.31</v>
      </c>
      <c r="P1349" s="106">
        <v>2442</v>
      </c>
      <c r="Q1349" s="107">
        <v>829.39969135802471</v>
      </c>
      <c r="R1349" s="106">
        <v>0.13781584662608229</v>
      </c>
      <c r="S1349" s="106">
        <v>15258.091820987655</v>
      </c>
      <c r="T1349" s="106">
        <v>15487.665895061727</v>
      </c>
      <c r="U1349" s="106">
        <v>13797.288701484807</v>
      </c>
      <c r="V1349" s="106">
        <v>0.37607199733341029</v>
      </c>
      <c r="W1349" s="106">
        <v>102671.04000000001</v>
      </c>
      <c r="X1349" s="110">
        <v>0.55413948225925502</v>
      </c>
      <c r="Y1349" s="106">
        <v>1070.3119266055046</v>
      </c>
      <c r="Z1349" s="106">
        <v>35.669724770642198</v>
      </c>
      <c r="AA1349" s="106">
        <v>49670.239325345305</v>
      </c>
      <c r="AB1349" s="106">
        <v>459.81501124059633</v>
      </c>
      <c r="AC1349" s="106">
        <v>2.0132779982192042</v>
      </c>
      <c r="AD1349" s="106">
        <v>26.785714285714285</v>
      </c>
      <c r="AE1349" s="106">
        <v>108.02222222222223</v>
      </c>
      <c r="AF1349" s="106">
        <v>5.3504577783286232E-3</v>
      </c>
      <c r="AG1349" s="106">
        <v>3464</v>
      </c>
      <c r="AH1349" s="106">
        <v>14289.327160493827</v>
      </c>
      <c r="AI1349" s="106">
        <v>14922.885030864198</v>
      </c>
      <c r="AJ1349" s="106">
        <v>15365.749228395061</v>
      </c>
      <c r="AK1349" s="104">
        <v>14790.125</v>
      </c>
      <c r="AL1349" s="118">
        <v>9323216</v>
      </c>
      <c r="AM1349" s="118">
        <v>2527</v>
      </c>
      <c r="AN1349" s="118">
        <v>38888</v>
      </c>
      <c r="AO1349" s="118">
        <v>299</v>
      </c>
      <c r="AP1349" s="118">
        <f t="shared" si="20"/>
        <v>488</v>
      </c>
    </row>
    <row r="1350" spans="1:42" ht="12.75">
      <c r="A1350" s="106">
        <v>2018</v>
      </c>
      <c r="B1350" s="106">
        <v>-179715</v>
      </c>
      <c r="C1350" s="106">
        <v>0</v>
      </c>
      <c r="D1350" s="106">
        <v>179715</v>
      </c>
      <c r="E1350" s="106" t="s">
        <v>2198</v>
      </c>
      <c r="F1350" s="106" t="s">
        <v>2199</v>
      </c>
      <c r="G1350" s="106" t="s">
        <v>264</v>
      </c>
      <c r="H1350" s="106">
        <v>4</v>
      </c>
      <c r="I1350" s="106" t="s">
        <v>24</v>
      </c>
      <c r="J1350" s="106">
        <v>3510</v>
      </c>
      <c r="K1350" s="106">
        <v>8131</v>
      </c>
      <c r="L1350" s="106">
        <v>7585</v>
      </c>
      <c r="M1350" s="106">
        <v>0.56000000000000005</v>
      </c>
      <c r="N1350" s="106">
        <v>0.25</v>
      </c>
      <c r="O1350" s="106">
        <v>0.35</v>
      </c>
      <c r="P1350" s="106">
        <v>1749</v>
      </c>
      <c r="Q1350" s="106">
        <v>130.15208825847122</v>
      </c>
      <c r="R1350" s="106">
        <v>4.2695860081310925E-2</v>
      </c>
      <c r="S1350" s="106">
        <v>16418.492513790385</v>
      </c>
      <c r="T1350" s="106">
        <v>15823.48620961387</v>
      </c>
      <c r="U1350" s="106">
        <v>9628.0756501182041</v>
      </c>
      <c r="V1350" s="106">
        <v>0.30309293774740081</v>
      </c>
      <c r="W1350" s="106">
        <v>68194.11</v>
      </c>
      <c r="X1350" s="110">
        <v>0.45281604525576785</v>
      </c>
      <c r="Y1350" s="106">
        <v>736.85806451612905</v>
      </c>
      <c r="Z1350" s="106">
        <v>24.561290322580646</v>
      </c>
      <c r="AA1350" s="106">
        <v>29090.542857142857</v>
      </c>
      <c r="AB1350" s="106">
        <v>320.92742507420348</v>
      </c>
      <c r="AC1350" s="106">
        <v>3.4375432762144595</v>
      </c>
      <c r="AD1350" s="106">
        <v>38.997214484679667</v>
      </c>
      <c r="AE1350" s="106">
        <v>90.645238095238099</v>
      </c>
      <c r="AF1350" s="106">
        <v>3.7890705470643292E-2</v>
      </c>
      <c r="AG1350" s="106">
        <v>2550</v>
      </c>
      <c r="AH1350" s="106">
        <v>14390.427895981087</v>
      </c>
      <c r="AI1350" s="106">
        <v>14731.344365642239</v>
      </c>
      <c r="AJ1350" s="106">
        <v>16760.100078802207</v>
      </c>
      <c r="AK1350" s="104">
        <v>12632.085894405043</v>
      </c>
      <c r="AL1350" s="118">
        <v>2954041</v>
      </c>
      <c r="AM1350" s="118">
        <v>1832</v>
      </c>
      <c r="AN1350" s="118">
        <v>38071</v>
      </c>
      <c r="AO1350" s="118">
        <v>324</v>
      </c>
      <c r="AP1350" s="118">
        <f t="shared" ref="AP1350:AP1413" si="21">J1350-AG1350</f>
        <v>960</v>
      </c>
    </row>
    <row r="1351" spans="1:42" ht="12.75">
      <c r="A1351" s="106">
        <v>2018</v>
      </c>
      <c r="B1351" s="106">
        <v>-204422</v>
      </c>
      <c r="C1351" s="106">
        <v>0</v>
      </c>
      <c r="D1351" s="106">
        <v>204422</v>
      </c>
      <c r="E1351" s="106" t="s">
        <v>2200</v>
      </c>
      <c r="F1351" s="106" t="s">
        <v>1880</v>
      </c>
      <c r="G1351" s="106" t="s">
        <v>82</v>
      </c>
      <c r="H1351" s="106">
        <v>4</v>
      </c>
      <c r="I1351" s="106" t="s">
        <v>24</v>
      </c>
      <c r="J1351" s="106">
        <v>3591</v>
      </c>
      <c r="K1351" s="106">
        <v>3067</v>
      </c>
      <c r="L1351" s="106">
        <v>2059</v>
      </c>
      <c r="M1351" s="106">
        <v>0.56999999999999995</v>
      </c>
      <c r="N1351" s="106">
        <v>0.27</v>
      </c>
      <c r="O1351" s="106">
        <v>0.31</v>
      </c>
      <c r="P1351" s="106">
        <v>2469</v>
      </c>
      <c r="Q1351" s="106">
        <v>1200.2038106235566</v>
      </c>
      <c r="R1351" s="106">
        <v>0.19942634369510986</v>
      </c>
      <c r="S1351" s="106">
        <v>11990.828521939953</v>
      </c>
      <c r="T1351" s="106">
        <v>8730.8666281755195</v>
      </c>
      <c r="U1351" s="106">
        <v>8726.1953388038201</v>
      </c>
      <c r="V1351" s="106">
        <v>0.55213952703767932</v>
      </c>
      <c r="W1351" s="106">
        <v>32093.297872340427</v>
      </c>
      <c r="X1351" s="110">
        <v>0.46549363203378208</v>
      </c>
      <c r="Y1351" s="106">
        <v>516.27814569536429</v>
      </c>
      <c r="Z1351" s="106">
        <v>17.205298013245034</v>
      </c>
      <c r="AA1351" s="106">
        <v>25022.798554318237</v>
      </c>
      <c r="AB1351" s="106">
        <v>290.80601721712105</v>
      </c>
      <c r="AC1351" s="106">
        <v>3.9963555548323262</v>
      </c>
      <c r="AD1351" s="106">
        <v>38.422391857506362</v>
      </c>
      <c r="AE1351" s="106">
        <v>86.046357615894038</v>
      </c>
      <c r="AF1351" s="106">
        <v>0.88682674382284765</v>
      </c>
      <c r="AG1351" s="106">
        <v>3016</v>
      </c>
      <c r="AH1351" s="106">
        <v>11587.324480369514</v>
      </c>
      <c r="AI1351" s="106">
        <v>11587.324480369514</v>
      </c>
      <c r="AJ1351" s="106">
        <v>12019.593533487297</v>
      </c>
      <c r="AK1351" s="104">
        <v>10216.338914549653</v>
      </c>
      <c r="AL1351" s="118">
        <v>7782066</v>
      </c>
      <c r="AM1351" s="118">
        <v>3050</v>
      </c>
      <c r="AN1351" s="118">
        <v>51972</v>
      </c>
      <c r="AO1351" s="118">
        <v>359</v>
      </c>
      <c r="AP1351" s="118">
        <f t="shared" si="21"/>
        <v>575</v>
      </c>
    </row>
    <row r="1352" spans="1:42" ht="12.75">
      <c r="A1352" s="106">
        <v>2018</v>
      </c>
      <c r="B1352" s="106">
        <v>-224110</v>
      </c>
      <c r="C1352" s="106">
        <v>0</v>
      </c>
      <c r="D1352" s="106">
        <v>224110</v>
      </c>
      <c r="E1352" s="106" t="s">
        <v>2201</v>
      </c>
      <c r="F1352" s="106" t="s">
        <v>438</v>
      </c>
      <c r="G1352" s="106" t="s">
        <v>60</v>
      </c>
      <c r="H1352" s="106">
        <v>4</v>
      </c>
      <c r="I1352" s="106" t="s">
        <v>24</v>
      </c>
      <c r="J1352" s="106">
        <v>2040</v>
      </c>
      <c r="K1352" s="106">
        <v>4955</v>
      </c>
      <c r="L1352" s="106">
        <v>3566</v>
      </c>
      <c r="M1352" s="106">
        <v>0.4</v>
      </c>
      <c r="N1352" s="106">
        <v>0.25</v>
      </c>
      <c r="O1352" s="106">
        <v>0.23</v>
      </c>
      <c r="P1352" s="106">
        <v>2020</v>
      </c>
      <c r="Q1352" s="106">
        <v>477.12213740458014</v>
      </c>
      <c r="R1352" s="106">
        <v>0.10717326292062621</v>
      </c>
      <c r="S1352" s="106">
        <v>9038.2713984083166</v>
      </c>
      <c r="T1352" s="106">
        <v>8899.7445184343032</v>
      </c>
      <c r="U1352" s="106">
        <v>6184.7035997582752</v>
      </c>
      <c r="V1352" s="106">
        <v>0.64267500644850606</v>
      </c>
      <c r="W1352" s="106">
        <v>61449.927695287275</v>
      </c>
      <c r="X1352" s="110">
        <v>0.5790350404512381</v>
      </c>
      <c r="Y1352" s="106">
        <v>800.77890173410401</v>
      </c>
      <c r="Z1352" s="106">
        <v>26.692196531791904</v>
      </c>
      <c r="AA1352" s="106">
        <v>35389.609724639129</v>
      </c>
      <c r="AB1352" s="106">
        <v>206.15343838122766</v>
      </c>
      <c r="AC1352" s="106">
        <v>2.8256881264892137</v>
      </c>
      <c r="AD1352" s="106">
        <v>20.429086766660337</v>
      </c>
      <c r="AE1352" s="106">
        <v>171.66635687732341</v>
      </c>
      <c r="AF1352" s="106">
        <v>2.6621021985903912E-2</v>
      </c>
      <c r="AG1352" s="106">
        <v>1320</v>
      </c>
      <c r="AH1352" s="106">
        <v>8038.1851551080072</v>
      </c>
      <c r="AI1352" s="106">
        <v>8217.6556764658108</v>
      </c>
      <c r="AJ1352" s="106">
        <v>9084.7895078772126</v>
      </c>
      <c r="AK1352" s="104">
        <v>7551.409777489037</v>
      </c>
      <c r="AL1352" s="118">
        <v>16607349</v>
      </c>
      <c r="AM1352" s="118">
        <v>10327</v>
      </c>
      <c r="AN1352" s="118">
        <v>184713</v>
      </c>
      <c r="AO1352" s="118">
        <v>843</v>
      </c>
      <c r="AP1352" s="118">
        <f t="shared" si="21"/>
        <v>720</v>
      </c>
    </row>
    <row r="1353" spans="1:42" ht="12.75">
      <c r="A1353" s="106">
        <v>2018</v>
      </c>
      <c r="B1353" s="106">
        <v>-174437</v>
      </c>
      <c r="C1353" s="106">
        <v>0</v>
      </c>
      <c r="D1353" s="106">
        <v>174437</v>
      </c>
      <c r="E1353" s="106" t="s">
        <v>2202</v>
      </c>
      <c r="F1353" s="106" t="s">
        <v>238</v>
      </c>
      <c r="G1353" s="106" t="s">
        <v>113</v>
      </c>
      <c r="H1353" s="106">
        <v>7</v>
      </c>
      <c r="I1353" s="106" t="s">
        <v>3641</v>
      </c>
      <c r="J1353" s="106">
        <v>23480</v>
      </c>
      <c r="K1353" s="106">
        <v>21598</v>
      </c>
      <c r="L1353" s="106">
        <v>17617</v>
      </c>
      <c r="M1353" s="106">
        <v>0.35</v>
      </c>
      <c r="N1353" s="106">
        <v>0.79</v>
      </c>
      <c r="O1353" s="106">
        <v>1</v>
      </c>
      <c r="P1353" s="106">
        <v>9934</v>
      </c>
      <c r="Q1353" s="106">
        <v>8461.2017892644144</v>
      </c>
      <c r="R1353" s="106">
        <v>0.40956813740753106</v>
      </c>
      <c r="S1353" s="106">
        <v>23177.861829025846</v>
      </c>
      <c r="T1353" s="106">
        <v>23313.848906560637</v>
      </c>
      <c r="U1353" s="106">
        <v>14937.616302186878</v>
      </c>
      <c r="V1353" s="106">
        <v>0.81657179674087899</v>
      </c>
      <c r="W1353" s="106">
        <v>66991.600867678964</v>
      </c>
      <c r="X1353" s="110">
        <v>0.43892272666883037</v>
      </c>
      <c r="Y1353" s="106">
        <v>557.38888888888891</v>
      </c>
      <c r="Z1353" s="106">
        <v>18.62962962962963</v>
      </c>
      <c r="AA1353" s="106">
        <v>69894.148837209301</v>
      </c>
      <c r="AB1353" s="106">
        <v>499.26050699358785</v>
      </c>
      <c r="AC1353" s="106">
        <v>1.430734927939538</v>
      </c>
      <c r="AD1353" s="106">
        <v>21.673387096774192</v>
      </c>
      <c r="AE1353" s="106">
        <v>139.99534883720929</v>
      </c>
      <c r="AF1353" s="106">
        <v>6.6042008318562438E-3</v>
      </c>
      <c r="AG1353" s="106">
        <v>22850</v>
      </c>
      <c r="AH1353" s="106">
        <v>20441.448310139163</v>
      </c>
      <c r="AI1353" s="106">
        <v>21528.921471172962</v>
      </c>
      <c r="AJ1353" s="106">
        <v>23561.33300198807</v>
      </c>
      <c r="AK1353" s="104">
        <v>18281.971172962225</v>
      </c>
      <c r="AL1353" s="118"/>
      <c r="AM1353" s="118">
        <v>1076</v>
      </c>
      <c r="AN1353" s="118">
        <v>30099</v>
      </c>
      <c r="AO1353" s="118">
        <v>201</v>
      </c>
      <c r="AP1353" s="118">
        <f t="shared" si="21"/>
        <v>630</v>
      </c>
    </row>
    <row r="1354" spans="1:42" ht="12.75">
      <c r="A1354" s="106">
        <v>2018</v>
      </c>
      <c r="B1354" s="106">
        <v>-194028</v>
      </c>
      <c r="C1354" s="106">
        <v>0</v>
      </c>
      <c r="D1354" s="106">
        <v>194028</v>
      </c>
      <c r="E1354" s="106" t="s">
        <v>2203</v>
      </c>
      <c r="F1354" s="106" t="s">
        <v>2204</v>
      </c>
      <c r="G1354" s="106" t="s">
        <v>69</v>
      </c>
      <c r="H1354" s="106">
        <v>4</v>
      </c>
      <c r="I1354" s="106" t="s">
        <v>24</v>
      </c>
      <c r="J1354" s="106">
        <v>5614</v>
      </c>
      <c r="K1354" s="106">
        <v>10245</v>
      </c>
      <c r="L1354" s="106">
        <v>8587</v>
      </c>
      <c r="M1354" s="106">
        <v>0.62</v>
      </c>
      <c r="N1354" s="106">
        <v>0.52</v>
      </c>
      <c r="O1354" s="106">
        <v>0</v>
      </c>
      <c r="P1354" s="106"/>
      <c r="Q1354" s="106">
        <v>87.235738255033553</v>
      </c>
      <c r="R1354" s="106">
        <v>2.2602535761717515E-2</v>
      </c>
      <c r="S1354" s="106">
        <v>11865.182885906041</v>
      </c>
      <c r="T1354" s="106">
        <v>12546.105704697986</v>
      </c>
      <c r="U1354" s="106">
        <v>9433.7525167785243</v>
      </c>
      <c r="V1354" s="106">
        <v>0.39987477137683813</v>
      </c>
      <c r="W1354" s="106">
        <v>79512.541114058346</v>
      </c>
      <c r="X1354" s="110">
        <v>0.66814470491993361</v>
      </c>
      <c r="Y1354" s="106">
        <v>485.30769230769226</v>
      </c>
      <c r="Z1354" s="106">
        <v>16.180995475113122</v>
      </c>
      <c r="AA1354" s="106">
        <v>41342.033088235294</v>
      </c>
      <c r="AB1354" s="106">
        <v>314.5375793684093</v>
      </c>
      <c r="AC1354" s="106">
        <v>2.418845725041447</v>
      </c>
      <c r="AD1354" s="106">
        <v>21.434200157604412</v>
      </c>
      <c r="AE1354" s="106">
        <v>131.4375</v>
      </c>
      <c r="AF1354" s="106">
        <v>-3.3309564198124128E-2</v>
      </c>
      <c r="AG1354" s="106">
        <v>4692</v>
      </c>
      <c r="AH1354" s="106">
        <v>10097.535234899329</v>
      </c>
      <c r="AI1354" s="106">
        <v>10097.535234899329</v>
      </c>
      <c r="AJ1354" s="106">
        <v>11865.182885906041</v>
      </c>
      <c r="AK1354" s="104">
        <v>12162.760906040268</v>
      </c>
      <c r="AL1354" s="118">
        <v>5214116</v>
      </c>
      <c r="AM1354" s="118">
        <v>2006</v>
      </c>
      <c r="AN1354" s="118">
        <v>35751</v>
      </c>
      <c r="AO1354" s="118">
        <v>196</v>
      </c>
      <c r="AP1354" s="118">
        <f t="shared" si="21"/>
        <v>922</v>
      </c>
    </row>
    <row r="1355" spans="1:42" ht="12.75">
      <c r="A1355" s="106">
        <v>2018</v>
      </c>
      <c r="B1355" s="106">
        <v>-200305</v>
      </c>
      <c r="C1355" s="106">
        <v>0</v>
      </c>
      <c r="D1355" s="106">
        <v>200305</v>
      </c>
      <c r="E1355" s="106" t="s">
        <v>2205</v>
      </c>
      <c r="F1355" s="106" t="s">
        <v>2206</v>
      </c>
      <c r="G1355" s="106" t="s">
        <v>382</v>
      </c>
      <c r="H1355" s="106">
        <v>4</v>
      </c>
      <c r="I1355" s="106" t="s">
        <v>24</v>
      </c>
      <c r="J1355" s="106">
        <v>4880</v>
      </c>
      <c r="K1355" s="106">
        <v>10210</v>
      </c>
      <c r="L1355" s="106">
        <v>7101</v>
      </c>
      <c r="M1355" s="106">
        <v>0.41</v>
      </c>
      <c r="N1355" s="106">
        <v>0.74</v>
      </c>
      <c r="O1355" s="106">
        <v>0.27</v>
      </c>
      <c r="P1355" s="106">
        <v>1857</v>
      </c>
      <c r="Q1355" s="106">
        <v>304.17911111111113</v>
      </c>
      <c r="R1355" s="106">
        <v>5.6796406273767933E-2</v>
      </c>
      <c r="S1355" s="106">
        <v>19386.624444444446</v>
      </c>
      <c r="T1355" s="106">
        <v>20050.135111111111</v>
      </c>
      <c r="U1355" s="106">
        <v>12696.272444444445</v>
      </c>
      <c r="V1355" s="106">
        <v>0.39786683846628929</v>
      </c>
      <c r="W1355" s="106">
        <v>80961.280701754382</v>
      </c>
      <c r="X1355" s="110">
        <v>0.61376716907244333</v>
      </c>
      <c r="Y1355" s="106">
        <v>422.71189979123176</v>
      </c>
      <c r="Z1355" s="106">
        <v>14.091858037578289</v>
      </c>
      <c r="AA1355" s="106">
        <v>44016.35285053929</v>
      </c>
      <c r="AB1355" s="106">
        <v>423.25297438252858</v>
      </c>
      <c r="AC1355" s="106">
        <v>2.2718829145058255</v>
      </c>
      <c r="AD1355" s="106">
        <v>30.383895131086142</v>
      </c>
      <c r="AE1355" s="106">
        <v>103.99537750385208</v>
      </c>
      <c r="AF1355" s="106">
        <v>3.7646565279570525E-3</v>
      </c>
      <c r="AG1355" s="106">
        <v>4188</v>
      </c>
      <c r="AH1355" s="106">
        <v>18768.424888888891</v>
      </c>
      <c r="AI1355" s="106">
        <v>19206.650666666668</v>
      </c>
      <c r="AJ1355" s="106">
        <v>19738.070222222221</v>
      </c>
      <c r="AK1355" s="104">
        <v>13321.304</v>
      </c>
      <c r="AL1355" s="118">
        <v>16800000</v>
      </c>
      <c r="AM1355" s="118">
        <v>2985</v>
      </c>
      <c r="AN1355" s="118">
        <v>67493</v>
      </c>
      <c r="AO1355" s="118">
        <v>567</v>
      </c>
      <c r="AP1355" s="118">
        <f t="shared" si="21"/>
        <v>692</v>
      </c>
    </row>
    <row r="1356" spans="1:42" ht="12.75">
      <c r="A1356" s="106">
        <v>2018</v>
      </c>
      <c r="B1356" s="106">
        <v>-200332</v>
      </c>
      <c r="C1356" s="106">
        <v>0</v>
      </c>
      <c r="D1356" s="106">
        <v>200332</v>
      </c>
      <c r="E1356" s="106" t="s">
        <v>2207</v>
      </c>
      <c r="F1356" s="106" t="s">
        <v>2208</v>
      </c>
      <c r="G1356" s="106" t="s">
        <v>382</v>
      </c>
      <c r="H1356" s="106">
        <v>1</v>
      </c>
      <c r="I1356" s="106" t="s">
        <v>23</v>
      </c>
      <c r="J1356" s="106">
        <v>8546</v>
      </c>
      <c r="K1356" s="106">
        <v>15472</v>
      </c>
      <c r="L1356" s="106">
        <v>10943</v>
      </c>
      <c r="M1356" s="106">
        <v>0.22</v>
      </c>
      <c r="N1356" s="106">
        <v>0.67</v>
      </c>
      <c r="O1356" s="106">
        <v>0.4</v>
      </c>
      <c r="P1356" s="106">
        <v>4072</v>
      </c>
      <c r="Q1356" s="106">
        <v>1499.7003920260238</v>
      </c>
      <c r="R1356" s="106">
        <v>0.12601675382391139</v>
      </c>
      <c r="S1356" s="106">
        <v>33983.245975477519</v>
      </c>
      <c r="T1356" s="106">
        <v>34261.918842272084</v>
      </c>
      <c r="U1356" s="106">
        <v>15741.011359044624</v>
      </c>
      <c r="V1356" s="106">
        <v>0.66076448471092031</v>
      </c>
      <c r="W1356" s="106">
        <v>106198.17912900576</v>
      </c>
      <c r="X1356" s="110">
        <v>0.62927865683770023</v>
      </c>
      <c r="Y1356" s="106">
        <v>375.02959444647422</v>
      </c>
      <c r="Z1356" s="106">
        <v>13.141030325173547</v>
      </c>
      <c r="AA1356" s="106">
        <v>60216.651302994898</v>
      </c>
      <c r="AB1356" s="106">
        <v>551.56475830503985</v>
      </c>
      <c r="AC1356" s="106">
        <v>1.6606702271905722</v>
      </c>
      <c r="AD1356" s="106">
        <v>24.57075656605253</v>
      </c>
      <c r="AE1356" s="106">
        <v>109.17421825143586</v>
      </c>
      <c r="AF1356" s="106">
        <v>1.3663540972431665E-2</v>
      </c>
      <c r="AG1356" s="106">
        <v>7201</v>
      </c>
      <c r="AH1356" s="106">
        <v>32218.897489365252</v>
      </c>
      <c r="AI1356" s="106">
        <v>33473.366669446994</v>
      </c>
      <c r="AJ1356" s="106">
        <v>34368.979397781302</v>
      </c>
      <c r="AK1356" s="104">
        <v>30706.528901493035</v>
      </c>
      <c r="AL1356" s="118">
        <v>112020735</v>
      </c>
      <c r="AM1356" s="118">
        <v>11984</v>
      </c>
      <c r="AN1356" s="118">
        <v>342152</v>
      </c>
      <c r="AO1356" s="118">
        <v>2427</v>
      </c>
      <c r="AP1356" s="118">
        <f t="shared" si="21"/>
        <v>1345</v>
      </c>
    </row>
    <row r="1357" spans="1:42" ht="12.75">
      <c r="A1357" s="106">
        <v>2018</v>
      </c>
      <c r="B1357" s="106">
        <v>-136145</v>
      </c>
      <c r="C1357" s="106">
        <v>0</v>
      </c>
      <c r="D1357" s="106">
        <v>136145</v>
      </c>
      <c r="E1357" s="106" t="s">
        <v>2209</v>
      </c>
      <c r="F1357" s="106" t="s">
        <v>988</v>
      </c>
      <c r="G1357" s="106" t="s">
        <v>258</v>
      </c>
      <c r="H1357" s="106">
        <v>4</v>
      </c>
      <c r="I1357" s="106" t="s">
        <v>24</v>
      </c>
      <c r="J1357" s="106">
        <v>2994</v>
      </c>
      <c r="K1357" s="106">
        <v>3577</v>
      </c>
      <c r="L1357" s="106">
        <v>2177</v>
      </c>
      <c r="M1357" s="106">
        <v>0.62</v>
      </c>
      <c r="N1357" s="106">
        <v>0</v>
      </c>
      <c r="O1357" s="106">
        <v>0.55000000000000004</v>
      </c>
      <c r="P1357" s="107">
        <v>2106</v>
      </c>
      <c r="Q1357" s="106">
        <v>327.95963091118801</v>
      </c>
      <c r="R1357" s="106">
        <v>0.12021177558856382</v>
      </c>
      <c r="S1357" s="106">
        <v>14906.956170703575</v>
      </c>
      <c r="T1357" s="106">
        <v>15690.087658592849</v>
      </c>
      <c r="U1357" s="106">
        <v>12544.171417547244</v>
      </c>
      <c r="V1357" s="106">
        <v>0.19134166193968108</v>
      </c>
      <c r="W1357" s="106">
        <v>57737.602597402591</v>
      </c>
      <c r="X1357" s="110">
        <v>0.54469545858925761</v>
      </c>
      <c r="Y1357" s="106">
        <v>608.10591999999997</v>
      </c>
      <c r="Z1357" s="106">
        <v>20.808</v>
      </c>
      <c r="AA1357" s="106">
        <v>28924.991008014524</v>
      </c>
      <c r="AB1357" s="106">
        <v>429.23298437272746</v>
      </c>
      <c r="AC1357" s="106">
        <v>3.4572180151168257</v>
      </c>
      <c r="AD1357" s="106">
        <v>47.058823529411761</v>
      </c>
      <c r="AE1357" s="107">
        <v>67.387624113475169</v>
      </c>
      <c r="AF1357" s="106">
        <v>-3.7817538006461415E-3</v>
      </c>
      <c r="AG1357" s="106">
        <v>2280</v>
      </c>
      <c r="AH1357" s="106">
        <v>13736.066897347175</v>
      </c>
      <c r="AI1357" s="106">
        <v>13736.066897347175</v>
      </c>
      <c r="AJ1357" s="106">
        <v>14999.186851211072</v>
      </c>
      <c r="AK1357" s="104">
        <v>14882.62860438293</v>
      </c>
      <c r="AL1357" s="118">
        <v>7899186</v>
      </c>
      <c r="AM1357" s="118">
        <v>1367</v>
      </c>
      <c r="AN1357" s="118">
        <v>25337.746666666666</v>
      </c>
      <c r="AO1357" s="118">
        <v>206</v>
      </c>
      <c r="AP1357" s="118">
        <f t="shared" si="21"/>
        <v>714</v>
      </c>
    </row>
    <row r="1358" spans="1:42" ht="12.75">
      <c r="A1358" s="106">
        <v>2018</v>
      </c>
      <c r="B1358" s="106">
        <v>-140678</v>
      </c>
      <c r="C1358" s="106">
        <v>0</v>
      </c>
      <c r="D1358" s="106">
        <v>140678</v>
      </c>
      <c r="E1358" s="106" t="s">
        <v>2210</v>
      </c>
      <c r="F1358" s="106" t="s">
        <v>2211</v>
      </c>
      <c r="G1358" s="106" t="s">
        <v>63</v>
      </c>
      <c r="H1358" s="106">
        <v>4</v>
      </c>
      <c r="I1358" s="106" t="s">
        <v>24</v>
      </c>
      <c r="J1358" s="106">
        <v>2734</v>
      </c>
      <c r="K1358" s="106">
        <v>5378</v>
      </c>
      <c r="L1358" s="106">
        <v>3631</v>
      </c>
      <c r="M1358" s="106">
        <v>0.66</v>
      </c>
      <c r="N1358" s="106">
        <v>0.02</v>
      </c>
      <c r="O1358" s="106">
        <v>0</v>
      </c>
      <c r="P1358" s="107"/>
      <c r="Q1358" s="107"/>
      <c r="R1358" s="106"/>
      <c r="S1358" s="106">
        <v>13543.926430517711</v>
      </c>
      <c r="T1358" s="106">
        <v>14249.819618528611</v>
      </c>
      <c r="U1358" s="106">
        <v>11001.809264305177</v>
      </c>
      <c r="V1358" s="106">
        <v>0.31896893847531643</v>
      </c>
      <c r="W1358" s="106">
        <v>54384.994673768313</v>
      </c>
      <c r="X1358" s="110">
        <v>0.52065774990067282</v>
      </c>
      <c r="Y1358" s="106">
        <v>488.52958579881658</v>
      </c>
      <c r="Z1358" s="106">
        <v>16.286982248520712</v>
      </c>
      <c r="AA1358" s="106">
        <v>21661.287553648068</v>
      </c>
      <c r="AB1358" s="106">
        <v>366.78694064424701</v>
      </c>
      <c r="AC1358" s="106">
        <v>4.6165307464910397</v>
      </c>
      <c r="AD1358" s="106">
        <v>60.716612377850169</v>
      </c>
      <c r="AE1358" s="106">
        <v>59.056866952789697</v>
      </c>
      <c r="AF1358" s="106">
        <v>-9.6998848502986412E-3</v>
      </c>
      <c r="AG1358" s="106">
        <v>2136</v>
      </c>
      <c r="AH1358" s="106">
        <v>10910.064850136239</v>
      </c>
      <c r="AI1358" s="106">
        <v>11186.76021798365</v>
      </c>
      <c r="AJ1358" s="106">
        <v>13545.483923705722</v>
      </c>
      <c r="AK1358" s="104">
        <v>13382.626702997275</v>
      </c>
      <c r="AL1358" s="118">
        <v>10191838</v>
      </c>
      <c r="AM1358" s="118">
        <v>2698</v>
      </c>
      <c r="AN1358" s="118">
        <v>55041</v>
      </c>
      <c r="AO1358" s="118">
        <v>246</v>
      </c>
      <c r="AP1358" s="118">
        <f t="shared" si="21"/>
        <v>598</v>
      </c>
    </row>
    <row r="1359" spans="1:42" ht="12.75">
      <c r="A1359" s="106">
        <v>2018</v>
      </c>
      <c r="B1359" s="106">
        <v>-218441</v>
      </c>
      <c r="C1359" s="106">
        <v>0</v>
      </c>
      <c r="D1359" s="106">
        <v>218441</v>
      </c>
      <c r="E1359" s="106" t="s">
        <v>2212</v>
      </c>
      <c r="F1359" s="106" t="s">
        <v>2213</v>
      </c>
      <c r="G1359" s="106" t="s">
        <v>79</v>
      </c>
      <c r="H1359" s="106">
        <v>6</v>
      </c>
      <c r="I1359" s="106" t="s">
        <v>3640</v>
      </c>
      <c r="J1359" s="106">
        <v>19150</v>
      </c>
      <c r="K1359" s="106">
        <v>20111</v>
      </c>
      <c r="L1359" s="106">
        <v>18557</v>
      </c>
      <c r="M1359" s="106">
        <v>0.39</v>
      </c>
      <c r="N1359" s="106">
        <v>0.92</v>
      </c>
      <c r="O1359" s="106">
        <v>0.99</v>
      </c>
      <c r="P1359" s="106">
        <v>9041</v>
      </c>
      <c r="Q1359" s="106">
        <v>6968.2896353953302</v>
      </c>
      <c r="R1359" s="106">
        <v>0.69323993458691435</v>
      </c>
      <c r="S1359" s="106">
        <v>19073.963539532979</v>
      </c>
      <c r="T1359" s="106">
        <v>19452.517410897173</v>
      </c>
      <c r="U1359" s="106">
        <v>15211.704219582138</v>
      </c>
      <c r="V1359" s="106">
        <v>0.202704584241473</v>
      </c>
      <c r="W1359" s="106">
        <v>60432.422834645673</v>
      </c>
      <c r="X1359" s="110">
        <v>0.53877679227952302</v>
      </c>
      <c r="Y1359" s="106">
        <v>428.04892367906064</v>
      </c>
      <c r="Z1359" s="106">
        <v>14.330724070450097</v>
      </c>
      <c r="AA1359" s="106">
        <v>69405.177570093452</v>
      </c>
      <c r="AB1359" s="106">
        <v>509.27528082182386</v>
      </c>
      <c r="AC1359" s="106">
        <v>1.4408146985721391</v>
      </c>
      <c r="AD1359" s="106">
        <v>22.83397353819889</v>
      </c>
      <c r="AE1359" s="106">
        <v>136.2822429906542</v>
      </c>
      <c r="AF1359" s="106">
        <v>9.2505564328047574E-3</v>
      </c>
      <c r="AG1359" s="106">
        <v>18750</v>
      </c>
      <c r="AH1359" s="106">
        <v>10455.072920934044</v>
      </c>
      <c r="AI1359" s="106">
        <v>12105.755837771405</v>
      </c>
      <c r="AJ1359" s="106">
        <v>19844.585006145022</v>
      </c>
      <c r="AK1359" s="104">
        <v>15211.704219582138</v>
      </c>
      <c r="AM1359" s="118">
        <v>2358</v>
      </c>
      <c r="AN1359" s="118">
        <v>72911</v>
      </c>
      <c r="AO1359" s="118">
        <v>466</v>
      </c>
      <c r="AP1359" s="118">
        <f t="shared" si="21"/>
        <v>400</v>
      </c>
    </row>
    <row r="1360" spans="1:42" ht="12.75">
      <c r="A1360" s="106">
        <v>2018</v>
      </c>
      <c r="B1360" s="106">
        <v>-174376</v>
      </c>
      <c r="C1360" s="106">
        <v>0</v>
      </c>
      <c r="D1360" s="106">
        <v>174376</v>
      </c>
      <c r="E1360" s="106" t="s">
        <v>2214</v>
      </c>
      <c r="F1360" s="106" t="s">
        <v>1460</v>
      </c>
      <c r="G1360" s="106" t="s">
        <v>113</v>
      </c>
      <c r="H1360" s="106">
        <v>4</v>
      </c>
      <c r="I1360" s="106" t="s">
        <v>24</v>
      </c>
      <c r="J1360" s="106">
        <v>4420</v>
      </c>
      <c r="K1360" s="106">
        <v>10189</v>
      </c>
      <c r="L1360" s="106">
        <v>8367</v>
      </c>
      <c r="M1360" s="106">
        <v>0.56000000000000005</v>
      </c>
      <c r="N1360" s="106">
        <v>0.3</v>
      </c>
      <c r="O1360" s="106">
        <v>0.34</v>
      </c>
      <c r="P1360" s="106">
        <v>250</v>
      </c>
      <c r="Q1360" s="107">
        <v>44.294655753490609</v>
      </c>
      <c r="R1360" s="106">
        <v>8.368200836820083E-3</v>
      </c>
      <c r="S1360" s="106">
        <v>11988.204140587386</v>
      </c>
      <c r="T1360" s="106">
        <v>13274.915743861338</v>
      </c>
      <c r="U1360" s="106">
        <v>10700.233569198523</v>
      </c>
      <c r="V1360" s="106">
        <v>0.49054225525488188</v>
      </c>
      <c r="W1360" s="106">
        <v>126023.97260273973</v>
      </c>
      <c r="X1360" s="110">
        <v>0.66732554765704333</v>
      </c>
      <c r="Y1360" s="106">
        <v>861.39400921658989</v>
      </c>
      <c r="Z1360" s="106">
        <v>28.714285714285715</v>
      </c>
      <c r="AA1360" s="106">
        <v>38022.900125278582</v>
      </c>
      <c r="AB1360" s="106">
        <v>356.68876336276259</v>
      </c>
      <c r="AC1360" s="106">
        <v>2.6299940212481974</v>
      </c>
      <c r="AD1360" s="106">
        <v>32.653631284916202</v>
      </c>
      <c r="AE1360" s="106">
        <v>106.59965782720273</v>
      </c>
      <c r="AF1360" s="106">
        <v>-8.5462617905604193E-2</v>
      </c>
      <c r="AG1360" s="106">
        <v>3961</v>
      </c>
      <c r="AH1360" s="106">
        <v>12098.459316321618</v>
      </c>
      <c r="AI1360" s="106">
        <v>12113.143957631199</v>
      </c>
      <c r="AJ1360" s="106">
        <v>12089.792970630717</v>
      </c>
      <c r="AK1360" s="104">
        <v>11092.922484352432</v>
      </c>
      <c r="AL1360" s="118">
        <v>20105000</v>
      </c>
      <c r="AM1360" s="118">
        <v>6550</v>
      </c>
      <c r="AN1360" s="118">
        <v>124615</v>
      </c>
      <c r="AO1360" s="118">
        <v>793</v>
      </c>
      <c r="AP1360" s="118">
        <f t="shared" si="21"/>
        <v>459</v>
      </c>
    </row>
    <row r="1361" spans="1:42" ht="12.75">
      <c r="A1361" s="106">
        <v>2018</v>
      </c>
      <c r="B1361" s="106">
        <v>-142443</v>
      </c>
      <c r="C1361" s="106">
        <v>0</v>
      </c>
      <c r="D1361" s="106">
        <v>142443</v>
      </c>
      <c r="E1361" s="106" t="s">
        <v>2215</v>
      </c>
      <c r="F1361" s="106" t="s">
        <v>2216</v>
      </c>
      <c r="G1361" s="106" t="s">
        <v>418</v>
      </c>
      <c r="H1361" s="106">
        <v>4</v>
      </c>
      <c r="I1361" s="106" t="s">
        <v>24</v>
      </c>
      <c r="J1361" s="106">
        <v>3494</v>
      </c>
      <c r="K1361" s="106">
        <v>7503</v>
      </c>
      <c r="L1361" s="106">
        <v>6625</v>
      </c>
      <c r="M1361" s="106">
        <v>0.55000000000000004</v>
      </c>
      <c r="N1361" s="106">
        <v>0.36</v>
      </c>
      <c r="O1361" s="106">
        <v>0.45</v>
      </c>
      <c r="P1361" s="106">
        <v>1699</v>
      </c>
      <c r="Q1361" s="108">
        <v>459.23660170523749</v>
      </c>
      <c r="R1361" s="106">
        <v>0.10839541142601067</v>
      </c>
      <c r="S1361" s="106">
        <v>20527.316991473814</v>
      </c>
      <c r="T1361" s="106">
        <v>19776.845615103532</v>
      </c>
      <c r="U1361" s="106">
        <v>13329.636087949006</v>
      </c>
      <c r="V1361" s="106">
        <v>0.28338678774251408</v>
      </c>
      <c r="W1361" s="106">
        <v>60517.533301158306</v>
      </c>
      <c r="X1361" s="110">
        <v>0.64356074009147224</v>
      </c>
      <c r="Y1361" s="106">
        <v>425.86599423631128</v>
      </c>
      <c r="Z1361" s="106">
        <v>14.195965417867436</v>
      </c>
      <c r="AA1361" s="106">
        <v>32618.871022969102</v>
      </c>
      <c r="AB1361" s="106">
        <v>444.33473322192651</v>
      </c>
      <c r="AC1361" s="106">
        <v>3.0657100280872198</v>
      </c>
      <c r="AD1361" s="106">
        <v>41.61240310077519</v>
      </c>
      <c r="AE1361" s="106">
        <v>73.410581222056635</v>
      </c>
      <c r="AF1361" s="106">
        <v>3.9028299470167546E-2</v>
      </c>
      <c r="AG1361" s="106">
        <v>2520</v>
      </c>
      <c r="AH1361" s="106">
        <v>19570.270401948845</v>
      </c>
      <c r="AI1361" s="106">
        <v>20089.786540803896</v>
      </c>
      <c r="AJ1361" s="106">
        <v>20623.442448233862</v>
      </c>
      <c r="AK1361" s="105">
        <v>16937.563032886723</v>
      </c>
      <c r="AL1361" s="119">
        <v>34447968</v>
      </c>
      <c r="AM1361" s="119">
        <v>5390</v>
      </c>
      <c r="AN1361" s="119">
        <v>98517</v>
      </c>
      <c r="AO1361" s="119">
        <v>687</v>
      </c>
      <c r="AP1361" s="118">
        <f t="shared" si="21"/>
        <v>974</v>
      </c>
    </row>
    <row r="1362" spans="1:42" ht="12.75">
      <c r="A1362" s="106">
        <v>2018</v>
      </c>
      <c r="B1362" s="106">
        <v>-154059</v>
      </c>
      <c r="C1362" s="106">
        <v>0</v>
      </c>
      <c r="D1362" s="106">
        <v>154059</v>
      </c>
      <c r="E1362" s="106" t="s">
        <v>2217</v>
      </c>
      <c r="F1362" s="106" t="s">
        <v>2218</v>
      </c>
      <c r="G1362" s="106" t="s">
        <v>447</v>
      </c>
      <c r="H1362" s="106">
        <v>4</v>
      </c>
      <c r="I1362" s="106" t="s">
        <v>24</v>
      </c>
      <c r="J1362" s="106">
        <v>5213</v>
      </c>
      <c r="K1362" s="106">
        <v>8603</v>
      </c>
      <c r="L1362" s="106">
        <v>5809</v>
      </c>
      <c r="M1362" s="106">
        <v>0.45</v>
      </c>
      <c r="N1362" s="106">
        <v>0.81</v>
      </c>
      <c r="O1362" s="106">
        <v>0.57999999999999996</v>
      </c>
      <c r="P1362" s="106">
        <v>2409</v>
      </c>
      <c r="Q1362" s="106">
        <v>294.94427558257348</v>
      </c>
      <c r="R1362" s="106">
        <v>4.4036257037655228E-2</v>
      </c>
      <c r="S1362" s="106">
        <v>22268.972137791287</v>
      </c>
      <c r="T1362" s="106">
        <v>21274.257852077</v>
      </c>
      <c r="U1362" s="106">
        <v>16563.47771023303</v>
      </c>
      <c r="V1362" s="106">
        <v>0.38656227362694345</v>
      </c>
      <c r="W1362" s="106">
        <v>70393.429553264607</v>
      </c>
      <c r="X1362" s="110">
        <v>0.48777950243818458</v>
      </c>
      <c r="Y1362" s="106">
        <v>734.03305785123962</v>
      </c>
      <c r="Z1362" s="106">
        <v>24.471074380165287</v>
      </c>
      <c r="AA1362" s="106">
        <v>36009.146475770925</v>
      </c>
      <c r="AB1362" s="106">
        <v>552.19051881375401</v>
      </c>
      <c r="AC1362" s="106">
        <v>2.7770722104531385</v>
      </c>
      <c r="AD1362" s="106">
        <v>48.195329087048833</v>
      </c>
      <c r="AE1362" s="106">
        <v>65.211453744493397</v>
      </c>
      <c r="AF1362" s="106">
        <v>6.3845384684372355E-2</v>
      </c>
      <c r="AG1362" s="106">
        <v>4433</v>
      </c>
      <c r="AH1362" s="106">
        <v>21178.250253292805</v>
      </c>
      <c r="AI1362" s="106">
        <v>21888.449848024316</v>
      </c>
      <c r="AJ1362" s="106">
        <v>22482.382978723403</v>
      </c>
      <c r="AK1362" s="104">
        <v>17094.034954407296</v>
      </c>
      <c r="AL1362" s="118">
        <v>16762979</v>
      </c>
      <c r="AM1362" s="118">
        <v>2947</v>
      </c>
      <c r="AN1362" s="118">
        <v>59212</v>
      </c>
      <c r="AO1362" s="118">
        <v>479</v>
      </c>
      <c r="AP1362" s="118">
        <f t="shared" si="21"/>
        <v>780</v>
      </c>
    </row>
    <row r="1363" spans="1:42" ht="12.75">
      <c r="A1363" s="106">
        <v>2018</v>
      </c>
      <c r="B1363" s="106">
        <v>-227191</v>
      </c>
      <c r="C1363" s="106">
        <v>0</v>
      </c>
      <c r="D1363" s="106">
        <v>227191</v>
      </c>
      <c r="E1363" s="106" t="s">
        <v>2219</v>
      </c>
      <c r="F1363" s="106" t="s">
        <v>2220</v>
      </c>
      <c r="G1363" s="106" t="s">
        <v>60</v>
      </c>
      <c r="H1363" s="106">
        <v>4</v>
      </c>
      <c r="I1363" s="106" t="s">
        <v>24</v>
      </c>
      <c r="J1363" s="106">
        <v>1770</v>
      </c>
      <c r="K1363" s="106">
        <v>4823</v>
      </c>
      <c r="L1363" s="106">
        <v>3910</v>
      </c>
      <c r="M1363" s="106">
        <v>0.34</v>
      </c>
      <c r="N1363" s="106">
        <v>0.06</v>
      </c>
      <c r="O1363" s="106">
        <v>0.04</v>
      </c>
      <c r="P1363" s="106">
        <v>1410</v>
      </c>
      <c r="Q1363" s="107">
        <v>121.41047103233218</v>
      </c>
      <c r="R1363" s="106">
        <v>4.6197920751962565E-2</v>
      </c>
      <c r="S1363" s="106">
        <v>12061.668307894304</v>
      </c>
      <c r="T1363" s="106">
        <v>10121.191038897095</v>
      </c>
      <c r="U1363" s="106">
        <v>8771.7856223588042</v>
      </c>
      <c r="V1363" s="106">
        <v>0.28576166663143676</v>
      </c>
      <c r="W1363" s="106">
        <v>67815.937956204376</v>
      </c>
      <c r="X1363" s="110">
        <v>0.60262831134452499</v>
      </c>
      <c r="Y1363" s="106">
        <v>842.28571428571433</v>
      </c>
      <c r="Z1363" s="106">
        <v>28.078341013824886</v>
      </c>
      <c r="AA1363" s="106">
        <v>32352.596729438374</v>
      </c>
      <c r="AB1363" s="106">
        <v>292.41525034486034</v>
      </c>
      <c r="AC1363" s="106">
        <v>3.090941998761036</v>
      </c>
      <c r="AD1363" s="106">
        <v>32.94774631033107</v>
      </c>
      <c r="AE1363" s="106">
        <v>110.63922518159806</v>
      </c>
      <c r="AF1363" s="106">
        <v>0.14638224518212256</v>
      </c>
      <c r="AG1363" s="106">
        <v>1770</v>
      </c>
      <c r="AH1363" s="106">
        <v>11145.299852289512</v>
      </c>
      <c r="AI1363" s="106">
        <v>11145.304775972427</v>
      </c>
      <c r="AJ1363" s="106">
        <v>12064.713441654358</v>
      </c>
      <c r="AK1363" s="104">
        <v>9821.5465288035448</v>
      </c>
      <c r="AL1363" s="118">
        <v>48392205</v>
      </c>
      <c r="AM1363" s="118">
        <v>10953</v>
      </c>
      <c r="AN1363" s="118">
        <v>182776</v>
      </c>
      <c r="AO1363" s="118">
        <v>1194</v>
      </c>
      <c r="AP1363" s="118">
        <f t="shared" si="21"/>
        <v>0</v>
      </c>
    </row>
    <row r="1364" spans="1:42" ht="12.75">
      <c r="A1364" s="106">
        <v>2018</v>
      </c>
      <c r="B1364" s="106">
        <v>-147679</v>
      </c>
      <c r="C1364" s="106">
        <v>0</v>
      </c>
      <c r="D1364" s="106">
        <v>147679</v>
      </c>
      <c r="E1364" s="106" t="s">
        <v>2221</v>
      </c>
      <c r="F1364" s="106" t="s">
        <v>725</v>
      </c>
      <c r="G1364" s="106" t="s">
        <v>243</v>
      </c>
      <c r="H1364" s="106">
        <v>6</v>
      </c>
      <c r="I1364" s="106" t="s">
        <v>3640</v>
      </c>
      <c r="J1364" s="106">
        <v>28620</v>
      </c>
      <c r="K1364" s="106">
        <v>20249</v>
      </c>
      <c r="L1364" s="106">
        <v>17145</v>
      </c>
      <c r="M1364" s="106">
        <v>0.52</v>
      </c>
      <c r="N1364" s="106">
        <v>0.71</v>
      </c>
      <c r="O1364" s="106">
        <v>0.98</v>
      </c>
      <c r="P1364" s="106">
        <v>11962</v>
      </c>
      <c r="Q1364" s="106">
        <v>8695.5418060200664</v>
      </c>
      <c r="R1364" s="106">
        <v>0.32789055429277553</v>
      </c>
      <c r="S1364" s="106">
        <v>23905.47449832776</v>
      </c>
      <c r="T1364" s="106">
        <v>23800.895066889632</v>
      </c>
      <c r="U1364" s="106">
        <v>19811.844481605352</v>
      </c>
      <c r="V1364" s="106">
        <v>0.89966915335518949</v>
      </c>
      <c r="W1364" s="106">
        <v>77509.684055841295</v>
      </c>
      <c r="X1364" s="110">
        <v>0.61764420659470087</v>
      </c>
      <c r="Y1364" s="106">
        <v>304.92284866468839</v>
      </c>
      <c r="Z1364" s="106">
        <v>10.646884272997031</v>
      </c>
      <c r="AA1364" s="106">
        <v>62273.235216819972</v>
      </c>
      <c r="AB1364" s="106">
        <v>691.76323241759849</v>
      </c>
      <c r="AC1364" s="106">
        <v>1.605826317708158</v>
      </c>
      <c r="AD1364" s="106">
        <v>32.674967797337914</v>
      </c>
      <c r="AE1364" s="106">
        <v>90.021024967148492</v>
      </c>
      <c r="AF1364" s="106">
        <v>6.1246398268013744E-2</v>
      </c>
      <c r="AG1364" s="106">
        <v>27990</v>
      </c>
      <c r="AH1364" s="106">
        <v>20773.246237458196</v>
      </c>
      <c r="AI1364" s="106">
        <v>23905.463210702343</v>
      </c>
      <c r="AJ1364" s="106">
        <v>28938.216555183946</v>
      </c>
      <c r="AK1364" s="104">
        <v>19811.844481605352</v>
      </c>
      <c r="AM1364" s="118">
        <v>2029</v>
      </c>
      <c r="AN1364" s="118">
        <v>68506</v>
      </c>
      <c r="AO1364" s="118">
        <v>533</v>
      </c>
      <c r="AP1364" s="118">
        <f t="shared" si="21"/>
        <v>630</v>
      </c>
    </row>
    <row r="1365" spans="1:42" ht="12.75">
      <c r="A1365" s="106">
        <v>2018</v>
      </c>
      <c r="B1365" s="106">
        <v>-236072</v>
      </c>
      <c r="C1365" s="106">
        <v>0</v>
      </c>
      <c r="D1365" s="106">
        <v>236072</v>
      </c>
      <c r="E1365" s="106" t="s">
        <v>2222</v>
      </c>
      <c r="F1365" s="106" t="s">
        <v>181</v>
      </c>
      <c r="G1365" s="106" t="s">
        <v>182</v>
      </c>
      <c r="H1365" s="106">
        <v>4</v>
      </c>
      <c r="I1365" s="106" t="s">
        <v>24</v>
      </c>
      <c r="J1365" s="106">
        <v>4302</v>
      </c>
      <c r="K1365" s="106">
        <v>4988</v>
      </c>
      <c r="L1365" s="106">
        <v>3862</v>
      </c>
      <c r="M1365" s="106">
        <v>0.3</v>
      </c>
      <c r="N1365" s="106">
        <v>0.1</v>
      </c>
      <c r="O1365" s="106">
        <v>0.03</v>
      </c>
      <c r="P1365" s="106">
        <v>2552</v>
      </c>
      <c r="Q1365" s="106">
        <v>593.81363977017236</v>
      </c>
      <c r="R1365" s="106">
        <v>0.11253633940786804</v>
      </c>
      <c r="S1365" s="106">
        <v>14425.225580814389</v>
      </c>
      <c r="T1365" s="106">
        <v>15898.854858855859</v>
      </c>
      <c r="U1365" s="106">
        <v>12242.269547839122</v>
      </c>
      <c r="V1365" s="106">
        <v>0.38251284720248957</v>
      </c>
      <c r="W1365" s="106">
        <v>100728.9483526269</v>
      </c>
      <c r="X1365" s="110">
        <v>0.59246318172102075</v>
      </c>
      <c r="Y1365" s="106">
        <v>1109.6303901437373</v>
      </c>
      <c r="Z1365" s="106">
        <v>24.659137577002056</v>
      </c>
      <c r="AA1365" s="106">
        <v>35588.819898329704</v>
      </c>
      <c r="AB1365" s="106">
        <v>272.05798589907289</v>
      </c>
      <c r="AC1365" s="106">
        <v>2.8098711979121656</v>
      </c>
      <c r="AD1365" s="106">
        <v>36.710210610503871</v>
      </c>
      <c r="AE1365" s="106">
        <v>130.81336238198983</v>
      </c>
      <c r="AF1365" s="106">
        <v>-3.6232747492801115E-2</v>
      </c>
      <c r="AG1365" s="106">
        <v>3707</v>
      </c>
      <c r="AH1365" s="106">
        <v>13466.791906070448</v>
      </c>
      <c r="AI1365" s="106">
        <v>13466.791906070448</v>
      </c>
      <c r="AJ1365" s="106">
        <v>14537.899825131151</v>
      </c>
      <c r="AK1365" s="104">
        <v>13760.708718461154</v>
      </c>
      <c r="AL1365" s="118">
        <v>20208247</v>
      </c>
      <c r="AM1365" s="118">
        <v>6259</v>
      </c>
      <c r="AN1365" s="118">
        <v>180130</v>
      </c>
      <c r="AO1365" s="118">
        <v>717</v>
      </c>
      <c r="AP1365" s="118">
        <f t="shared" si="21"/>
        <v>595</v>
      </c>
    </row>
    <row r="1366" spans="1:42" ht="12.75">
      <c r="A1366" s="106">
        <v>2018</v>
      </c>
      <c r="B1366" s="106">
        <v>-167312</v>
      </c>
      <c r="C1366" s="106">
        <v>0</v>
      </c>
      <c r="D1366" s="106">
        <v>167312</v>
      </c>
      <c r="E1366" s="106" t="s">
        <v>2223</v>
      </c>
      <c r="F1366" s="106" t="s">
        <v>2224</v>
      </c>
      <c r="G1366" s="106" t="s">
        <v>150</v>
      </c>
      <c r="H1366" s="106">
        <v>4</v>
      </c>
      <c r="I1366" s="106" t="s">
        <v>24</v>
      </c>
      <c r="J1366" s="106">
        <v>4944</v>
      </c>
      <c r="K1366" s="106">
        <v>7768</v>
      </c>
      <c r="L1366" s="106">
        <v>6489</v>
      </c>
      <c r="M1366" s="106">
        <v>0.56000000000000005</v>
      </c>
      <c r="N1366" s="106">
        <v>0.24</v>
      </c>
      <c r="O1366" s="106">
        <v>0.23</v>
      </c>
      <c r="P1366" s="106">
        <v>523</v>
      </c>
      <c r="Q1366" s="106">
        <v>201.43207596940121</v>
      </c>
      <c r="R1366" s="106">
        <v>2.9537643961051865E-2</v>
      </c>
      <c r="S1366" s="106">
        <v>16986.347401740964</v>
      </c>
      <c r="T1366" s="106">
        <v>17144.132418886838</v>
      </c>
      <c r="U1366" s="106">
        <v>13433.856766024795</v>
      </c>
      <c r="V1366" s="106">
        <v>0.49264123208582289</v>
      </c>
      <c r="W1366" s="106">
        <v>75726.310810810814</v>
      </c>
      <c r="X1366" s="110">
        <v>0.68976191215459615</v>
      </c>
      <c r="Y1366" s="106">
        <v>445.4373368146214</v>
      </c>
      <c r="Z1366" s="106">
        <v>14.847258485639687</v>
      </c>
      <c r="AA1366" s="106">
        <v>46509.361643835618</v>
      </c>
      <c r="AB1366" s="106">
        <v>447.77553963159977</v>
      </c>
      <c r="AC1366" s="106">
        <v>2.1501047631182457</v>
      </c>
      <c r="AD1366" s="106">
        <v>31.411359724612737</v>
      </c>
      <c r="AE1366" s="106">
        <v>103.86757990867579</v>
      </c>
      <c r="AF1366" s="106">
        <v>1.3275786135999992E-2</v>
      </c>
      <c r="AG1366" s="106">
        <v>600</v>
      </c>
      <c r="AH1366" s="106">
        <v>16535.302031126354</v>
      </c>
      <c r="AI1366" s="106">
        <v>16635.901081508837</v>
      </c>
      <c r="AJ1366" s="106">
        <v>16997.927195990505</v>
      </c>
      <c r="AK1366" s="104">
        <v>14206.579266684252</v>
      </c>
      <c r="AL1366" s="118">
        <v>29166452</v>
      </c>
      <c r="AM1366" s="118">
        <v>6087</v>
      </c>
      <c r="AN1366" s="118">
        <v>113735</v>
      </c>
      <c r="AO1366" s="118">
        <v>919</v>
      </c>
      <c r="AP1366" s="118">
        <f t="shared" si="21"/>
        <v>4344</v>
      </c>
    </row>
    <row r="1367" spans="1:42" ht="12.75">
      <c r="A1367" s="106">
        <v>2018</v>
      </c>
      <c r="B1367" s="106">
        <v>-214379</v>
      </c>
      <c r="C1367" s="106">
        <v>0</v>
      </c>
      <c r="D1367" s="106">
        <v>214379</v>
      </c>
      <c r="E1367" s="106" t="s">
        <v>2227</v>
      </c>
      <c r="F1367" s="106" t="s">
        <v>1788</v>
      </c>
      <c r="G1367" s="106" t="s">
        <v>104</v>
      </c>
      <c r="H1367" s="106">
        <v>4</v>
      </c>
      <c r="I1367" s="106" t="s">
        <v>24</v>
      </c>
      <c r="J1367" s="106">
        <v>4230</v>
      </c>
      <c r="K1367" s="106">
        <v>7981</v>
      </c>
      <c r="L1367" s="106">
        <v>7050</v>
      </c>
      <c r="M1367" s="106">
        <v>0.6</v>
      </c>
      <c r="N1367" s="106">
        <v>0.35</v>
      </c>
      <c r="O1367" s="106">
        <v>0.04</v>
      </c>
      <c r="P1367" s="106">
        <v>1390</v>
      </c>
      <c r="Q1367" s="106">
        <v>277.37085308056874</v>
      </c>
      <c r="R1367" s="106">
        <v>4.5087285945244603E-2</v>
      </c>
      <c r="S1367" s="106">
        <v>13386.506516587679</v>
      </c>
      <c r="T1367" s="106">
        <v>15131.873815165876</v>
      </c>
      <c r="U1367" s="106">
        <v>12388.42298578199</v>
      </c>
      <c r="V1367" s="106">
        <v>0.47419217070210312</v>
      </c>
      <c r="W1367" s="106">
        <v>58760.993318485525</v>
      </c>
      <c r="X1367" s="110">
        <v>0.51646431649898794</v>
      </c>
      <c r="Y1367" s="106">
        <v>520.72493573264785</v>
      </c>
      <c r="Z1367" s="106">
        <v>17.357326478149101</v>
      </c>
      <c r="AA1367" s="106">
        <v>57370.803840877918</v>
      </c>
      <c r="AB1367" s="106">
        <v>412.94335561457729</v>
      </c>
      <c r="AC1367" s="106">
        <v>1.7430468688805065</v>
      </c>
      <c r="AD1367" s="106">
        <v>23.275862068965516</v>
      </c>
      <c r="AE1367" s="107">
        <v>138.93141289437585</v>
      </c>
      <c r="AF1367" s="106">
        <v>1.7337522021322781E-2</v>
      </c>
      <c r="AG1367" s="106">
        <v>3000</v>
      </c>
      <c r="AH1367" s="106">
        <v>12288.169875592417</v>
      </c>
      <c r="AI1367" s="106">
        <v>12288.169875592417</v>
      </c>
      <c r="AJ1367" s="106">
        <v>13468.904028436018</v>
      </c>
      <c r="AK1367" s="104">
        <v>14177.777991706162</v>
      </c>
      <c r="AL1367" s="118">
        <v>22212462</v>
      </c>
      <c r="AM1367" s="118">
        <v>9921</v>
      </c>
      <c r="AN1367" s="118">
        <v>202562</v>
      </c>
      <c r="AO1367" s="118">
        <v>1204</v>
      </c>
      <c r="AP1367" s="118">
        <f t="shared" si="21"/>
        <v>1230</v>
      </c>
    </row>
    <row r="1368" spans="1:42" ht="12.75">
      <c r="A1368" s="106">
        <v>2018</v>
      </c>
      <c r="B1368" s="106">
        <v>-239460</v>
      </c>
      <c r="C1368" s="106">
        <v>0</v>
      </c>
      <c r="D1368" s="106">
        <v>239460</v>
      </c>
      <c r="E1368" s="106" t="s">
        <v>2228</v>
      </c>
      <c r="F1368" s="106" t="s">
        <v>2229</v>
      </c>
      <c r="G1368" s="106" t="s">
        <v>139</v>
      </c>
      <c r="H1368" s="106">
        <v>4</v>
      </c>
      <c r="I1368" s="106" t="s">
        <v>24</v>
      </c>
      <c r="J1368" s="106">
        <v>3497</v>
      </c>
      <c r="K1368" s="106">
        <v>9073</v>
      </c>
      <c r="L1368" s="106">
        <v>8898</v>
      </c>
      <c r="M1368" s="106">
        <v>0.5</v>
      </c>
      <c r="N1368" s="106">
        <v>0.45</v>
      </c>
      <c r="O1368" s="106">
        <v>0.1</v>
      </c>
      <c r="P1368" s="106">
        <v>680</v>
      </c>
      <c r="Q1368" s="106"/>
      <c r="R1368" s="106"/>
      <c r="S1368" s="106">
        <v>21455.361623616238</v>
      </c>
      <c r="T1368" s="106">
        <v>22030.335122442135</v>
      </c>
      <c r="U1368" s="106">
        <v>20421.503857765849</v>
      </c>
      <c r="V1368" s="106">
        <v>0.17890368965510386</v>
      </c>
      <c r="W1368" s="106">
        <v>102340.02888086643</v>
      </c>
      <c r="X1368" s="110">
        <v>0.57554722088930199</v>
      </c>
      <c r="Y1368" s="106">
        <v>634.21985815602841</v>
      </c>
      <c r="Z1368" s="106">
        <v>21.141843971631207</v>
      </c>
      <c r="AA1368" s="106">
        <v>27658.565651976376</v>
      </c>
      <c r="AB1368" s="106">
        <v>680.75485602460162</v>
      </c>
      <c r="AC1368" s="106">
        <v>3.6155164826074193</v>
      </c>
      <c r="AD1368" s="106">
        <v>83.402804092459263</v>
      </c>
      <c r="AE1368" s="107">
        <v>40.629259427532936</v>
      </c>
      <c r="AF1368" s="106">
        <v>-2.5966290641955891E-2</v>
      </c>
      <c r="AG1368" s="106">
        <v>3173</v>
      </c>
      <c r="AH1368" s="106">
        <v>21402.268701777928</v>
      </c>
      <c r="AI1368" s="106">
        <v>21402.268701777928</v>
      </c>
      <c r="AJ1368" s="106">
        <v>21552.889969808788</v>
      </c>
      <c r="AK1368" s="104">
        <v>20971.404562227439</v>
      </c>
      <c r="AL1368" s="118">
        <v>39696608</v>
      </c>
      <c r="AM1368" s="118">
        <v>5167</v>
      </c>
      <c r="AN1368" s="118">
        <v>89425</v>
      </c>
      <c r="AO1368" s="118">
        <v>515</v>
      </c>
      <c r="AP1368" s="118">
        <f t="shared" si="21"/>
        <v>324</v>
      </c>
    </row>
    <row r="1369" spans="1:42" ht="12.75">
      <c r="A1369" s="106">
        <v>2018</v>
      </c>
      <c r="B1369" s="106">
        <v>-101897</v>
      </c>
      <c r="C1369" s="106">
        <v>0</v>
      </c>
      <c r="D1369" s="106">
        <v>101897</v>
      </c>
      <c r="E1369" s="106" t="s">
        <v>2230</v>
      </c>
      <c r="F1369" s="106" t="s">
        <v>2231</v>
      </c>
      <c r="G1369" s="106" t="s">
        <v>85</v>
      </c>
      <c r="H1369" s="106">
        <v>4</v>
      </c>
      <c r="I1369" s="106" t="s">
        <v>24</v>
      </c>
      <c r="J1369" s="106">
        <v>4440</v>
      </c>
      <c r="K1369" s="106">
        <v>3361</v>
      </c>
      <c r="L1369" s="106">
        <v>2795</v>
      </c>
      <c r="M1369" s="106">
        <v>0.7</v>
      </c>
      <c r="N1369" s="106">
        <v>0.12</v>
      </c>
      <c r="O1369" s="106">
        <v>0.31</v>
      </c>
      <c r="P1369" s="106">
        <v>3755</v>
      </c>
      <c r="Q1369" s="106"/>
      <c r="R1369" s="106"/>
      <c r="S1369" s="106">
        <v>13287.660199265863</v>
      </c>
      <c r="T1369" s="106">
        <v>13018.149973780808</v>
      </c>
      <c r="U1369" s="106">
        <v>9934.7745149449402</v>
      </c>
      <c r="V1369" s="106">
        <v>0.51098346503927161</v>
      </c>
      <c r="W1369" s="106">
        <v>68314.517647058834</v>
      </c>
      <c r="X1369" s="110">
        <v>0.54576886160953453</v>
      </c>
      <c r="Y1369" s="106">
        <v>610.86832740213526</v>
      </c>
      <c r="Z1369" s="106">
        <v>20.359430604982208</v>
      </c>
      <c r="AA1369" s="106">
        <v>20027.077167019026</v>
      </c>
      <c r="AB1369" s="106">
        <v>331.11284910342897</v>
      </c>
      <c r="AC1369" s="106">
        <v>4.9932398605165362</v>
      </c>
      <c r="AD1369" s="106">
        <v>54.682080924855491</v>
      </c>
      <c r="AE1369" s="106">
        <v>60.484143763213531</v>
      </c>
      <c r="AF1369" s="106">
        <v>6.9899600150592364E-2</v>
      </c>
      <c r="AG1369" s="106">
        <v>3570</v>
      </c>
      <c r="AH1369" s="106">
        <v>12258.18982695333</v>
      </c>
      <c r="AI1369" s="106">
        <v>12260.616151022548</v>
      </c>
      <c r="AJ1369" s="106">
        <v>13314.091242789722</v>
      </c>
      <c r="AK1369" s="104">
        <v>12093.151022548505</v>
      </c>
      <c r="AL1369" s="118">
        <v>8746284</v>
      </c>
      <c r="AM1369" s="118">
        <v>2736</v>
      </c>
      <c r="AN1369" s="118">
        <v>57218</v>
      </c>
      <c r="AO1369" s="118">
        <v>567</v>
      </c>
      <c r="AP1369" s="118">
        <f t="shared" si="21"/>
        <v>870</v>
      </c>
    </row>
    <row r="1370" spans="1:42" ht="12.75">
      <c r="A1370" s="106">
        <v>2018</v>
      </c>
      <c r="B1370" s="106">
        <v>-182917</v>
      </c>
      <c r="C1370" s="106">
        <v>0</v>
      </c>
      <c r="D1370" s="106">
        <v>182917</v>
      </c>
      <c r="E1370" s="106" t="s">
        <v>2232</v>
      </c>
      <c r="F1370" s="106" t="s">
        <v>932</v>
      </c>
      <c r="G1370" s="106" t="s">
        <v>179</v>
      </c>
      <c r="H1370" s="106">
        <v>7</v>
      </c>
      <c r="I1370" s="106" t="s">
        <v>3641</v>
      </c>
      <c r="J1370" s="106">
        <v>24000</v>
      </c>
      <c r="K1370" s="106">
        <v>12442</v>
      </c>
      <c r="L1370" s="106">
        <v>9078</v>
      </c>
      <c r="M1370" s="106">
        <v>0.6</v>
      </c>
      <c r="N1370" s="106">
        <v>0.53</v>
      </c>
      <c r="O1370" s="106">
        <v>1</v>
      </c>
      <c r="P1370" s="106">
        <v>19829</v>
      </c>
      <c r="Q1370" s="106">
        <v>18572.857142857141</v>
      </c>
      <c r="R1370" s="106">
        <v>0.59749988510501406</v>
      </c>
      <c r="S1370" s="106">
        <v>40024.285714285717</v>
      </c>
      <c r="T1370" s="106">
        <v>30942.857142857141</v>
      </c>
      <c r="U1370" s="106">
        <v>30942.857142857141</v>
      </c>
      <c r="V1370" s="106">
        <v>0.40433979686057248</v>
      </c>
      <c r="W1370" s="106">
        <v>57545.901639344265</v>
      </c>
      <c r="X1370" s="110">
        <v>0.54021237303785785</v>
      </c>
      <c r="Y1370" s="106">
        <v>217.55172413793105</v>
      </c>
      <c r="Z1370" s="106">
        <v>7.2413793103448283</v>
      </c>
      <c r="AA1370" s="106">
        <v>166615.38461538462</v>
      </c>
      <c r="AB1370" s="106">
        <v>1029.9572039942939</v>
      </c>
      <c r="AC1370" s="106">
        <v>0.60018467220683291</v>
      </c>
      <c r="AD1370" s="106">
        <v>18.571428571428573</v>
      </c>
      <c r="AE1370" s="106">
        <v>161.76923076923077</v>
      </c>
      <c r="AF1370" s="106">
        <v>2.2310909724642731</v>
      </c>
      <c r="AG1370" s="106">
        <v>23400</v>
      </c>
      <c r="AH1370" s="106">
        <v>14894.285714285714</v>
      </c>
      <c r="AI1370" s="106">
        <v>40024.285714285717</v>
      </c>
      <c r="AJ1370" s="106">
        <v>40087.142857142855</v>
      </c>
      <c r="AK1370" s="104">
        <v>30942.857142857141</v>
      </c>
      <c r="AL1370" s="118"/>
      <c r="AM1370" s="118">
        <v>71</v>
      </c>
      <c r="AN1370" s="118">
        <v>2103</v>
      </c>
      <c r="AO1370" s="118">
        <v>13</v>
      </c>
      <c r="AP1370" s="118">
        <f t="shared" si="21"/>
        <v>600</v>
      </c>
    </row>
    <row r="1371" spans="1:42" ht="12.75">
      <c r="A1371" s="106">
        <v>2018</v>
      </c>
      <c r="B1371" s="106">
        <v>-181491</v>
      </c>
      <c r="C1371" s="106">
        <v>0</v>
      </c>
      <c r="D1371" s="106">
        <v>181491</v>
      </c>
      <c r="E1371" s="106" t="s">
        <v>2233</v>
      </c>
      <c r="F1371" s="106" t="s">
        <v>2185</v>
      </c>
      <c r="G1371" s="106" t="s">
        <v>323</v>
      </c>
      <c r="H1371" s="106">
        <v>4</v>
      </c>
      <c r="I1371" s="106" t="s">
        <v>24</v>
      </c>
      <c r="J1371" s="106">
        <v>3405</v>
      </c>
      <c r="K1371" s="106">
        <v>8457</v>
      </c>
      <c r="L1371" s="106">
        <v>6537</v>
      </c>
      <c r="M1371" s="106">
        <v>0.46</v>
      </c>
      <c r="N1371" s="106">
        <v>0.45</v>
      </c>
      <c r="O1371" s="106">
        <v>0.4</v>
      </c>
      <c r="P1371" s="107">
        <v>2137</v>
      </c>
      <c r="Q1371" s="107">
        <v>188.33893181054754</v>
      </c>
      <c r="R1371" s="106">
        <v>5.8487971935036659E-2</v>
      </c>
      <c r="S1371" s="106">
        <v>20392.396036278133</v>
      </c>
      <c r="T1371" s="106">
        <v>19508.28048370843</v>
      </c>
      <c r="U1371" s="106">
        <v>16096.600268726907</v>
      </c>
      <c r="V1371" s="106">
        <v>0.1883498392170766</v>
      </c>
      <c r="W1371" s="106">
        <v>87464.909372579394</v>
      </c>
      <c r="X1371" s="110">
        <v>0.64809849399282671</v>
      </c>
      <c r="Y1371" s="106">
        <v>482.37444043321301</v>
      </c>
      <c r="Z1371" s="106">
        <v>16.120938628158846</v>
      </c>
      <c r="AA1371" s="106">
        <v>50282.8740818468</v>
      </c>
      <c r="AB1371" s="106">
        <v>537.94787472799271</v>
      </c>
      <c r="AC1371" s="106">
        <v>1.988748690801311</v>
      </c>
      <c r="AD1371" s="106">
        <v>30.801551389786685</v>
      </c>
      <c r="AE1371" s="106">
        <v>93.471647429171028</v>
      </c>
      <c r="AF1371" s="106">
        <v>7.7828812594877186E-2</v>
      </c>
      <c r="AG1371" s="106">
        <v>2820</v>
      </c>
      <c r="AH1371" s="106">
        <v>19097.863621095061</v>
      </c>
      <c r="AI1371" s="106">
        <v>19305.471951629155</v>
      </c>
      <c r="AJ1371" s="106">
        <v>20514.216996976822</v>
      </c>
      <c r="AK1371" s="104">
        <v>17281.048370843131</v>
      </c>
      <c r="AL1371" s="119">
        <v>37460592</v>
      </c>
      <c r="AM1371" s="118">
        <v>5086</v>
      </c>
      <c r="AN1371" s="118">
        <v>89078.48</v>
      </c>
      <c r="AO1371" s="118">
        <v>752</v>
      </c>
      <c r="AP1371" s="118">
        <f t="shared" si="21"/>
        <v>585</v>
      </c>
    </row>
    <row r="1372" spans="1:42" ht="12.75">
      <c r="A1372" s="106">
        <v>2018</v>
      </c>
      <c r="B1372" s="106">
        <v>-154110</v>
      </c>
      <c r="C1372" s="106">
        <v>0</v>
      </c>
      <c r="D1372" s="106">
        <v>154110</v>
      </c>
      <c r="E1372" s="106" t="s">
        <v>2234</v>
      </c>
      <c r="F1372" s="106" t="s">
        <v>2235</v>
      </c>
      <c r="G1372" s="106" t="s">
        <v>447</v>
      </c>
      <c r="H1372" s="106">
        <v>4</v>
      </c>
      <c r="I1372" s="106" t="s">
        <v>24</v>
      </c>
      <c r="J1372" s="106">
        <v>5180</v>
      </c>
      <c r="K1372" s="106">
        <v>8734</v>
      </c>
      <c r="L1372" s="106">
        <v>7071</v>
      </c>
      <c r="M1372" s="106">
        <v>0.5</v>
      </c>
      <c r="N1372" s="106">
        <v>0.48</v>
      </c>
      <c r="O1372" s="106">
        <v>0.22</v>
      </c>
      <c r="P1372" s="106">
        <v>472</v>
      </c>
      <c r="Q1372" s="106"/>
      <c r="R1372" s="106"/>
      <c r="S1372" s="106">
        <v>21588.770638774749</v>
      </c>
      <c r="T1372" s="106">
        <v>20739.418005229734</v>
      </c>
      <c r="U1372" s="106">
        <v>16366.174075457602</v>
      </c>
      <c r="V1372" s="106">
        <v>0.24921928224271897</v>
      </c>
      <c r="W1372" s="106">
        <v>58983.661224489799</v>
      </c>
      <c r="X1372" s="110">
        <v>0.520574475721307</v>
      </c>
      <c r="Y1372" s="106">
        <v>299.2630173564753</v>
      </c>
      <c r="Z1372" s="106">
        <v>10.722296395193592</v>
      </c>
      <c r="AA1372" s="106">
        <v>59125.840755735495</v>
      </c>
      <c r="AB1372" s="106">
        <v>586.3837464532362</v>
      </c>
      <c r="AC1372" s="106">
        <v>1.6913078735425764</v>
      </c>
      <c r="AD1372" s="106">
        <v>31.788931788931791</v>
      </c>
      <c r="AE1372" s="106">
        <v>100.83130904183535</v>
      </c>
      <c r="AF1372" s="106">
        <v>8.4734921435109384E-2</v>
      </c>
      <c r="AG1372" s="106">
        <v>4564</v>
      </c>
      <c r="AH1372" s="106">
        <v>20960.151288756071</v>
      </c>
      <c r="AI1372" s="106">
        <v>20960.151288756071</v>
      </c>
      <c r="AJ1372" s="106">
        <v>21755.291370937615</v>
      </c>
      <c r="AK1372" s="104">
        <v>17280.846843481508</v>
      </c>
      <c r="AL1372" s="118">
        <v>24476383</v>
      </c>
      <c r="AM1372" s="118">
        <v>4536</v>
      </c>
      <c r="AN1372" s="118">
        <v>74716</v>
      </c>
      <c r="AO1372" s="118">
        <v>439</v>
      </c>
      <c r="AP1372" s="118">
        <f t="shared" si="21"/>
        <v>616</v>
      </c>
    </row>
    <row r="1373" spans="1:42" ht="12.75">
      <c r="A1373" s="106">
        <v>2018</v>
      </c>
      <c r="B1373" s="106">
        <v>-176169</v>
      </c>
      <c r="C1373" s="106">
        <v>0</v>
      </c>
      <c r="D1373" s="106">
        <v>176169</v>
      </c>
      <c r="E1373" s="106" t="s">
        <v>2236</v>
      </c>
      <c r="F1373" s="106" t="s">
        <v>2237</v>
      </c>
      <c r="G1373" s="106" t="s">
        <v>107</v>
      </c>
      <c r="H1373" s="106">
        <v>4</v>
      </c>
      <c r="I1373" s="106" t="s">
        <v>24</v>
      </c>
      <c r="J1373" s="106">
        <v>3232</v>
      </c>
      <c r="K1373" s="106">
        <v>9107</v>
      </c>
      <c r="L1373" s="106">
        <v>10716</v>
      </c>
      <c r="M1373" s="106">
        <v>0.68</v>
      </c>
      <c r="N1373" s="106">
        <v>0.23</v>
      </c>
      <c r="O1373" s="106">
        <v>0.72</v>
      </c>
      <c r="P1373" s="107">
        <v>192</v>
      </c>
      <c r="Q1373" s="107">
        <v>1178.4011996001334</v>
      </c>
      <c r="R1373" s="106">
        <v>0.3372645780838136</v>
      </c>
      <c r="S1373" s="106">
        <v>12157.564811729424</v>
      </c>
      <c r="T1373" s="106">
        <v>13258.228923692102</v>
      </c>
      <c r="U1373" s="106">
        <v>9968.7137620793073</v>
      </c>
      <c r="V1373" s="106">
        <v>0.23228624978314361</v>
      </c>
      <c r="W1373" s="106">
        <v>73033.608974358969</v>
      </c>
      <c r="X1373" s="110">
        <v>0.57269823812212473</v>
      </c>
      <c r="Y1373" s="106">
        <v>701.46233766233763</v>
      </c>
      <c r="Z1373" s="106">
        <v>23.384415584415581</v>
      </c>
      <c r="AA1373" s="106">
        <v>45258.865355521935</v>
      </c>
      <c r="AB1373" s="106">
        <v>332.32368003021514</v>
      </c>
      <c r="AC1373" s="106">
        <v>2.2095118650118613</v>
      </c>
      <c r="AD1373" s="106">
        <v>22.452445652173914</v>
      </c>
      <c r="AE1373" s="106">
        <v>136.18910741301059</v>
      </c>
      <c r="AF1373" s="106">
        <v>-5.3889601602876237E-2</v>
      </c>
      <c r="AG1373" s="106">
        <v>3000</v>
      </c>
      <c r="AH1373" s="106">
        <v>10927.126624458513</v>
      </c>
      <c r="AI1373" s="106">
        <v>10927.126624458513</v>
      </c>
      <c r="AJ1373" s="106">
        <v>12161.685771409529</v>
      </c>
      <c r="AK1373" s="104">
        <v>11460.916361212929</v>
      </c>
      <c r="AL1373" s="118">
        <v>13754917</v>
      </c>
      <c r="AM1373" s="118">
        <v>3501</v>
      </c>
      <c r="AN1373" s="118">
        <v>90021</v>
      </c>
      <c r="AO1373" s="118">
        <v>588</v>
      </c>
      <c r="AP1373" s="118">
        <f t="shared" si="21"/>
        <v>232</v>
      </c>
    </row>
    <row r="1374" spans="1:42" ht="12.75">
      <c r="A1374" s="106">
        <v>2018</v>
      </c>
      <c r="B1374" s="106">
        <v>-221908</v>
      </c>
      <c r="C1374" s="106">
        <v>0</v>
      </c>
      <c r="D1374" s="106">
        <v>221908</v>
      </c>
      <c r="E1374" s="106" t="s">
        <v>2238</v>
      </c>
      <c r="F1374" s="106" t="s">
        <v>2239</v>
      </c>
      <c r="G1374" s="106" t="s">
        <v>255</v>
      </c>
      <c r="H1374" s="106">
        <v>4</v>
      </c>
      <c r="I1374" s="106" t="s">
        <v>24</v>
      </c>
      <c r="J1374" s="106">
        <v>4152</v>
      </c>
      <c r="K1374" s="106">
        <v>6502</v>
      </c>
      <c r="L1374" s="106">
        <v>5735</v>
      </c>
      <c r="M1374" s="106">
        <v>0.6</v>
      </c>
      <c r="N1374" s="106">
        <v>0</v>
      </c>
      <c r="O1374" s="106">
        <v>0.04</v>
      </c>
      <c r="P1374" s="106">
        <v>1512</v>
      </c>
      <c r="Q1374" s="106">
        <v>44.526561731431386</v>
      </c>
      <c r="R1374" s="106">
        <v>9.1012621167511285E-3</v>
      </c>
      <c r="S1374" s="106">
        <v>12384.712001967535</v>
      </c>
      <c r="T1374" s="106">
        <v>11251.208804722086</v>
      </c>
      <c r="U1374" s="106">
        <v>8841.9780690723965</v>
      </c>
      <c r="V1374" s="106">
        <v>0.54827365796949001</v>
      </c>
      <c r="W1374" s="106">
        <v>69869.516908212565</v>
      </c>
      <c r="X1374" s="110">
        <v>0.6322975844646086</v>
      </c>
      <c r="Y1374" s="106">
        <v>640.94395796847641</v>
      </c>
      <c r="Z1374" s="106">
        <v>21.362521891418567</v>
      </c>
      <c r="AA1374" s="106">
        <v>24948.9818382015</v>
      </c>
      <c r="AB1374" s="106">
        <v>294.70119456729782</v>
      </c>
      <c r="AC1374" s="106">
        <v>4.0081795982103579</v>
      </c>
      <c r="AD1374" s="106">
        <v>33.38739573679333</v>
      </c>
      <c r="AE1374" s="106">
        <v>84.658570437196389</v>
      </c>
      <c r="AF1374" s="106">
        <v>0.16423917519219988</v>
      </c>
      <c r="AG1374" s="106">
        <v>3840</v>
      </c>
      <c r="AH1374" s="106">
        <v>12723.625430398426</v>
      </c>
      <c r="AI1374" s="106">
        <v>12803.730201672406</v>
      </c>
      <c r="AJ1374" s="106">
        <v>12402.651008362027</v>
      </c>
      <c r="AK1374" s="104">
        <v>10535.116084604033</v>
      </c>
      <c r="AL1374" s="119">
        <v>18250763</v>
      </c>
      <c r="AM1374" s="118">
        <v>6088</v>
      </c>
      <c r="AN1374" s="118">
        <v>121993</v>
      </c>
      <c r="AO1374" s="118">
        <v>946</v>
      </c>
      <c r="AP1374" s="118">
        <f t="shared" si="21"/>
        <v>312</v>
      </c>
    </row>
    <row r="1375" spans="1:42" ht="12.75">
      <c r="A1375" s="106">
        <v>2018</v>
      </c>
      <c r="B1375" s="106">
        <v>-227225</v>
      </c>
      <c r="C1375" s="106">
        <v>0</v>
      </c>
      <c r="D1375" s="106">
        <v>227225</v>
      </c>
      <c r="E1375" s="106" t="s">
        <v>2240</v>
      </c>
      <c r="F1375" s="106" t="s">
        <v>671</v>
      </c>
      <c r="G1375" s="106" t="s">
        <v>60</v>
      </c>
      <c r="H1375" s="106">
        <v>4</v>
      </c>
      <c r="I1375" s="106" t="s">
        <v>24</v>
      </c>
      <c r="J1375" s="106">
        <v>2729</v>
      </c>
      <c r="K1375" s="106">
        <v>8151</v>
      </c>
      <c r="L1375" s="106">
        <v>7190</v>
      </c>
      <c r="M1375" s="106">
        <v>0.55000000000000004</v>
      </c>
      <c r="N1375" s="106">
        <v>0.17</v>
      </c>
      <c r="O1375" s="106">
        <v>0.28000000000000003</v>
      </c>
      <c r="P1375" s="106">
        <v>3135</v>
      </c>
      <c r="Q1375" s="106">
        <v>752.21008984105049</v>
      </c>
      <c r="R1375" s="106">
        <v>0.13390271051225247</v>
      </c>
      <c r="S1375" s="106">
        <v>17844.261921216308</v>
      </c>
      <c r="T1375" s="106">
        <v>18436.480304077402</v>
      </c>
      <c r="U1375" s="106">
        <v>14033.314590356043</v>
      </c>
      <c r="V1375" s="106">
        <v>0.34670188642891686</v>
      </c>
      <c r="W1375" s="106">
        <v>57800.308965517244</v>
      </c>
      <c r="X1375" s="110">
        <v>0.52360087889508145</v>
      </c>
      <c r="Y1375" s="106">
        <v>331.72382165605097</v>
      </c>
      <c r="Z1375" s="106">
        <v>13.824840764331212</v>
      </c>
      <c r="AA1375" s="106">
        <v>26405.989872880618</v>
      </c>
      <c r="AB1375" s="106">
        <v>584.84898262325112</v>
      </c>
      <c r="AC1375" s="106">
        <v>3.7870195543285288</v>
      </c>
      <c r="AD1375" s="106">
        <v>38.897319170460293</v>
      </c>
      <c r="AE1375" s="107">
        <v>45.150099696575637</v>
      </c>
      <c r="AF1375" s="106">
        <v>-1.5136549586899766E-2</v>
      </c>
      <c r="AG1375" s="106">
        <v>1170</v>
      </c>
      <c r="AH1375" s="106">
        <v>16631.11817553559</v>
      </c>
      <c r="AI1375" s="106">
        <v>16631.11817553559</v>
      </c>
      <c r="AJ1375" s="106">
        <v>17874.238424326191</v>
      </c>
      <c r="AK1375" s="104">
        <v>16088.159640635798</v>
      </c>
      <c r="AL1375" s="119">
        <v>11341849</v>
      </c>
      <c r="AM1375" s="118">
        <v>3110</v>
      </c>
      <c r="AN1375" s="118">
        <v>34720.426666666666</v>
      </c>
      <c r="AO1375" s="118">
        <v>404</v>
      </c>
      <c r="AP1375" s="118">
        <f t="shared" si="21"/>
        <v>1559</v>
      </c>
    </row>
    <row r="1376" spans="1:42" ht="12.75">
      <c r="A1376" s="106">
        <v>2018</v>
      </c>
      <c r="B1376" s="106">
        <v>-239488</v>
      </c>
      <c r="C1376" s="106">
        <v>0</v>
      </c>
      <c r="D1376" s="106">
        <v>239488</v>
      </c>
      <c r="E1376" s="106" t="s">
        <v>2241</v>
      </c>
      <c r="F1376" s="106" t="s">
        <v>2242</v>
      </c>
      <c r="G1376" s="106" t="s">
        <v>139</v>
      </c>
      <c r="H1376" s="106">
        <v>4</v>
      </c>
      <c r="I1376" s="106" t="s">
        <v>24</v>
      </c>
      <c r="J1376" s="106">
        <v>4415</v>
      </c>
      <c r="K1376" s="106">
        <v>9452</v>
      </c>
      <c r="L1376" s="106">
        <v>8499</v>
      </c>
      <c r="M1376" s="106">
        <v>0.47</v>
      </c>
      <c r="N1376" s="106">
        <v>0.42</v>
      </c>
      <c r="O1376" s="106">
        <v>0.17</v>
      </c>
      <c r="P1376" s="106">
        <v>736</v>
      </c>
      <c r="Q1376" s="107"/>
      <c r="R1376" s="106"/>
      <c r="S1376" s="106">
        <v>22042.295906028674</v>
      </c>
      <c r="T1376" s="106">
        <v>23864.526170323028</v>
      </c>
      <c r="U1376" s="106">
        <v>20886.242874416999</v>
      </c>
      <c r="V1376" s="106">
        <v>0.20983057214404774</v>
      </c>
      <c r="W1376" s="106">
        <v>89561.71955003879</v>
      </c>
      <c r="X1376" s="110">
        <v>0.55709301877641182</v>
      </c>
      <c r="Y1376" s="106">
        <v>455.04890829694318</v>
      </c>
      <c r="Z1376" s="106">
        <v>15.16768558951965</v>
      </c>
      <c r="AA1376" s="106">
        <v>38815.5569823435</v>
      </c>
      <c r="AB1376" s="106">
        <v>696.18003535298283</v>
      </c>
      <c r="AC1376" s="106">
        <v>2.5762866173861219</v>
      </c>
      <c r="AD1376" s="106">
        <v>55.259890012417955</v>
      </c>
      <c r="AE1376" s="106">
        <v>55.755056179775281</v>
      </c>
      <c r="AF1376" s="106">
        <v>-0.10644534650563028</v>
      </c>
      <c r="AG1376" s="106">
        <v>3966</v>
      </c>
      <c r="AH1376" s="106">
        <v>21184.4859215754</v>
      </c>
      <c r="AI1376" s="106">
        <v>21184.4859215754</v>
      </c>
      <c r="AJ1376" s="106">
        <v>22145.680082915875</v>
      </c>
      <c r="AK1376" s="104">
        <v>22227.468992917602</v>
      </c>
      <c r="AL1376" s="118">
        <v>74841830</v>
      </c>
      <c r="AM1376" s="118">
        <v>11488</v>
      </c>
      <c r="AN1376" s="118">
        <v>173677</v>
      </c>
      <c r="AO1376" s="118">
        <v>947</v>
      </c>
      <c r="AP1376" s="118">
        <f t="shared" si="21"/>
        <v>449</v>
      </c>
    </row>
    <row r="1377" spans="1:42" ht="12.75">
      <c r="A1377" s="106">
        <v>2018</v>
      </c>
      <c r="B1377" s="106">
        <v>-147776</v>
      </c>
      <c r="C1377" s="106">
        <v>0</v>
      </c>
      <c r="D1377" s="106">
        <v>147776</v>
      </c>
      <c r="E1377" s="106" t="s">
        <v>2243</v>
      </c>
      <c r="F1377" s="106" t="s">
        <v>725</v>
      </c>
      <c r="G1377" s="106" t="s">
        <v>243</v>
      </c>
      <c r="H1377" s="106">
        <v>2</v>
      </c>
      <c r="I1377" s="106" t="s">
        <v>25</v>
      </c>
      <c r="J1377" s="106">
        <v>9638</v>
      </c>
      <c r="K1377" s="106">
        <v>18976</v>
      </c>
      <c r="L1377" s="106">
        <v>18784</v>
      </c>
      <c r="M1377" s="106">
        <v>0.44</v>
      </c>
      <c r="N1377" s="106">
        <v>0.24</v>
      </c>
      <c r="O1377" s="106">
        <v>0.17</v>
      </c>
      <c r="P1377" s="106">
        <v>2815</v>
      </c>
      <c r="Q1377" s="106">
        <v>731.89993646759842</v>
      </c>
      <c r="R1377" s="106">
        <v>5.9511292758951964E-2</v>
      </c>
      <c r="S1377" s="106">
        <v>36225.104510800506</v>
      </c>
      <c r="T1377" s="106">
        <v>31465.842598475221</v>
      </c>
      <c r="U1377" s="106">
        <v>24379.830107040882</v>
      </c>
      <c r="V1377" s="106">
        <v>0.47443337772825961</v>
      </c>
      <c r="W1377" s="106">
        <v>130556.48629504158</v>
      </c>
      <c r="X1377" s="110">
        <v>0.71327237142169431</v>
      </c>
      <c r="Y1377" s="106">
        <v>467.96658097686378</v>
      </c>
      <c r="Z1377" s="106">
        <v>16.18508997429306</v>
      </c>
      <c r="AA1377" s="106">
        <v>76901.508193351401</v>
      </c>
      <c r="AB1377" s="106">
        <v>843.20068970896023</v>
      </c>
      <c r="AC1377" s="106">
        <v>1.3003646137676868</v>
      </c>
      <c r="AD1377" s="106">
        <v>31.956452129362795</v>
      </c>
      <c r="AE1377" s="106">
        <v>91.201903807615224</v>
      </c>
      <c r="AF1377" s="106">
        <v>0.24399871315321819</v>
      </c>
      <c r="AG1377" s="106">
        <v>7957</v>
      </c>
      <c r="AH1377" s="106">
        <v>37097.035260482844</v>
      </c>
      <c r="AI1377" s="106">
        <v>37097.035260482844</v>
      </c>
      <c r="AJ1377" s="106">
        <v>36300.047331639136</v>
      </c>
      <c r="AK1377" s="104">
        <v>29877.433608640407</v>
      </c>
      <c r="AL1377" s="118">
        <v>50545800</v>
      </c>
      <c r="AM1377" s="118">
        <v>7113</v>
      </c>
      <c r="AN1377" s="118">
        <v>182039</v>
      </c>
      <c r="AO1377" s="118">
        <v>1514</v>
      </c>
      <c r="AP1377" s="118">
        <f t="shared" si="21"/>
        <v>1681</v>
      </c>
    </row>
    <row r="1378" spans="1:42" ht="12.75">
      <c r="A1378" s="106">
        <v>2018</v>
      </c>
      <c r="B1378" s="106">
        <v>-127732</v>
      </c>
      <c r="C1378" s="106">
        <v>0</v>
      </c>
      <c r="D1378" s="106">
        <v>127732</v>
      </c>
      <c r="E1378" s="106" t="s">
        <v>2244</v>
      </c>
      <c r="F1378" s="106" t="s">
        <v>2245</v>
      </c>
      <c r="G1378" s="106" t="s">
        <v>66</v>
      </c>
      <c r="H1378" s="106">
        <v>4</v>
      </c>
      <c r="I1378" s="106" t="s">
        <v>24</v>
      </c>
      <c r="J1378" s="106">
        <v>4941</v>
      </c>
      <c r="K1378" s="106">
        <v>11356</v>
      </c>
      <c r="L1378" s="106">
        <v>8794</v>
      </c>
      <c r="M1378" s="106">
        <v>0.43</v>
      </c>
      <c r="N1378" s="106">
        <v>0.49</v>
      </c>
      <c r="O1378" s="106">
        <v>0.53</v>
      </c>
      <c r="P1378" s="106">
        <v>1945</v>
      </c>
      <c r="Q1378" s="106">
        <v>1006.6547826086957</v>
      </c>
      <c r="R1378" s="106">
        <v>0.12765332197708917</v>
      </c>
      <c r="S1378" s="106">
        <v>16271.580869565218</v>
      </c>
      <c r="T1378" s="106">
        <v>19577.787826086955</v>
      </c>
      <c r="U1378" s="106">
        <v>12178.277391304347</v>
      </c>
      <c r="V1378" s="106">
        <v>0.56487413547957344</v>
      </c>
      <c r="W1378" s="106">
        <v>78513.726899383983</v>
      </c>
      <c r="X1378" s="110">
        <v>0.56609828813985108</v>
      </c>
      <c r="Y1378" s="106">
        <v>574.86666666666667</v>
      </c>
      <c r="Z1378" s="106">
        <v>19.166666666666668</v>
      </c>
      <c r="AA1378" s="106">
        <v>20180.142651296828</v>
      </c>
      <c r="AB1378" s="106">
        <v>406.0367331555143</v>
      </c>
      <c r="AC1378" s="106">
        <v>4.9553663583034053</v>
      </c>
      <c r="AD1378" s="106">
        <v>62.24215246636772</v>
      </c>
      <c r="AE1378" s="107">
        <v>49.700288184438037</v>
      </c>
      <c r="AF1378" s="106">
        <v>-7.2631918282554567E-2</v>
      </c>
      <c r="AG1378" s="106">
        <v>4337</v>
      </c>
      <c r="AH1378" s="106">
        <v>16959.701739130436</v>
      </c>
      <c r="AI1378" s="106">
        <v>16999.046086956521</v>
      </c>
      <c r="AJ1378" s="106">
        <v>16401.179130434783</v>
      </c>
      <c r="AK1378" s="104">
        <v>12235.924347826087</v>
      </c>
      <c r="AL1378" s="118"/>
      <c r="AM1378" s="118">
        <v>1547</v>
      </c>
      <c r="AN1378" s="118">
        <v>34492</v>
      </c>
      <c r="AO1378" s="118">
        <v>328</v>
      </c>
      <c r="AP1378" s="118">
        <f t="shared" si="21"/>
        <v>604</v>
      </c>
    </row>
    <row r="1379" spans="1:42" ht="12.75">
      <c r="A1379" s="106">
        <v>2018</v>
      </c>
      <c r="B1379" s="106">
        <v>-207290</v>
      </c>
      <c r="C1379" s="106">
        <v>0</v>
      </c>
      <c r="D1379" s="106">
        <v>207290</v>
      </c>
      <c r="E1379" s="106" t="s">
        <v>2246</v>
      </c>
      <c r="F1379" s="106" t="s">
        <v>292</v>
      </c>
      <c r="G1379" s="106" t="s">
        <v>271</v>
      </c>
      <c r="H1379" s="106">
        <v>4</v>
      </c>
      <c r="I1379" s="106" t="s">
        <v>24</v>
      </c>
      <c r="J1379" s="106">
        <v>4448</v>
      </c>
      <c r="K1379" s="106">
        <v>9194</v>
      </c>
      <c r="L1379" s="106">
        <v>7794</v>
      </c>
      <c r="M1379" s="106">
        <v>0.59</v>
      </c>
      <c r="N1379" s="106">
        <v>0.47</v>
      </c>
      <c r="O1379" s="106">
        <v>0.56999999999999995</v>
      </c>
      <c r="P1379" s="106">
        <v>5904</v>
      </c>
      <c r="Q1379" s="106">
        <v>747.91797556719018</v>
      </c>
      <c r="R1379" s="106">
        <v>0.1373688585028241</v>
      </c>
      <c r="S1379" s="106">
        <v>14379.64281559046</v>
      </c>
      <c r="T1379" s="106">
        <v>14668.925538103549</v>
      </c>
      <c r="U1379" s="106">
        <v>5221.8190808609661</v>
      </c>
      <c r="V1379" s="106">
        <v>0.89943336385442252</v>
      </c>
      <c r="W1379" s="106">
        <v>44155.80912162162</v>
      </c>
      <c r="X1379" s="110">
        <v>0.34555256304131804</v>
      </c>
      <c r="Y1379" s="106">
        <v>736.88571428571424</v>
      </c>
      <c r="Z1379" s="106">
        <v>24.557142857142857</v>
      </c>
      <c r="AA1379" s="106">
        <v>20682.735023041474</v>
      </c>
      <c r="AB1379" s="106">
        <v>174.02014268543292</v>
      </c>
      <c r="AC1379" s="106">
        <v>4.834950498016612</v>
      </c>
      <c r="AD1379" s="106">
        <v>25.54443790464979</v>
      </c>
      <c r="AE1379" s="107">
        <v>118.85253456221199</v>
      </c>
      <c r="AF1379" s="106">
        <v>4.4673625272554147E-2</v>
      </c>
      <c r="AG1379" s="106">
        <v>2715</v>
      </c>
      <c r="AH1379" s="106">
        <v>15017.965095986039</v>
      </c>
      <c r="AI1379" s="106">
        <v>15199.077370564282</v>
      </c>
      <c r="AJ1379" s="106">
        <v>14397.860383944153</v>
      </c>
      <c r="AK1379" s="104">
        <v>6902.2978475858054</v>
      </c>
      <c r="AL1379" s="118">
        <v>6879321</v>
      </c>
      <c r="AM1379" s="118">
        <v>2055</v>
      </c>
      <c r="AN1379" s="118">
        <v>51582</v>
      </c>
      <c r="AO1379" s="118">
        <v>405</v>
      </c>
      <c r="AP1379" s="118">
        <f t="shared" si="21"/>
        <v>1733</v>
      </c>
    </row>
    <row r="1380" spans="1:42" ht="12.75">
      <c r="A1380" s="106">
        <v>2018</v>
      </c>
      <c r="B1380" s="106">
        <v>-207263</v>
      </c>
      <c r="C1380" s="106">
        <v>0</v>
      </c>
      <c r="D1380" s="106">
        <v>207263</v>
      </c>
      <c r="E1380" s="106" t="s">
        <v>2247</v>
      </c>
      <c r="F1380" s="106" t="s">
        <v>2248</v>
      </c>
      <c r="G1380" s="106" t="s">
        <v>271</v>
      </c>
      <c r="H1380" s="106">
        <v>2</v>
      </c>
      <c r="I1380" s="106" t="s">
        <v>25</v>
      </c>
      <c r="J1380" s="106">
        <v>6327</v>
      </c>
      <c r="K1380" s="106">
        <v>9138</v>
      </c>
      <c r="L1380" s="106">
        <v>7254</v>
      </c>
      <c r="M1380" s="106">
        <v>0.53</v>
      </c>
      <c r="N1380" s="106">
        <v>0.44</v>
      </c>
      <c r="O1380" s="106">
        <v>0.55000000000000004</v>
      </c>
      <c r="P1380" s="106">
        <v>4222</v>
      </c>
      <c r="Q1380" s="106">
        <v>1093.1275894538605</v>
      </c>
      <c r="R1380" s="106">
        <v>0.13331124305310257</v>
      </c>
      <c r="S1380" s="106">
        <v>16507.864249843064</v>
      </c>
      <c r="T1380" s="106">
        <v>17055.894067796609</v>
      </c>
      <c r="U1380" s="106">
        <v>12573.724065808656</v>
      </c>
      <c r="V1380" s="106">
        <v>0.5652015119714886</v>
      </c>
      <c r="W1380" s="106">
        <v>65889.518142235131</v>
      </c>
      <c r="X1380" s="110">
        <v>0.55696003457190446</v>
      </c>
      <c r="Y1380" s="106">
        <v>524.61159420289857</v>
      </c>
      <c r="Z1380" s="106">
        <v>18.469565217391306</v>
      </c>
      <c r="AA1380" s="106">
        <v>45626.292566818192</v>
      </c>
      <c r="AB1380" s="106">
        <v>442.67267293585178</v>
      </c>
      <c r="AC1380" s="106">
        <v>2.1917187300185152</v>
      </c>
      <c r="AD1380" s="106">
        <v>27.966236661888839</v>
      </c>
      <c r="AE1380" s="107">
        <v>103.07004555808656</v>
      </c>
      <c r="AF1380" s="106">
        <v>1.7742988450487461E-2</v>
      </c>
      <c r="AG1380" s="106">
        <v>5205</v>
      </c>
      <c r="AH1380" s="106">
        <v>15528.634180790961</v>
      </c>
      <c r="AI1380" s="106">
        <v>15869.94930947897</v>
      </c>
      <c r="AJ1380" s="106">
        <v>16563.1908349027</v>
      </c>
      <c r="AK1380" s="104">
        <v>15329.343220338984</v>
      </c>
      <c r="AL1380" s="119">
        <v>28464829</v>
      </c>
      <c r="AM1380" s="118">
        <v>6828</v>
      </c>
      <c r="AN1380" s="118">
        <v>180991</v>
      </c>
      <c r="AO1380" s="118">
        <v>1428</v>
      </c>
      <c r="AP1380" s="118">
        <f t="shared" si="21"/>
        <v>1122</v>
      </c>
    </row>
    <row r="1381" spans="1:42" ht="12.75">
      <c r="A1381" s="106">
        <v>2018</v>
      </c>
      <c r="B1381" s="106">
        <v>-217837</v>
      </c>
      <c r="C1381" s="106">
        <v>0</v>
      </c>
      <c r="D1381" s="106">
        <v>217837</v>
      </c>
      <c r="E1381" s="106" t="s">
        <v>2249</v>
      </c>
      <c r="F1381" s="106" t="s">
        <v>2250</v>
      </c>
      <c r="G1381" s="106" t="s">
        <v>79</v>
      </c>
      <c r="H1381" s="106">
        <v>4</v>
      </c>
      <c r="I1381" s="106" t="s">
        <v>24</v>
      </c>
      <c r="J1381" s="106">
        <v>4080</v>
      </c>
      <c r="K1381" s="106">
        <v>4038</v>
      </c>
      <c r="L1381" s="106">
        <v>3497</v>
      </c>
      <c r="M1381" s="106">
        <v>0.74</v>
      </c>
      <c r="N1381" s="106">
        <v>0</v>
      </c>
      <c r="O1381" s="106">
        <v>0.11</v>
      </c>
      <c r="P1381" s="107">
        <v>520</v>
      </c>
      <c r="Q1381" s="106">
        <v>78.133235724743784</v>
      </c>
      <c r="R1381" s="106">
        <v>1.2323908289707568E-2</v>
      </c>
      <c r="S1381" s="106">
        <v>15658.543191800878</v>
      </c>
      <c r="T1381" s="106">
        <v>15928.439238653002</v>
      </c>
      <c r="U1381" s="106">
        <v>14663.88140556369</v>
      </c>
      <c r="V1381" s="106">
        <v>0.42702465824985464</v>
      </c>
      <c r="W1381" s="106">
        <v>52616.559374999997</v>
      </c>
      <c r="X1381" s="110">
        <v>0.51589015806787386</v>
      </c>
      <c r="Y1381" s="106">
        <v>480.35156249999994</v>
      </c>
      <c r="Z1381" s="106">
        <v>16.007812499999996</v>
      </c>
      <c r="AA1381" s="106">
        <v>41557.804979253109</v>
      </c>
      <c r="AB1381" s="106">
        <v>488.67679921932177</v>
      </c>
      <c r="AC1381" s="106">
        <v>2.4062868587482655</v>
      </c>
      <c r="AD1381" s="106">
        <v>39.05996758508914</v>
      </c>
      <c r="AE1381" s="106">
        <v>85.041493775933617</v>
      </c>
      <c r="AF1381" s="106">
        <v>0.166009717496366</v>
      </c>
      <c r="AG1381" s="106">
        <v>3936</v>
      </c>
      <c r="AH1381" s="106">
        <v>16661.183016105417</v>
      </c>
      <c r="AI1381" s="106">
        <v>16661.183016105417</v>
      </c>
      <c r="AJ1381" s="106">
        <v>15659.660322108346</v>
      </c>
      <c r="AK1381" s="104">
        <v>15450.821376281112</v>
      </c>
      <c r="AL1381" s="118">
        <v>3930635</v>
      </c>
      <c r="AM1381" s="118">
        <v>1063</v>
      </c>
      <c r="AN1381" s="118">
        <v>20495</v>
      </c>
      <c r="AO1381" s="118">
        <v>127</v>
      </c>
      <c r="AP1381" s="118">
        <f t="shared" si="21"/>
        <v>144</v>
      </c>
    </row>
    <row r="1382" spans="1:42" ht="12.75">
      <c r="A1382" s="106">
        <v>2018</v>
      </c>
      <c r="B1382" s="106">
        <v>3057</v>
      </c>
      <c r="C1382" s="106">
        <v>1</v>
      </c>
      <c r="D1382" s="106">
        <v>167358</v>
      </c>
      <c r="E1382" s="106" t="s">
        <v>3862</v>
      </c>
      <c r="F1382" s="106" t="s">
        <v>425</v>
      </c>
      <c r="G1382" s="106" t="s">
        <v>150</v>
      </c>
      <c r="H1382" s="106">
        <v>5</v>
      </c>
      <c r="I1382" s="106" t="s">
        <v>3639</v>
      </c>
      <c r="J1382" s="106">
        <v>49497</v>
      </c>
      <c r="K1382" s="106">
        <v>34245</v>
      </c>
      <c r="L1382" s="106">
        <v>12168</v>
      </c>
      <c r="M1382" s="106">
        <v>0.13</v>
      </c>
      <c r="N1382" s="106">
        <v>0.43</v>
      </c>
      <c r="O1382" s="106">
        <v>0.72</v>
      </c>
      <c r="P1382" s="106">
        <v>32228</v>
      </c>
      <c r="Q1382" s="106">
        <v>11356.406680499336</v>
      </c>
      <c r="R1382" s="106">
        <v>0.26535689221185188</v>
      </c>
      <c r="S1382" s="106">
        <v>44060.070070410555</v>
      </c>
      <c r="T1382" s="106">
        <v>40981.053777339366</v>
      </c>
      <c r="U1382" s="106">
        <v>28661.786809921436</v>
      </c>
      <c r="V1382" s="106">
        <v>1.0969421169678746</v>
      </c>
      <c r="W1382" s="106">
        <v>132559.95004163196</v>
      </c>
      <c r="X1382" s="110">
        <v>0.52856651964389167</v>
      </c>
      <c r="Y1382" s="106">
        <v>453.81989858366848</v>
      </c>
      <c r="Z1382" s="106">
        <v>15.421752054554993</v>
      </c>
      <c r="AA1382" s="106">
        <v>77483.022567805077</v>
      </c>
      <c r="AB1382" s="106">
        <v>973.98763474808504</v>
      </c>
      <c r="AC1382" s="106">
        <v>1.2906053053427335</v>
      </c>
      <c r="AD1382" s="106">
        <v>40.006621785674874</v>
      </c>
      <c r="AE1382" s="106">
        <v>79.552367816091959</v>
      </c>
      <c r="AF1382" s="106">
        <v>0.10016533243716938</v>
      </c>
      <c r="AG1382" s="106">
        <v>48560</v>
      </c>
      <c r="AH1382" s="106">
        <v>42338.514915473315</v>
      </c>
      <c r="AI1382" s="106">
        <v>44234.463757270656</v>
      </c>
      <c r="AJ1382" s="106">
        <v>46532.50110547978</v>
      </c>
      <c r="AK1382" s="104">
        <v>36470.254090275179</v>
      </c>
      <c r="AL1382" s="118"/>
      <c r="AM1382" s="118">
        <v>17594</v>
      </c>
      <c r="AN1382" s="118">
        <v>865132</v>
      </c>
      <c r="AO1382" s="118">
        <v>4485</v>
      </c>
      <c r="AP1382" s="118">
        <f t="shared" si="21"/>
        <v>937</v>
      </c>
    </row>
    <row r="1383" spans="1:42" ht="12.75">
      <c r="A1383" s="106">
        <v>2018</v>
      </c>
      <c r="B1383" s="106">
        <v>-105330</v>
      </c>
      <c r="C1383" s="106">
        <v>0</v>
      </c>
      <c r="D1383" s="106">
        <v>105330</v>
      </c>
      <c r="E1383" s="106" t="s">
        <v>2251</v>
      </c>
      <c r="F1383" s="106" t="s">
        <v>801</v>
      </c>
      <c r="G1383" s="106" t="s">
        <v>147</v>
      </c>
      <c r="H1383" s="106">
        <v>1</v>
      </c>
      <c r="I1383" s="106" t="s">
        <v>23</v>
      </c>
      <c r="J1383" s="106">
        <v>10289</v>
      </c>
      <c r="K1383" s="106">
        <v>14882</v>
      </c>
      <c r="L1383" s="106">
        <v>10999</v>
      </c>
      <c r="M1383" s="106">
        <v>0.38</v>
      </c>
      <c r="N1383" s="106">
        <v>0.5</v>
      </c>
      <c r="O1383" s="106">
        <v>0.87</v>
      </c>
      <c r="P1383" s="106">
        <v>8551</v>
      </c>
      <c r="Q1383" s="106">
        <v>4203.252345338844</v>
      </c>
      <c r="R1383" s="106">
        <v>0.351257188770214</v>
      </c>
      <c r="S1383" s="106">
        <v>18889.24476809027</v>
      </c>
      <c r="T1383" s="106">
        <v>19184.453257232828</v>
      </c>
      <c r="U1383" s="106">
        <v>12277.825736851733</v>
      </c>
      <c r="V1383" s="106">
        <v>0.63228275391639166</v>
      </c>
      <c r="W1383" s="106">
        <v>100340.72153648663</v>
      </c>
      <c r="X1383" s="110">
        <v>0.57914445556271321</v>
      </c>
      <c r="Y1383" s="106">
        <v>584.52990608007906</v>
      </c>
      <c r="Z1383" s="106">
        <v>22.604547701433514</v>
      </c>
      <c r="AA1383" s="106">
        <v>46147.428851394645</v>
      </c>
      <c r="AB1383" s="106">
        <v>474.79982572616495</v>
      </c>
      <c r="AC1383" s="106">
        <v>2.1669679652581086</v>
      </c>
      <c r="AD1383" s="106">
        <v>30.379414959361771</v>
      </c>
      <c r="AE1383" s="106">
        <v>97.193441006041184</v>
      </c>
      <c r="AF1383" s="106">
        <v>1.8904788196266269E-2</v>
      </c>
      <c r="AG1383" s="106">
        <v>9366</v>
      </c>
      <c r="AH1383" s="106">
        <v>17295.305550088564</v>
      </c>
      <c r="AI1383" s="106">
        <v>17769.633405497607</v>
      </c>
      <c r="AJ1383" s="106">
        <v>19030.225447746507</v>
      </c>
      <c r="AK1383" s="104">
        <v>17301.375647838351</v>
      </c>
      <c r="AL1383" s="119">
        <v>99716300</v>
      </c>
      <c r="AM1383" s="118">
        <v>27084</v>
      </c>
      <c r="AN1383" s="118">
        <v>788336</v>
      </c>
      <c r="AO1383" s="118">
        <v>6042</v>
      </c>
      <c r="AP1383" s="118">
        <f t="shared" si="21"/>
        <v>923</v>
      </c>
    </row>
    <row r="1384" spans="1:42">
      <c r="A1384" s="106">
        <v>2018</v>
      </c>
      <c r="B1384" s="106">
        <v>-167376</v>
      </c>
      <c r="C1384" s="106">
        <v>0</v>
      </c>
      <c r="D1384" s="106">
        <v>167376</v>
      </c>
      <c r="E1384" s="106" t="s">
        <v>2252</v>
      </c>
      <c r="F1384" s="106" t="s">
        <v>2253</v>
      </c>
      <c r="G1384" s="106" t="s">
        <v>150</v>
      </c>
      <c r="H1384" s="106">
        <v>4</v>
      </c>
      <c r="I1384" s="106" t="s">
        <v>24</v>
      </c>
      <c r="J1384" s="107">
        <v>4992</v>
      </c>
      <c r="K1384" s="107">
        <v>8272</v>
      </c>
      <c r="L1384" s="107">
        <v>7065</v>
      </c>
      <c r="M1384" s="107">
        <v>0.56000000000000005</v>
      </c>
      <c r="N1384" s="107">
        <v>0.3</v>
      </c>
      <c r="O1384" s="107">
        <v>0.1</v>
      </c>
      <c r="P1384" s="107">
        <v>577</v>
      </c>
      <c r="Q1384" s="107">
        <v>40.215133531157271</v>
      </c>
      <c r="R1384" s="107">
        <v>5.5057025916350625E-3</v>
      </c>
      <c r="S1384" s="107">
        <v>17900.409792284867</v>
      </c>
      <c r="T1384" s="107">
        <v>18927.320474777447</v>
      </c>
      <c r="U1384" s="107">
        <v>18113.960597054316</v>
      </c>
      <c r="V1384" s="107">
        <v>0.40101964266809742</v>
      </c>
      <c r="W1384" s="107">
        <v>85854.001877346687</v>
      </c>
      <c r="X1384" s="111">
        <v>0.71696346809684464</v>
      </c>
      <c r="Y1384" s="107">
        <v>463.04427480916036</v>
      </c>
      <c r="Z1384" s="107">
        <v>15.435114503816795</v>
      </c>
      <c r="AA1384" s="107">
        <v>68511.837499520814</v>
      </c>
      <c r="AB1384" s="107">
        <v>603.81063138808918</v>
      </c>
      <c r="AC1384" s="107">
        <v>1.4596017805054409</v>
      </c>
      <c r="AD1384" s="107">
        <v>27.731092436974791</v>
      </c>
      <c r="AE1384" s="107">
        <v>113.46576879910214</v>
      </c>
      <c r="AF1384" s="107">
        <v>4.5017174081118737E-2</v>
      </c>
      <c r="AG1384" s="107">
        <v>600</v>
      </c>
      <c r="AH1384" s="107">
        <v>17922.119287833826</v>
      </c>
      <c r="AI1384" s="107">
        <v>17962.334421364983</v>
      </c>
      <c r="AJ1384" s="107">
        <v>17985.861424332343</v>
      </c>
      <c r="AK1384" s="104">
        <v>18927.320474777447</v>
      </c>
      <c r="AL1384" s="119">
        <v>26393065</v>
      </c>
      <c r="AM1384" s="118">
        <v>5726</v>
      </c>
      <c r="AN1384" s="118">
        <v>101098</v>
      </c>
      <c r="AO1384" s="118">
        <v>592</v>
      </c>
      <c r="AP1384" s="118">
        <f t="shared" si="21"/>
        <v>4392</v>
      </c>
    </row>
    <row r="1385" spans="1:42" ht="12.75">
      <c r="A1385" s="106">
        <v>2018</v>
      </c>
      <c r="B1385" s="106">
        <v>-147703</v>
      </c>
      <c r="C1385" s="106">
        <v>0</v>
      </c>
      <c r="D1385" s="106">
        <v>147703</v>
      </c>
      <c r="E1385" s="106" t="s">
        <v>2254</v>
      </c>
      <c r="F1385" s="106" t="s">
        <v>2255</v>
      </c>
      <c r="G1385" s="106" t="s">
        <v>243</v>
      </c>
      <c r="H1385" s="106">
        <v>1</v>
      </c>
      <c r="I1385" s="106" t="s">
        <v>23</v>
      </c>
      <c r="J1385" s="106">
        <v>14299</v>
      </c>
      <c r="K1385" s="106">
        <v>22686</v>
      </c>
      <c r="L1385" s="106">
        <v>20754</v>
      </c>
      <c r="M1385" s="106">
        <v>0.51</v>
      </c>
      <c r="N1385" s="106">
        <v>0.72</v>
      </c>
      <c r="O1385" s="106">
        <v>0.85</v>
      </c>
      <c r="P1385" s="106">
        <v>5198</v>
      </c>
      <c r="Q1385" s="106">
        <v>2586.8431828457019</v>
      </c>
      <c r="R1385" s="106">
        <v>0.22875758418844408</v>
      </c>
      <c r="S1385" s="106">
        <v>40854.165148872955</v>
      </c>
      <c r="T1385" s="106">
        <v>39126.099463928178</v>
      </c>
      <c r="U1385" s="106">
        <v>23965.699532274342</v>
      </c>
      <c r="V1385" s="106">
        <v>0.36391117897334541</v>
      </c>
      <c r="W1385" s="106">
        <v>77354.443627988585</v>
      </c>
      <c r="X1385" s="110">
        <v>0.38809847081543014</v>
      </c>
      <c r="Y1385" s="106">
        <v>454.6210013908206</v>
      </c>
      <c r="Z1385" s="106">
        <v>16.150556328233659</v>
      </c>
      <c r="AA1385" s="106">
        <v>72928.641088483419</v>
      </c>
      <c r="AB1385" s="106">
        <v>851.3891330523453</v>
      </c>
      <c r="AC1385" s="106">
        <v>1.3712033915272221</v>
      </c>
      <c r="AD1385" s="106">
        <v>32.919254658385093</v>
      </c>
      <c r="AE1385" s="106">
        <v>85.658411949685529</v>
      </c>
      <c r="AF1385" s="106">
        <v>0.19869895797902273</v>
      </c>
      <c r="AG1385" s="106">
        <v>9413</v>
      </c>
      <c r="AH1385" s="106">
        <v>41093.558289737128</v>
      </c>
      <c r="AI1385" s="106">
        <v>41093.558289737128</v>
      </c>
      <c r="AJ1385" s="106">
        <v>41026.017696828778</v>
      </c>
      <c r="AK1385" s="104">
        <v>31335.395401407997</v>
      </c>
      <c r="AL1385" s="119">
        <v>124805500</v>
      </c>
      <c r="AM1385" s="118">
        <v>13457</v>
      </c>
      <c r="AN1385" s="118">
        <v>435830</v>
      </c>
      <c r="AO1385" s="118">
        <v>3446</v>
      </c>
      <c r="AP1385" s="118">
        <f t="shared" si="21"/>
        <v>4886</v>
      </c>
    </row>
    <row r="1386" spans="1:42" ht="12.75">
      <c r="A1386" s="106">
        <v>2018</v>
      </c>
      <c r="B1386" s="106">
        <v>-157447</v>
      </c>
      <c r="C1386" s="106">
        <v>0</v>
      </c>
      <c r="D1386" s="106">
        <v>157447</v>
      </c>
      <c r="E1386" s="106" t="s">
        <v>2256</v>
      </c>
      <c r="F1386" s="106" t="s">
        <v>2257</v>
      </c>
      <c r="G1386" s="106" t="s">
        <v>118</v>
      </c>
      <c r="H1386" s="106">
        <v>2</v>
      </c>
      <c r="I1386" s="106" t="s">
        <v>25</v>
      </c>
      <c r="J1386" s="107">
        <v>9744</v>
      </c>
      <c r="K1386" s="106">
        <v>9753</v>
      </c>
      <c r="L1386" s="106">
        <v>5281</v>
      </c>
      <c r="M1386" s="106">
        <v>0.39</v>
      </c>
      <c r="N1386" s="106">
        <v>0.57999999999999996</v>
      </c>
      <c r="O1386" s="106">
        <v>0.82</v>
      </c>
      <c r="P1386" s="106">
        <v>6193</v>
      </c>
      <c r="Q1386" s="107">
        <v>2679.1018998272884</v>
      </c>
      <c r="R1386" s="106">
        <v>0.21148785908080769</v>
      </c>
      <c r="S1386" s="106">
        <v>18834.801381692574</v>
      </c>
      <c r="T1386" s="106">
        <v>22322.193436960275</v>
      </c>
      <c r="U1386" s="106">
        <v>17744.590198988757</v>
      </c>
      <c r="V1386" s="106">
        <v>0.56291938195396329</v>
      </c>
      <c r="W1386" s="106">
        <v>99993.176178660055</v>
      </c>
      <c r="X1386" s="110">
        <v>0.6235768363308587</v>
      </c>
      <c r="Y1386" s="106">
        <v>448.44603321033213</v>
      </c>
      <c r="Z1386" s="106">
        <v>16.023985239852401</v>
      </c>
      <c r="AA1386" s="106">
        <v>69466.651286102031</v>
      </c>
      <c r="AB1386" s="106">
        <v>634.05411215325307</v>
      </c>
      <c r="AC1386" s="106">
        <v>1.4395396661362698</v>
      </c>
      <c r="AD1386" s="106">
        <v>25.528609648744283</v>
      </c>
      <c r="AE1386" s="106">
        <v>109.55949966193374</v>
      </c>
      <c r="AF1386" s="107">
        <v>6.1224102962640026E-2</v>
      </c>
      <c r="AG1386" s="106">
        <v>9360</v>
      </c>
      <c r="AH1386" s="106">
        <v>18699.3091537133</v>
      </c>
      <c r="AI1386" s="106">
        <v>18700.518134715025</v>
      </c>
      <c r="AJ1386" s="106">
        <v>19050.6908462867</v>
      </c>
      <c r="AK1386" s="104">
        <v>21068.307426597581</v>
      </c>
      <c r="AL1386" s="118">
        <v>51105000</v>
      </c>
      <c r="AM1386" s="118">
        <v>12329</v>
      </c>
      <c r="AN1386" s="118">
        <v>324077</v>
      </c>
      <c r="AO1386" s="118">
        <v>2280</v>
      </c>
      <c r="AP1386" s="118">
        <f t="shared" si="21"/>
        <v>384</v>
      </c>
    </row>
    <row r="1387" spans="1:42" ht="12.75">
      <c r="A1387" s="106">
        <v>2018</v>
      </c>
      <c r="B1387" s="106">
        <v>-161484</v>
      </c>
      <c r="C1387" s="106">
        <v>0</v>
      </c>
      <c r="D1387" s="106">
        <v>161484</v>
      </c>
      <c r="E1387" s="106" t="s">
        <v>2258</v>
      </c>
      <c r="F1387" s="106" t="s">
        <v>2259</v>
      </c>
      <c r="G1387" s="106" t="s">
        <v>301</v>
      </c>
      <c r="H1387" s="106">
        <v>4</v>
      </c>
      <c r="I1387" s="106" t="s">
        <v>24</v>
      </c>
      <c r="J1387" s="106">
        <v>3681</v>
      </c>
      <c r="K1387" s="106">
        <v>8975</v>
      </c>
      <c r="L1387" s="106">
        <v>7724</v>
      </c>
      <c r="M1387" s="106">
        <v>0.71</v>
      </c>
      <c r="N1387" s="106">
        <v>0.44</v>
      </c>
      <c r="O1387" s="106">
        <v>0.67</v>
      </c>
      <c r="P1387" s="106">
        <v>1259</v>
      </c>
      <c r="Q1387" s="106">
        <v>136.68092691622104</v>
      </c>
      <c r="R1387" s="106">
        <v>2.5676331818653666E-2</v>
      </c>
      <c r="S1387" s="106">
        <v>24354.916221033869</v>
      </c>
      <c r="T1387" s="106">
        <v>23982.746880570408</v>
      </c>
      <c r="U1387" s="106">
        <v>21194.836928432993</v>
      </c>
      <c r="V1387" s="106">
        <v>0.24470796694772748</v>
      </c>
      <c r="W1387" s="106">
        <v>83173.102941176461</v>
      </c>
      <c r="X1387" s="110">
        <v>0.56049116116673592</v>
      </c>
      <c r="Y1387" s="106">
        <v>371.25</v>
      </c>
      <c r="Z1387" s="106">
        <v>12.375</v>
      </c>
      <c r="AA1387" s="106">
        <v>69533.938695034551</v>
      </c>
      <c r="AB1387" s="106">
        <v>706.49456428109977</v>
      </c>
      <c r="AC1387" s="106">
        <v>1.4381466356822534</v>
      </c>
      <c r="AD1387" s="106">
        <v>30.427046263345197</v>
      </c>
      <c r="AE1387" s="106">
        <v>98.421052631578945</v>
      </c>
      <c r="AF1387" s="106">
        <v>2.4878529692918608E-2</v>
      </c>
      <c r="AG1387" s="106">
        <v>2760</v>
      </c>
      <c r="AH1387" s="106">
        <v>23086.370766488413</v>
      </c>
      <c r="AI1387" s="106">
        <v>25022.798573975044</v>
      </c>
      <c r="AJ1387" s="106">
        <v>24405.696969696968</v>
      </c>
      <c r="AK1387" s="104">
        <v>21596.614973262032</v>
      </c>
      <c r="AL1387" s="119">
        <v>8309903</v>
      </c>
      <c r="AM1387" s="118">
        <v>841</v>
      </c>
      <c r="AN1387" s="118">
        <v>16830</v>
      </c>
      <c r="AO1387" s="118">
        <v>137</v>
      </c>
      <c r="AP1387" s="118">
        <f t="shared" si="21"/>
        <v>921</v>
      </c>
    </row>
    <row r="1388" spans="1:42" ht="12.75">
      <c r="A1388" s="106">
        <v>2018</v>
      </c>
      <c r="B1388" s="106">
        <v>-171456</v>
      </c>
      <c r="C1388" s="106">
        <v>0</v>
      </c>
      <c r="D1388" s="106">
        <v>171456</v>
      </c>
      <c r="E1388" s="106" t="s">
        <v>2260</v>
      </c>
      <c r="F1388" s="106" t="s">
        <v>2261</v>
      </c>
      <c r="G1388" s="106" t="s">
        <v>74</v>
      </c>
      <c r="H1388" s="106">
        <v>2</v>
      </c>
      <c r="I1388" s="106" t="s">
        <v>25</v>
      </c>
      <c r="J1388" s="107">
        <v>10498</v>
      </c>
      <c r="K1388" s="106">
        <v>14243</v>
      </c>
      <c r="L1388" s="106">
        <v>8955</v>
      </c>
      <c r="M1388" s="106">
        <v>0.41</v>
      </c>
      <c r="N1388" s="106">
        <v>0.67</v>
      </c>
      <c r="O1388" s="106">
        <v>0.69</v>
      </c>
      <c r="P1388" s="108">
        <v>4553</v>
      </c>
      <c r="Q1388" s="108">
        <v>3090.9360941456875</v>
      </c>
      <c r="R1388" s="106">
        <v>0.23441127662915803</v>
      </c>
      <c r="S1388" s="106">
        <v>24300.651422612842</v>
      </c>
      <c r="T1388" s="106">
        <v>24440.879189632058</v>
      </c>
      <c r="U1388" s="106">
        <v>14316.625305210242</v>
      </c>
      <c r="V1388" s="106">
        <v>0.70512545846271446</v>
      </c>
      <c r="W1388" s="106">
        <v>96472.205460273006</v>
      </c>
      <c r="X1388" s="110">
        <v>0.55996092365076999</v>
      </c>
      <c r="Y1388" s="106">
        <v>588.82329713721617</v>
      </c>
      <c r="Z1388" s="106">
        <v>19.880552813425467</v>
      </c>
      <c r="AA1388" s="106">
        <v>57070.965364534655</v>
      </c>
      <c r="AB1388" s="106">
        <v>483.37493926285475</v>
      </c>
      <c r="AC1388" s="106">
        <v>1.7522044591546815</v>
      </c>
      <c r="AD1388" s="106">
        <v>24.52308140381535</v>
      </c>
      <c r="AE1388" s="107">
        <v>118.06769596199526</v>
      </c>
      <c r="AF1388" s="107">
        <v>7.9688667500986653E-3</v>
      </c>
      <c r="AG1388" s="106">
        <v>9786</v>
      </c>
      <c r="AH1388" s="106">
        <v>24103.28839565023</v>
      </c>
      <c r="AI1388" s="106">
        <v>24472.388946819603</v>
      </c>
      <c r="AJ1388" s="106">
        <v>24541.740354535974</v>
      </c>
      <c r="AK1388" s="104">
        <v>17851.803068672725</v>
      </c>
      <c r="AL1388" s="118">
        <v>47603952</v>
      </c>
      <c r="AM1388" s="118">
        <v>7018</v>
      </c>
      <c r="AN1388" s="118">
        <v>198826</v>
      </c>
      <c r="AO1388" s="118">
        <v>1421</v>
      </c>
      <c r="AP1388" s="118">
        <f t="shared" si="21"/>
        <v>712</v>
      </c>
    </row>
    <row r="1389" spans="1:42" ht="12.75">
      <c r="A1389" s="106">
        <v>2018</v>
      </c>
      <c r="B1389" s="106">
        <v>-188058</v>
      </c>
      <c r="C1389" s="106">
        <v>0</v>
      </c>
      <c r="D1389" s="106">
        <v>188058</v>
      </c>
      <c r="E1389" s="106" t="s">
        <v>2262</v>
      </c>
      <c r="F1389" s="106" t="s">
        <v>2263</v>
      </c>
      <c r="G1389" s="106" t="s">
        <v>674</v>
      </c>
      <c r="H1389" s="106">
        <v>3</v>
      </c>
      <c r="I1389" s="104" t="s">
        <v>26</v>
      </c>
      <c r="J1389" s="106">
        <v>4765</v>
      </c>
      <c r="K1389" s="106">
        <v>6884</v>
      </c>
      <c r="L1389" s="106">
        <v>7688</v>
      </c>
      <c r="M1389" s="106">
        <v>0.79</v>
      </c>
      <c r="N1389" s="106">
        <v>0.04</v>
      </c>
      <c r="O1389" s="106">
        <v>0.1</v>
      </c>
      <c r="P1389" s="107">
        <v>1705</v>
      </c>
      <c r="Q1389" s="107">
        <v>264.65874125874126</v>
      </c>
      <c r="R1389" s="106">
        <v>2.5812359339208182E-2</v>
      </c>
      <c r="S1389" s="106">
        <v>30992.646153846155</v>
      </c>
      <c r="T1389" s="106">
        <v>35290.132867132867</v>
      </c>
      <c r="U1389" s="106">
        <v>17831.902311640381</v>
      </c>
      <c r="V1389" s="106">
        <v>0.56014888962238951</v>
      </c>
      <c r="W1389" s="106">
        <v>62785.546875</v>
      </c>
      <c r="X1389" s="110">
        <v>0.42466752627420767</v>
      </c>
      <c r="Y1389" s="106">
        <v>361.70224719101128</v>
      </c>
      <c r="Z1389" s="106">
        <v>12.05056179775281</v>
      </c>
      <c r="AA1389" s="106">
        <v>63431.891307576472</v>
      </c>
      <c r="AB1389" s="106">
        <v>594.09208111564567</v>
      </c>
      <c r="AC1389" s="106">
        <v>1.5764940621919583</v>
      </c>
      <c r="AD1389" s="106">
        <v>26.517150395778366</v>
      </c>
      <c r="AE1389" s="106">
        <v>106.77114427860697</v>
      </c>
      <c r="AF1389" s="106">
        <v>-0.17638744348281271</v>
      </c>
      <c r="AG1389" s="106">
        <v>3260</v>
      </c>
      <c r="AH1389" s="106">
        <v>31639.055944055945</v>
      </c>
      <c r="AI1389" s="106">
        <v>31903.713286713286</v>
      </c>
      <c r="AJ1389" s="106">
        <v>30992.646153846155</v>
      </c>
      <c r="AK1389" s="104">
        <v>19873.765034965036</v>
      </c>
      <c r="AL1389" s="119">
        <v>10437600</v>
      </c>
      <c r="AM1389" s="118">
        <v>948</v>
      </c>
      <c r="AN1389" s="118">
        <v>21461</v>
      </c>
      <c r="AO1389" s="118">
        <v>187</v>
      </c>
      <c r="AP1389" s="118">
        <f t="shared" si="21"/>
        <v>1505</v>
      </c>
    </row>
    <row r="1390" spans="1:42" ht="12.75">
      <c r="A1390" s="106">
        <v>2018</v>
      </c>
      <c r="B1390" s="106">
        <v>-207281</v>
      </c>
      <c r="C1390" s="106">
        <v>0</v>
      </c>
      <c r="D1390" s="106">
        <v>207281</v>
      </c>
      <c r="E1390" s="106" t="s">
        <v>2264</v>
      </c>
      <c r="F1390" s="106" t="s">
        <v>2265</v>
      </c>
      <c r="G1390" s="106" t="s">
        <v>271</v>
      </c>
      <c r="H1390" s="106">
        <v>4</v>
      </c>
      <c r="I1390" s="106" t="s">
        <v>24</v>
      </c>
      <c r="J1390" s="106">
        <v>3865</v>
      </c>
      <c r="K1390" s="106">
        <v>6504</v>
      </c>
      <c r="L1390" s="106">
        <v>5646</v>
      </c>
      <c r="M1390" s="106">
        <v>0.31</v>
      </c>
      <c r="N1390" s="106">
        <v>0.24</v>
      </c>
      <c r="O1390" s="106">
        <v>0.15</v>
      </c>
      <c r="P1390" s="106">
        <v>3978</v>
      </c>
      <c r="Q1390" s="106">
        <v>1709.4717267552182</v>
      </c>
      <c r="R1390" s="106">
        <v>0.25975384943282076</v>
      </c>
      <c r="S1390" s="106">
        <v>13239.977988614801</v>
      </c>
      <c r="T1390" s="106">
        <v>14760.034155597723</v>
      </c>
      <c r="U1390" s="106">
        <v>11589.986222288206</v>
      </c>
      <c r="V1390" s="106">
        <v>0.42033269077647384</v>
      </c>
      <c r="W1390" s="106">
        <v>64602.117009750807</v>
      </c>
      <c r="X1390" s="110">
        <v>0.51104508327914577</v>
      </c>
      <c r="Y1390" s="106">
        <v>601.96446700507613</v>
      </c>
      <c r="Z1390" s="106">
        <v>20.063451776649746</v>
      </c>
      <c r="AA1390" s="106">
        <v>37288.90561139123</v>
      </c>
      <c r="AB1390" s="106">
        <v>386.2937804615525</v>
      </c>
      <c r="AC1390" s="106">
        <v>2.6817628021094677</v>
      </c>
      <c r="AD1390" s="106">
        <v>30.491437081161578</v>
      </c>
      <c r="AE1390" s="106">
        <v>96.529914529914535</v>
      </c>
      <c r="AF1390" s="106">
        <v>7.9113075371620573E-2</v>
      </c>
      <c r="AG1390" s="106">
        <v>2640</v>
      </c>
      <c r="AH1390" s="106">
        <v>11691.877039848197</v>
      </c>
      <c r="AI1390" s="106">
        <v>11691.877039848197</v>
      </c>
      <c r="AJ1390" s="106">
        <v>13319.748007590133</v>
      </c>
      <c r="AK1390" s="104">
        <v>13385.76394686907</v>
      </c>
      <c r="AL1390" s="119">
        <v>8844048</v>
      </c>
      <c r="AM1390" s="118">
        <v>4276</v>
      </c>
      <c r="AN1390" s="118">
        <v>79058</v>
      </c>
      <c r="AO1390" s="118">
        <v>819</v>
      </c>
      <c r="AP1390" s="118">
        <f t="shared" si="21"/>
        <v>1225</v>
      </c>
    </row>
    <row r="1391" spans="1:42" ht="12.75">
      <c r="A1391" s="106">
        <v>2018</v>
      </c>
      <c r="B1391" s="106">
        <v>-219259</v>
      </c>
      <c r="C1391" s="106">
        <v>0</v>
      </c>
      <c r="D1391" s="106">
        <v>219259</v>
      </c>
      <c r="E1391" s="106" t="s">
        <v>2266</v>
      </c>
      <c r="F1391" s="106" t="s">
        <v>1381</v>
      </c>
      <c r="G1391" s="106" t="s">
        <v>246</v>
      </c>
      <c r="H1391" s="106">
        <v>2</v>
      </c>
      <c r="I1391" s="106" t="s">
        <v>25</v>
      </c>
      <c r="J1391" s="106">
        <v>8280</v>
      </c>
      <c r="K1391" s="106">
        <v>15668</v>
      </c>
      <c r="L1391" s="106">
        <v>12891</v>
      </c>
      <c r="M1391" s="106">
        <v>0.34</v>
      </c>
      <c r="N1391" s="106">
        <v>0.71</v>
      </c>
      <c r="O1391" s="106">
        <v>0.75</v>
      </c>
      <c r="P1391" s="106">
        <v>3006</v>
      </c>
      <c r="Q1391" s="106">
        <v>1527.0573566084788</v>
      </c>
      <c r="R1391" s="106">
        <v>0.21283419939549314</v>
      </c>
      <c r="S1391" s="106">
        <v>21657.182543640898</v>
      </c>
      <c r="T1391" s="106">
        <v>22007.727182044888</v>
      </c>
      <c r="U1391" s="106">
        <v>16864.552503699037</v>
      </c>
      <c r="V1391" s="106">
        <v>0.3348924302218988</v>
      </c>
      <c r="W1391" s="106">
        <v>87614.67437722419</v>
      </c>
      <c r="X1391" s="110">
        <v>0.74393045308298311</v>
      </c>
      <c r="Y1391" s="106">
        <v>541.43597560975616</v>
      </c>
      <c r="Z1391" s="106">
        <v>18.338414634146343</v>
      </c>
      <c r="AA1391" s="106">
        <v>85387.44386342568</v>
      </c>
      <c r="AB1391" s="106">
        <v>571.20171241644971</v>
      </c>
      <c r="AC1391" s="106">
        <v>1.1711323758554784</v>
      </c>
      <c r="AD1391" s="106">
        <v>17.498895271763146</v>
      </c>
      <c r="AE1391" s="106">
        <v>149.48737373737373</v>
      </c>
      <c r="AF1391" s="106">
        <v>0.43488003640421835</v>
      </c>
      <c r="AG1391" s="106">
        <v>7191</v>
      </c>
      <c r="AH1391" s="106">
        <v>19679.152618453867</v>
      </c>
      <c r="AI1391" s="106">
        <v>21200.880299251869</v>
      </c>
      <c r="AJ1391" s="106">
        <v>21690.23740648379</v>
      </c>
      <c r="AK1391" s="104">
        <v>18398.53366583541</v>
      </c>
      <c r="AL1391" s="118">
        <v>15111096</v>
      </c>
      <c r="AM1391" s="118">
        <v>3162</v>
      </c>
      <c r="AN1391" s="118">
        <v>59197</v>
      </c>
      <c r="AO1391" s="118">
        <v>328</v>
      </c>
      <c r="AP1391" s="118">
        <f t="shared" si="21"/>
        <v>1089</v>
      </c>
    </row>
    <row r="1392" spans="1:42" ht="12.75">
      <c r="A1392" s="106">
        <v>2018</v>
      </c>
      <c r="B1392" s="106">
        <v>-232946</v>
      </c>
      <c r="C1392" s="106">
        <v>0</v>
      </c>
      <c r="D1392" s="106">
        <v>232946</v>
      </c>
      <c r="E1392" s="106" t="s">
        <v>2267</v>
      </c>
      <c r="F1392" s="106" t="s">
        <v>2268</v>
      </c>
      <c r="G1392" s="106" t="s">
        <v>261</v>
      </c>
      <c r="H1392" s="106">
        <v>4</v>
      </c>
      <c r="I1392" s="106" t="s">
        <v>24</v>
      </c>
      <c r="J1392" s="106">
        <v>5498</v>
      </c>
      <c r="K1392" s="106">
        <v>9124</v>
      </c>
      <c r="L1392" s="106">
        <v>8258</v>
      </c>
      <c r="M1392" s="106">
        <v>0.41</v>
      </c>
      <c r="N1392" s="106">
        <v>0.19</v>
      </c>
      <c r="O1392" s="106">
        <v>0.14000000000000001</v>
      </c>
      <c r="P1392" s="107">
        <v>1203</v>
      </c>
      <c r="Q1392" s="106">
        <v>186.89163563538506</v>
      </c>
      <c r="R1392" s="106">
        <v>3.2118545579000103E-2</v>
      </c>
      <c r="S1392" s="106">
        <v>10076.088994586476</v>
      </c>
      <c r="T1392" s="106">
        <v>10281.681572112526</v>
      </c>
      <c r="U1392" s="106">
        <v>8977.4180665324839</v>
      </c>
      <c r="V1392" s="106">
        <v>0.62734250276933901</v>
      </c>
      <c r="W1392" s="106">
        <v>82546.421190130626</v>
      </c>
      <c r="X1392" s="110">
        <v>0.57698704774018605</v>
      </c>
      <c r="Y1392" s="106">
        <v>829.8115983843046</v>
      </c>
      <c r="Z1392" s="106">
        <v>27.660415464512404</v>
      </c>
      <c r="AA1392" s="106">
        <v>40961.072123383579</v>
      </c>
      <c r="AB1392" s="106">
        <v>299.24758102007866</v>
      </c>
      <c r="AC1392" s="106">
        <v>2.44134234813919</v>
      </c>
      <c r="AD1392" s="106">
        <v>24.441652707984364</v>
      </c>
      <c r="AE1392" s="106">
        <v>136.88021130782411</v>
      </c>
      <c r="AF1392" s="106">
        <v>1.2446601655649365E-2</v>
      </c>
      <c r="AG1392" s="106">
        <v>5045</v>
      </c>
      <c r="AH1392" s="106">
        <v>9816.2927996995968</v>
      </c>
      <c r="AI1392" s="106">
        <v>9898.3459648903208</v>
      </c>
      <c r="AJ1392" s="106">
        <v>10082.290358919798</v>
      </c>
      <c r="AK1392" s="104">
        <v>9667.0284444722602</v>
      </c>
      <c r="AL1392" s="118">
        <v>106248237</v>
      </c>
      <c r="AM1392" s="118">
        <v>51190</v>
      </c>
      <c r="AN1392" s="118">
        <v>958709</v>
      </c>
      <c r="AO1392" s="118">
        <v>5429</v>
      </c>
      <c r="AP1392" s="118">
        <f t="shared" si="21"/>
        <v>453</v>
      </c>
    </row>
    <row r="1393" spans="1:42" ht="12.75">
      <c r="A1393" s="106">
        <v>2018</v>
      </c>
      <c r="B1393" s="106">
        <v>-239512</v>
      </c>
      <c r="C1393" s="106">
        <v>0</v>
      </c>
      <c r="D1393" s="106">
        <v>239512</v>
      </c>
      <c r="E1393" s="106" t="s">
        <v>2269</v>
      </c>
      <c r="F1393" s="106" t="s">
        <v>220</v>
      </c>
      <c r="G1393" s="106" t="s">
        <v>139</v>
      </c>
      <c r="H1393" s="106">
        <v>7</v>
      </c>
      <c r="I1393" s="106" t="s">
        <v>3641</v>
      </c>
      <c r="J1393" s="106">
        <v>35157</v>
      </c>
      <c r="K1393" s="106">
        <v>19826</v>
      </c>
      <c r="L1393" s="106">
        <v>14150</v>
      </c>
      <c r="M1393" s="106">
        <v>0.5</v>
      </c>
      <c r="N1393" s="106">
        <v>0.82</v>
      </c>
      <c r="O1393" s="106">
        <v>0.99</v>
      </c>
      <c r="P1393" s="106">
        <v>23464</v>
      </c>
      <c r="Q1393" s="106">
        <v>20964.300165837478</v>
      </c>
      <c r="R1393" s="106">
        <v>0.66617712218035441</v>
      </c>
      <c r="S1393" s="106">
        <v>25231.454394693199</v>
      </c>
      <c r="T1393" s="106">
        <v>33745.353233830843</v>
      </c>
      <c r="U1393" s="106">
        <v>25092.904522236109</v>
      </c>
      <c r="V1393" s="106">
        <v>0.41865455221249548</v>
      </c>
      <c r="W1393" s="106">
        <v>70965.513853904282</v>
      </c>
      <c r="X1393" s="110">
        <v>0.46151446046401179</v>
      </c>
      <c r="Y1393" s="106">
        <v>325.00598802395211</v>
      </c>
      <c r="Z1393" s="106">
        <v>10.832335329341317</v>
      </c>
      <c r="AA1393" s="106">
        <v>128228.99514329131</v>
      </c>
      <c r="AB1393" s="106">
        <v>836.3376866520216</v>
      </c>
      <c r="AC1393" s="106">
        <v>0.77985482057512479</v>
      </c>
      <c r="AD1393" s="106">
        <v>19.344262295081968</v>
      </c>
      <c r="AE1393" s="106">
        <v>153.32203389830508</v>
      </c>
      <c r="AF1393" s="106">
        <v>-6.398013122274511E-2</v>
      </c>
      <c r="AG1393" s="106">
        <v>33640</v>
      </c>
      <c r="AH1393" s="106">
        <v>19937.791044776121</v>
      </c>
      <c r="AI1393" s="106">
        <v>23576.190713101161</v>
      </c>
      <c r="AJ1393" s="106">
        <v>27811.291873963517</v>
      </c>
      <c r="AK1393" s="104">
        <v>28424.369817578772</v>
      </c>
      <c r="AL1393" s="118"/>
      <c r="AM1393" s="118">
        <v>635</v>
      </c>
      <c r="AN1393" s="118">
        <v>18092</v>
      </c>
      <c r="AO1393" s="118">
        <v>118</v>
      </c>
      <c r="AP1393" s="118">
        <f t="shared" si="21"/>
        <v>1517</v>
      </c>
    </row>
    <row r="1394" spans="1:42" ht="12.75">
      <c r="A1394" s="106">
        <v>2018</v>
      </c>
      <c r="B1394" s="106">
        <v>-174473</v>
      </c>
      <c r="C1394" s="106">
        <v>0</v>
      </c>
      <c r="D1394" s="106">
        <v>174473</v>
      </c>
      <c r="E1394" s="106" t="s">
        <v>2270</v>
      </c>
      <c r="F1394" s="106" t="s">
        <v>2271</v>
      </c>
      <c r="G1394" s="106" t="s">
        <v>113</v>
      </c>
      <c r="H1394" s="106">
        <v>4</v>
      </c>
      <c r="I1394" s="106" t="s">
        <v>24</v>
      </c>
      <c r="J1394" s="106">
        <v>5549</v>
      </c>
      <c r="K1394" s="106">
        <v>10406</v>
      </c>
      <c r="L1394" s="106">
        <v>9176</v>
      </c>
      <c r="M1394" s="106">
        <v>0.51</v>
      </c>
      <c r="N1394" s="106">
        <v>0.56000000000000005</v>
      </c>
      <c r="O1394" s="106">
        <v>0.01</v>
      </c>
      <c r="P1394" s="106">
        <v>1544</v>
      </c>
      <c r="Q1394" s="107">
        <v>64.731080437886718</v>
      </c>
      <c r="R1394" s="106">
        <v>1.126387278449561E-2</v>
      </c>
      <c r="S1394" s="106">
        <v>14863.398381722989</v>
      </c>
      <c r="T1394" s="106">
        <v>16891.00428367444</v>
      </c>
      <c r="U1394" s="106">
        <v>13848.323703459335</v>
      </c>
      <c r="V1394" s="106">
        <v>0.41030642303025955</v>
      </c>
      <c r="W1394" s="106">
        <v>120340.67796610171</v>
      </c>
      <c r="X1394" s="110">
        <v>0.66690148782687109</v>
      </c>
      <c r="Y1394" s="106">
        <v>628.2757475083057</v>
      </c>
      <c r="Z1394" s="106">
        <v>20.940199335548172</v>
      </c>
      <c r="AA1394" s="106">
        <v>30530.249843618116</v>
      </c>
      <c r="AB1394" s="106">
        <v>461.55953013258977</v>
      </c>
      <c r="AC1394" s="106">
        <v>3.2754399493033786</v>
      </c>
      <c r="AD1394" s="106">
        <v>47.793380140421263</v>
      </c>
      <c r="AE1394" s="106">
        <v>66.145855194123826</v>
      </c>
      <c r="AF1394" s="106">
        <v>-0.10853840560296989</v>
      </c>
      <c r="AG1394" s="106">
        <v>4950</v>
      </c>
      <c r="AH1394" s="106">
        <v>14889.100428367445</v>
      </c>
      <c r="AI1394" s="106">
        <v>15014.754878629225</v>
      </c>
      <c r="AJ1394" s="106">
        <v>14971.9181342218</v>
      </c>
      <c r="AK1394" s="104">
        <v>14643.979057591623</v>
      </c>
      <c r="AL1394" s="119">
        <v>14136000</v>
      </c>
      <c r="AM1394" s="118">
        <v>3416</v>
      </c>
      <c r="AN1394" s="118">
        <v>63037</v>
      </c>
      <c r="AO1394" s="118">
        <v>499</v>
      </c>
      <c r="AP1394" s="118">
        <f t="shared" si="21"/>
        <v>599</v>
      </c>
    </row>
    <row r="1395" spans="1:42" ht="12.75">
      <c r="A1395" s="106">
        <v>2018</v>
      </c>
      <c r="B1395" s="106">
        <v>-105349</v>
      </c>
      <c r="C1395" s="106">
        <v>0</v>
      </c>
      <c r="D1395" s="106">
        <v>105349</v>
      </c>
      <c r="E1395" s="106" t="s">
        <v>2272</v>
      </c>
      <c r="F1395" s="106" t="s">
        <v>2273</v>
      </c>
      <c r="G1395" s="106" t="s">
        <v>147</v>
      </c>
      <c r="H1395" s="106">
        <v>4</v>
      </c>
      <c r="I1395" s="106" t="s">
        <v>24</v>
      </c>
      <c r="J1395" s="106">
        <v>1808</v>
      </c>
      <c r="K1395" s="106">
        <v>8649</v>
      </c>
      <c r="L1395" s="106">
        <v>8139</v>
      </c>
      <c r="M1395" s="106">
        <v>0.56000000000000005</v>
      </c>
      <c r="N1395" s="106">
        <v>0</v>
      </c>
      <c r="O1395" s="106">
        <v>0.28999999999999998</v>
      </c>
      <c r="P1395" s="106">
        <v>2146</v>
      </c>
      <c r="Q1395" s="106">
        <v>1189.3441295546559</v>
      </c>
      <c r="R1395" s="106">
        <v>0.41673442091397306</v>
      </c>
      <c r="S1395" s="106">
        <v>19325.473684210527</v>
      </c>
      <c r="T1395" s="106">
        <v>15780.393869288606</v>
      </c>
      <c r="U1395" s="106">
        <v>14373.79707166669</v>
      </c>
      <c r="V1395" s="106">
        <v>0.1158091831818497</v>
      </c>
      <c r="W1395" s="106">
        <v>56901.302083333336</v>
      </c>
      <c r="X1395" s="110">
        <v>0.60062286367534212</v>
      </c>
      <c r="Y1395" s="106">
        <v>505.15909090909088</v>
      </c>
      <c r="Z1395" s="106">
        <v>16.84090909090909</v>
      </c>
      <c r="AA1395" s="106">
        <v>32529.182116376578</v>
      </c>
      <c r="AB1395" s="106">
        <v>479.1912372387194</v>
      </c>
      <c r="AC1395" s="106">
        <v>3.0741627515330534</v>
      </c>
      <c r="AD1395" s="106">
        <v>53.689388615600841</v>
      </c>
      <c r="AE1395" s="106">
        <v>67.883507853403145</v>
      </c>
      <c r="AF1395" s="106">
        <v>9.1223182323100852E-2</v>
      </c>
      <c r="AG1395" s="106">
        <v>1728</v>
      </c>
      <c r="AH1395" s="106">
        <v>18166.503759398496</v>
      </c>
      <c r="AI1395" s="106">
        <v>18355.330827067668</v>
      </c>
      <c r="AJ1395" s="106">
        <v>19643.368999421629</v>
      </c>
      <c r="AK1395" s="104">
        <v>15563.17929438982</v>
      </c>
      <c r="AL1395" s="119">
        <v>23569823</v>
      </c>
      <c r="AM1395" s="118">
        <v>3021</v>
      </c>
      <c r="AN1395" s="118">
        <v>51863</v>
      </c>
      <c r="AO1395" s="118">
        <v>197</v>
      </c>
      <c r="AP1395" s="118">
        <f t="shared" si="21"/>
        <v>80</v>
      </c>
    </row>
    <row r="1396" spans="1:42" ht="12.75">
      <c r="A1396" s="106">
        <v>2018</v>
      </c>
      <c r="B1396" s="106">
        <v>-367459</v>
      </c>
      <c r="C1396" s="106">
        <v>0</v>
      </c>
      <c r="D1396" s="106">
        <v>367459</v>
      </c>
      <c r="E1396" s="106" t="s">
        <v>2225</v>
      </c>
      <c r="F1396" s="106" t="s">
        <v>2226</v>
      </c>
      <c r="G1396" s="106" t="s">
        <v>200</v>
      </c>
      <c r="H1396" s="106">
        <v>4</v>
      </c>
      <c r="I1396" s="106" t="s">
        <v>24</v>
      </c>
      <c r="J1396" s="107">
        <v>3238</v>
      </c>
      <c r="K1396" s="106">
        <v>7146</v>
      </c>
      <c r="L1396" s="106">
        <v>5737</v>
      </c>
      <c r="M1396" s="106">
        <v>0.46</v>
      </c>
      <c r="N1396" s="106">
        <v>0.13</v>
      </c>
      <c r="O1396" s="106">
        <v>0.04</v>
      </c>
      <c r="P1396" s="107">
        <v>1222</v>
      </c>
      <c r="Q1396" s="106">
        <v>41.40476671379519</v>
      </c>
      <c r="R1396" s="106">
        <v>9.2088675561391876E-3</v>
      </c>
      <c r="S1396" s="106">
        <v>10457.806099777823</v>
      </c>
      <c r="T1396" s="106">
        <v>10235.800848313473</v>
      </c>
      <c r="U1396" s="106">
        <v>9565.2700464552618</v>
      </c>
      <c r="V1396" s="106">
        <v>0.46572439866740017</v>
      </c>
      <c r="W1396" s="106">
        <v>63826.222495390284</v>
      </c>
      <c r="X1396" s="110">
        <v>0.68304715410897743</v>
      </c>
      <c r="Y1396" s="106">
        <v>569.11111111111109</v>
      </c>
      <c r="Z1396" s="106">
        <v>18.969348659003831</v>
      </c>
      <c r="AA1396" s="106">
        <v>34517.239067055394</v>
      </c>
      <c r="AB1396" s="106">
        <v>318.82516258465847</v>
      </c>
      <c r="AC1396" s="106">
        <v>2.8971030911752127</v>
      </c>
      <c r="AD1396" s="106">
        <v>32.312764955252007</v>
      </c>
      <c r="AE1396" s="107">
        <v>108.26384839650146</v>
      </c>
      <c r="AF1396" s="107">
        <v>3.9709497572086076E-2</v>
      </c>
      <c r="AG1396" s="106">
        <v>2250</v>
      </c>
      <c r="AH1396" s="106">
        <v>9861.1854170874576</v>
      </c>
      <c r="AI1396" s="106">
        <v>10122.965461522925</v>
      </c>
      <c r="AJ1396" s="106">
        <v>10468.454857604524</v>
      </c>
      <c r="AK1396" s="104">
        <v>10154.490405978589</v>
      </c>
      <c r="AL1396" s="119">
        <v>21792819</v>
      </c>
      <c r="AM1396" s="118">
        <v>7715</v>
      </c>
      <c r="AN1396" s="118">
        <v>148538</v>
      </c>
      <c r="AO1396" s="118">
        <v>948</v>
      </c>
      <c r="AP1396" s="118">
        <f t="shared" si="21"/>
        <v>988</v>
      </c>
    </row>
    <row r="1397" spans="1:42" ht="12.75">
      <c r="A1397" s="106">
        <v>2018</v>
      </c>
      <c r="B1397" s="106">
        <v>-209409</v>
      </c>
      <c r="C1397" s="106">
        <v>0</v>
      </c>
      <c r="D1397" s="106">
        <v>209409</v>
      </c>
      <c r="E1397" s="106" t="s">
        <v>2274</v>
      </c>
      <c r="F1397" s="106" t="s">
        <v>1751</v>
      </c>
      <c r="G1397" s="106" t="s">
        <v>405</v>
      </c>
      <c r="H1397" s="106">
        <v>6</v>
      </c>
      <c r="I1397" s="106" t="s">
        <v>3640</v>
      </c>
      <c r="J1397" s="106">
        <v>28680</v>
      </c>
      <c r="K1397" s="106">
        <v>21808</v>
      </c>
      <c r="L1397" s="106">
        <v>16993</v>
      </c>
      <c r="M1397" s="106">
        <v>0.39</v>
      </c>
      <c r="N1397" s="106">
        <v>0.77</v>
      </c>
      <c r="O1397" s="106">
        <v>1</v>
      </c>
      <c r="P1397" s="106">
        <v>15161</v>
      </c>
      <c r="Q1397" s="107">
        <v>6994.5965608465613</v>
      </c>
      <c r="R1397" s="106">
        <v>0.39278562726154342</v>
      </c>
      <c r="S1397" s="106">
        <v>19065.824074074073</v>
      </c>
      <c r="T1397" s="106">
        <v>19106.988095238095</v>
      </c>
      <c r="U1397" s="106">
        <v>17914.416666666668</v>
      </c>
      <c r="V1397" s="106">
        <v>0.60359614005420692</v>
      </c>
      <c r="W1397" s="106">
        <v>66853.170542635664</v>
      </c>
      <c r="X1397" s="110">
        <v>0.59703211164811787</v>
      </c>
      <c r="Y1397" s="106">
        <v>510.04724409448824</v>
      </c>
      <c r="Z1397" s="106">
        <v>17.858267716535433</v>
      </c>
      <c r="AA1397" s="106">
        <v>51300.375</v>
      </c>
      <c r="AB1397" s="106">
        <v>627.2368932938125</v>
      </c>
      <c r="AC1397" s="106">
        <v>1.949303489496909</v>
      </c>
      <c r="AD1397" s="106">
        <v>41.25</v>
      </c>
      <c r="AE1397" s="106">
        <v>81.787878787878782</v>
      </c>
      <c r="AF1397" s="106">
        <v>7.5843760717223693E-2</v>
      </c>
      <c r="AG1397" s="106">
        <v>28500</v>
      </c>
      <c r="AH1397" s="106">
        <v>15326.324074074075</v>
      </c>
      <c r="AI1397" s="106">
        <v>18133.190476190477</v>
      </c>
      <c r="AJ1397" s="106">
        <v>20718.226190476191</v>
      </c>
      <c r="AK1397" s="104">
        <v>17914.416666666668</v>
      </c>
      <c r="AL1397" s="118"/>
      <c r="AM1397" s="118">
        <v>605</v>
      </c>
      <c r="AN1397" s="118">
        <v>21592</v>
      </c>
      <c r="AO1397" s="118">
        <v>166</v>
      </c>
      <c r="AP1397" s="118">
        <f t="shared" si="21"/>
        <v>180</v>
      </c>
    </row>
    <row r="1398" spans="1:42" ht="12.75">
      <c r="A1398" s="106">
        <v>2018</v>
      </c>
      <c r="B1398" s="106">
        <v>-240657</v>
      </c>
      <c r="C1398" s="106">
        <v>0</v>
      </c>
      <c r="D1398" s="106">
        <v>240657</v>
      </c>
      <c r="E1398" s="106" t="s">
        <v>2275</v>
      </c>
      <c r="F1398" s="106" t="s">
        <v>2276</v>
      </c>
      <c r="G1398" s="106" t="s">
        <v>627</v>
      </c>
      <c r="H1398" s="106">
        <v>4</v>
      </c>
      <c r="I1398" s="106" t="s">
        <v>24</v>
      </c>
      <c r="J1398" s="106">
        <v>3386</v>
      </c>
      <c r="K1398" s="106">
        <v>6909</v>
      </c>
      <c r="L1398" s="106">
        <v>4357</v>
      </c>
      <c r="M1398" s="106">
        <v>0.41</v>
      </c>
      <c r="N1398" s="106">
        <v>0.27</v>
      </c>
      <c r="O1398" s="106">
        <v>0.78</v>
      </c>
      <c r="P1398" s="106">
        <v>4139</v>
      </c>
      <c r="Q1398" s="106">
        <v>655.40627514078847</v>
      </c>
      <c r="R1398" s="106">
        <v>0.17986140425554459</v>
      </c>
      <c r="S1398" s="106">
        <v>22618.709573612228</v>
      </c>
      <c r="T1398" s="106">
        <v>24936.259855189059</v>
      </c>
      <c r="U1398" s="106">
        <v>15888.332705020059</v>
      </c>
      <c r="V1398" s="106">
        <v>0.18809685761434219</v>
      </c>
      <c r="W1398" s="106">
        <v>83557.115823817294</v>
      </c>
      <c r="X1398" s="110">
        <v>0.55083333787696398</v>
      </c>
      <c r="Y1398" s="106">
        <v>422.2981132075472</v>
      </c>
      <c r="Z1398" s="106">
        <v>14.071698113207548</v>
      </c>
      <c r="AA1398" s="106">
        <v>44986.782579362036</v>
      </c>
      <c r="AB1398" s="106">
        <v>529.42652205827767</v>
      </c>
      <c r="AC1398" s="106">
        <v>2.2228751261237254</v>
      </c>
      <c r="AD1398" s="106">
        <v>36.952861952861952</v>
      </c>
      <c r="AE1398" s="106">
        <v>84.972665148063783</v>
      </c>
      <c r="AF1398" s="106">
        <v>-3.4627217309418187E-2</v>
      </c>
      <c r="AG1398" s="106">
        <v>2256</v>
      </c>
      <c r="AH1398" s="106">
        <v>22695.917135961383</v>
      </c>
      <c r="AI1398" s="106">
        <v>22762.4505229284</v>
      </c>
      <c r="AJ1398" s="106">
        <v>23551.476267095735</v>
      </c>
      <c r="AK1398" s="104">
        <v>16719.053097345131</v>
      </c>
      <c r="AL1398" s="118">
        <v>17670948</v>
      </c>
      <c r="AM1398" s="118">
        <v>1654</v>
      </c>
      <c r="AN1398" s="118">
        <v>37303</v>
      </c>
      <c r="AO1398" s="118">
        <v>354</v>
      </c>
      <c r="AP1398" s="118">
        <f t="shared" si="21"/>
        <v>1130</v>
      </c>
    </row>
    <row r="1399" spans="1:42" ht="12.75">
      <c r="A1399" s="106">
        <v>2018</v>
      </c>
      <c r="B1399" s="106">
        <v>-136233</v>
      </c>
      <c r="C1399" s="106">
        <v>0</v>
      </c>
      <c r="D1399" s="106">
        <v>136233</v>
      </c>
      <c r="E1399" s="106" t="s">
        <v>2277</v>
      </c>
      <c r="F1399" s="106" t="s">
        <v>2278</v>
      </c>
      <c r="G1399" s="106" t="s">
        <v>258</v>
      </c>
      <c r="H1399" s="106">
        <v>3</v>
      </c>
      <c r="I1399" s="104" t="s">
        <v>26</v>
      </c>
      <c r="J1399" s="106">
        <v>3133</v>
      </c>
      <c r="K1399" s="106">
        <v>6675</v>
      </c>
      <c r="L1399" s="106">
        <v>4412</v>
      </c>
      <c r="M1399" s="106">
        <v>0.42</v>
      </c>
      <c r="N1399" s="106">
        <v>0.05</v>
      </c>
      <c r="O1399" s="106">
        <v>0.17</v>
      </c>
      <c r="P1399" s="106">
        <v>2279</v>
      </c>
      <c r="Q1399" s="106">
        <v>287.80902693520989</v>
      </c>
      <c r="R1399" s="106">
        <v>0.10524226837421305</v>
      </c>
      <c r="S1399" s="106">
        <v>10283.909973307449</v>
      </c>
      <c r="T1399" s="106">
        <v>11726.798349915069</v>
      </c>
      <c r="U1399" s="106">
        <v>9586.9751532764149</v>
      </c>
      <c r="V1399" s="106">
        <v>0.25523373096399399</v>
      </c>
      <c r="W1399" s="106">
        <v>52465.302723735411</v>
      </c>
      <c r="X1399" s="110">
        <v>0.46502037737923013</v>
      </c>
      <c r="Y1399" s="106">
        <v>926.41471032745585</v>
      </c>
      <c r="Z1399" s="106">
        <v>31.141057934508815</v>
      </c>
      <c r="AA1399" s="106">
        <v>24539.083606616212</v>
      </c>
      <c r="AB1399" s="106">
        <v>322.26231442217778</v>
      </c>
      <c r="AC1399" s="106">
        <v>4.0751318021117164</v>
      </c>
      <c r="AD1399" s="106">
        <v>42.469005539435507</v>
      </c>
      <c r="AE1399" s="106">
        <v>76.14630227743271</v>
      </c>
      <c r="AF1399" s="106">
        <v>2.2310947011117729E-2</v>
      </c>
      <c r="AG1399" s="106">
        <v>2496</v>
      </c>
      <c r="AH1399" s="106">
        <v>8971.157971366174</v>
      </c>
      <c r="AI1399" s="106">
        <v>9252.4183450618784</v>
      </c>
      <c r="AJ1399" s="106">
        <v>10345.304295074011</v>
      </c>
      <c r="AK1399" s="104">
        <v>11344.43047803931</v>
      </c>
      <c r="AL1399" s="118">
        <v>19003277</v>
      </c>
      <c r="AM1399" s="118">
        <v>5727</v>
      </c>
      <c r="AN1399" s="118">
        <v>122595.54666666666</v>
      </c>
      <c r="AO1399" s="118">
        <v>1328</v>
      </c>
      <c r="AP1399" s="118">
        <f t="shared" si="21"/>
        <v>637</v>
      </c>
    </row>
    <row r="1400" spans="1:42" ht="12.75">
      <c r="A1400" s="106">
        <v>2018</v>
      </c>
      <c r="B1400" s="106">
        <v>-154129</v>
      </c>
      <c r="C1400" s="106">
        <v>0</v>
      </c>
      <c r="D1400" s="106">
        <v>154129</v>
      </c>
      <c r="E1400" s="106" t="s">
        <v>2279</v>
      </c>
      <c r="F1400" s="106" t="s">
        <v>2280</v>
      </c>
      <c r="G1400" s="106" t="s">
        <v>447</v>
      </c>
      <c r="H1400" s="106">
        <v>4</v>
      </c>
      <c r="I1400" s="106" t="s">
        <v>24</v>
      </c>
      <c r="J1400" s="106">
        <v>5910</v>
      </c>
      <c r="K1400" s="106">
        <v>10070</v>
      </c>
      <c r="L1400" s="106">
        <v>7495</v>
      </c>
      <c r="M1400" s="106">
        <v>0.43</v>
      </c>
      <c r="N1400" s="106">
        <v>0.53</v>
      </c>
      <c r="O1400" s="106">
        <v>0.34</v>
      </c>
      <c r="P1400" s="106">
        <v>2166</v>
      </c>
      <c r="Q1400" s="106">
        <v>341.97638510445051</v>
      </c>
      <c r="R1400" s="106">
        <v>6.3389466684063658E-2</v>
      </c>
      <c r="S1400" s="106">
        <v>20442.089009990916</v>
      </c>
      <c r="T1400" s="106">
        <v>18870.861035422342</v>
      </c>
      <c r="U1400" s="106">
        <v>10346.478750590952</v>
      </c>
      <c r="V1400" s="106">
        <v>0.4883660742569701</v>
      </c>
      <c r="W1400" s="106">
        <v>53890.944785276071</v>
      </c>
      <c r="X1400" s="110">
        <v>0.4227896687548594</v>
      </c>
      <c r="Y1400" s="106">
        <v>431.03947368421052</v>
      </c>
      <c r="Z1400" s="106">
        <v>14.486842105263158</v>
      </c>
      <c r="AA1400" s="106">
        <v>28621.791719599594</v>
      </c>
      <c r="AB1400" s="106">
        <v>347.73567887910616</v>
      </c>
      <c r="AC1400" s="106">
        <v>3.4938413702284796</v>
      </c>
      <c r="AD1400" s="106">
        <v>43.073593073593074</v>
      </c>
      <c r="AE1400" s="106">
        <v>82.30904522613065</v>
      </c>
      <c r="AF1400" s="106">
        <v>6.4300584869197847E-2</v>
      </c>
      <c r="AG1400" s="106">
        <v>4860</v>
      </c>
      <c r="AH1400" s="106">
        <v>20271.511353315167</v>
      </c>
      <c r="AI1400" s="106">
        <v>20271.511353315167</v>
      </c>
      <c r="AJ1400" s="106">
        <v>20990.059037238872</v>
      </c>
      <c r="AK1400" s="104">
        <v>12438.039963669391</v>
      </c>
      <c r="AL1400" s="118">
        <v>9349137</v>
      </c>
      <c r="AM1400" s="118">
        <v>1646</v>
      </c>
      <c r="AN1400" s="118">
        <v>32759</v>
      </c>
      <c r="AO1400" s="118">
        <v>215</v>
      </c>
      <c r="AP1400" s="118">
        <f t="shared" si="21"/>
        <v>1050</v>
      </c>
    </row>
    <row r="1401" spans="1:42" ht="12.75">
      <c r="A1401" s="106">
        <v>2018</v>
      </c>
      <c r="B1401" s="106">
        <v>-155618</v>
      </c>
      <c r="C1401" s="106">
        <v>0</v>
      </c>
      <c r="D1401" s="106">
        <v>155618</v>
      </c>
      <c r="E1401" s="106" t="s">
        <v>2281</v>
      </c>
      <c r="F1401" s="106" t="s">
        <v>2282</v>
      </c>
      <c r="G1401" s="106" t="s">
        <v>129</v>
      </c>
      <c r="H1401" s="106">
        <v>4</v>
      </c>
      <c r="I1401" s="106" t="s">
        <v>24</v>
      </c>
      <c r="J1401" s="106"/>
      <c r="K1401" s="106">
        <v>11651</v>
      </c>
      <c r="L1401" s="106">
        <v>9917</v>
      </c>
      <c r="M1401" s="106">
        <v>0.51</v>
      </c>
      <c r="N1401" s="106">
        <v>0.69</v>
      </c>
      <c r="O1401" s="106">
        <v>0.65</v>
      </c>
      <c r="P1401" s="106">
        <v>2609</v>
      </c>
      <c r="Q1401" s="107">
        <v>858.27002967359056</v>
      </c>
      <c r="R1401" s="106">
        <v>0.24006218242723942</v>
      </c>
      <c r="S1401" s="106">
        <v>11544.93175074184</v>
      </c>
      <c r="T1401" s="106">
        <v>12243.124629080119</v>
      </c>
      <c r="U1401" s="106">
        <v>10580.014836795252</v>
      </c>
      <c r="V1401" s="106">
        <v>0.2567982016370936</v>
      </c>
      <c r="W1401" s="106">
        <v>44705.05035971223</v>
      </c>
      <c r="X1401" s="110">
        <v>0.50202802614584385</v>
      </c>
      <c r="Y1401" s="106">
        <v>391.14193548387095</v>
      </c>
      <c r="Z1401" s="106">
        <v>13.045161290322579</v>
      </c>
      <c r="AA1401" s="106">
        <v>19974.593837535012</v>
      </c>
      <c r="AB1401" s="106">
        <v>352.85912217328911</v>
      </c>
      <c r="AC1401" s="106">
        <v>5.0063596192922946</v>
      </c>
      <c r="AD1401" s="106">
        <v>62.303664921465973</v>
      </c>
      <c r="AE1401" s="106">
        <v>56.607843137254903</v>
      </c>
      <c r="AF1401" s="106">
        <v>1.3348571485638706E-2</v>
      </c>
      <c r="AG1401" s="106"/>
      <c r="AH1401" s="106">
        <v>11589.789317507419</v>
      </c>
      <c r="AI1401" s="106">
        <v>11589.789317507419</v>
      </c>
      <c r="AJ1401" s="106">
        <v>11616.902077151335</v>
      </c>
      <c r="AK1401" s="104">
        <v>10580.014836795252</v>
      </c>
      <c r="AL1401" s="119">
        <v>3283004</v>
      </c>
      <c r="AM1401" s="118">
        <v>896</v>
      </c>
      <c r="AN1401" s="118">
        <v>20209</v>
      </c>
      <c r="AO1401" s="118">
        <v>117</v>
      </c>
      <c r="AP1401" s="118">
        <f t="shared" si="21"/>
        <v>0</v>
      </c>
    </row>
    <row r="1402" spans="1:42" ht="12.75">
      <c r="A1402" s="106">
        <v>2018</v>
      </c>
      <c r="B1402" s="106">
        <v>-176178</v>
      </c>
      <c r="C1402" s="106">
        <v>0</v>
      </c>
      <c r="D1402" s="106">
        <v>176178</v>
      </c>
      <c r="E1402" s="106" t="s">
        <v>2283</v>
      </c>
      <c r="F1402" s="106" t="s">
        <v>2284</v>
      </c>
      <c r="G1402" s="106" t="s">
        <v>107</v>
      </c>
      <c r="H1402" s="106">
        <v>4</v>
      </c>
      <c r="I1402" s="106" t="s">
        <v>24</v>
      </c>
      <c r="J1402" s="106">
        <v>3000</v>
      </c>
      <c r="K1402" s="106">
        <v>5711</v>
      </c>
      <c r="L1402" s="106">
        <v>5118</v>
      </c>
      <c r="M1402" s="106">
        <v>0.61</v>
      </c>
      <c r="N1402" s="106">
        <v>0.15</v>
      </c>
      <c r="O1402" s="106">
        <v>0.33</v>
      </c>
      <c r="P1402" s="106">
        <v>3437</v>
      </c>
      <c r="Q1402" s="107">
        <v>631.98878711307646</v>
      </c>
      <c r="R1402" s="106">
        <v>0.19364635264277288</v>
      </c>
      <c r="S1402" s="106">
        <v>10328.037428932406</v>
      </c>
      <c r="T1402" s="106">
        <v>12106.507896399242</v>
      </c>
      <c r="U1402" s="106">
        <v>9984.9576753000638</v>
      </c>
      <c r="V1402" s="106">
        <v>0.26355992665657274</v>
      </c>
      <c r="W1402" s="106">
        <v>71404.920874544507</v>
      </c>
      <c r="X1402" s="110">
        <v>0.5964505680838037</v>
      </c>
      <c r="Y1402" s="106">
        <v>746.94495412844037</v>
      </c>
      <c r="Z1402" s="106">
        <v>24.89646133682831</v>
      </c>
      <c r="AA1402" s="106">
        <v>34796.231150247659</v>
      </c>
      <c r="AB1402" s="106">
        <v>332.80914656293265</v>
      </c>
      <c r="AC1402" s="106">
        <v>2.8738744598001742</v>
      </c>
      <c r="AD1402" s="106">
        <v>30.192755068128946</v>
      </c>
      <c r="AE1402" s="106">
        <v>104.55310952118877</v>
      </c>
      <c r="AF1402" s="106">
        <v>-0.10333729205128192</v>
      </c>
      <c r="AG1402" s="106">
        <v>3000</v>
      </c>
      <c r="AH1402" s="106">
        <v>9657.0587492103605</v>
      </c>
      <c r="AI1402" s="106">
        <v>9657.0587492103605</v>
      </c>
      <c r="AJ1402" s="106">
        <v>10346.43509159823</v>
      </c>
      <c r="AK1402" s="104">
        <v>10903.185407454201</v>
      </c>
      <c r="AL1402" s="119">
        <v>26787584</v>
      </c>
      <c r="AM1402" s="118">
        <v>7654</v>
      </c>
      <c r="AN1402" s="118">
        <v>189973</v>
      </c>
      <c r="AO1402" s="118">
        <v>1170</v>
      </c>
      <c r="AP1402" s="118">
        <f t="shared" si="21"/>
        <v>0</v>
      </c>
    </row>
    <row r="1403" spans="1:42" ht="12.75">
      <c r="A1403" s="106">
        <v>2018</v>
      </c>
      <c r="B1403" s="106">
        <v>-178624</v>
      </c>
      <c r="C1403" s="106">
        <v>0</v>
      </c>
      <c r="D1403" s="106">
        <v>178624</v>
      </c>
      <c r="E1403" s="106" t="s">
        <v>2285</v>
      </c>
      <c r="F1403" s="106" t="s">
        <v>1908</v>
      </c>
      <c r="G1403" s="106" t="s">
        <v>264</v>
      </c>
      <c r="H1403" s="106">
        <v>2</v>
      </c>
      <c r="I1403" s="106" t="s">
        <v>25</v>
      </c>
      <c r="J1403" s="106">
        <v>7657</v>
      </c>
      <c r="K1403" s="106">
        <v>12524</v>
      </c>
      <c r="L1403" s="106">
        <v>9285</v>
      </c>
      <c r="M1403" s="106">
        <v>0.39</v>
      </c>
      <c r="N1403" s="106">
        <v>0.65</v>
      </c>
      <c r="O1403" s="106">
        <v>0.93</v>
      </c>
      <c r="P1403" s="106">
        <v>5625</v>
      </c>
      <c r="Q1403" s="106">
        <v>3501.2236608726498</v>
      </c>
      <c r="R1403" s="106">
        <v>0.28212076379714079</v>
      </c>
      <c r="S1403" s="106">
        <v>19697.204682511529</v>
      </c>
      <c r="T1403" s="106">
        <v>20465.077509755232</v>
      </c>
      <c r="U1403" s="106">
        <v>14197.781230706376</v>
      </c>
      <c r="V1403" s="106">
        <v>0.62750286908430952</v>
      </c>
      <c r="W1403" s="106">
        <v>92854.988668555234</v>
      </c>
      <c r="X1403" s="110">
        <v>0.56816107544300609</v>
      </c>
      <c r="Y1403" s="106">
        <v>661.22400000000005</v>
      </c>
      <c r="Z1403" s="106">
        <v>22.552</v>
      </c>
      <c r="AA1403" s="106">
        <v>55511.158515064184</v>
      </c>
      <c r="AB1403" s="106">
        <v>484.23584491018204</v>
      </c>
      <c r="AC1403" s="106">
        <v>1.801439614575199</v>
      </c>
      <c r="AD1403" s="106">
        <v>25.653798256537986</v>
      </c>
      <c r="AE1403" s="106">
        <v>114.63661581137309</v>
      </c>
      <c r="AF1403" s="106">
        <v>1.3717996375518165E-2</v>
      </c>
      <c r="AG1403" s="106">
        <v>4501</v>
      </c>
      <c r="AH1403" s="106">
        <v>20008.249733948207</v>
      </c>
      <c r="AI1403" s="106">
        <v>20008.249733948207</v>
      </c>
      <c r="AJ1403" s="106">
        <v>19789.925505498402</v>
      </c>
      <c r="AK1403" s="104">
        <v>14765.345335225256</v>
      </c>
      <c r="AL1403" s="119">
        <v>29280534</v>
      </c>
      <c r="AM1403" s="118">
        <v>5474</v>
      </c>
      <c r="AN1403" s="118">
        <v>165306</v>
      </c>
      <c r="AO1403" s="118">
        <v>1026</v>
      </c>
      <c r="AP1403" s="118">
        <f t="shared" si="21"/>
        <v>3156</v>
      </c>
    </row>
    <row r="1404" spans="1:42" ht="12.75">
      <c r="A1404" s="106">
        <v>2018</v>
      </c>
      <c r="B1404" s="106">
        <v>-142461</v>
      </c>
      <c r="C1404" s="106">
        <v>0</v>
      </c>
      <c r="D1404" s="106">
        <v>142461</v>
      </c>
      <c r="E1404" s="106" t="s">
        <v>2286</v>
      </c>
      <c r="F1404" s="106" t="s">
        <v>850</v>
      </c>
      <c r="G1404" s="106" t="s">
        <v>418</v>
      </c>
      <c r="H1404" s="106">
        <v>6</v>
      </c>
      <c r="I1404" s="106" t="s">
        <v>3640</v>
      </c>
      <c r="J1404" s="106">
        <v>29000</v>
      </c>
      <c r="K1404" s="106">
        <v>18786</v>
      </c>
      <c r="L1404" s="106">
        <v>13023</v>
      </c>
      <c r="M1404" s="106">
        <v>0.43</v>
      </c>
      <c r="N1404" s="106">
        <v>0.68</v>
      </c>
      <c r="O1404" s="106">
        <v>0.99</v>
      </c>
      <c r="P1404" s="106">
        <v>18074</v>
      </c>
      <c r="Q1404" s="106">
        <v>7224.7775940471265</v>
      </c>
      <c r="R1404" s="106">
        <v>0.41927286526516377</v>
      </c>
      <c r="S1404" s="106">
        <v>16034.783794956593</v>
      </c>
      <c r="T1404" s="106">
        <v>16493.894997933032</v>
      </c>
      <c r="U1404" s="106">
        <v>14655.118885602094</v>
      </c>
      <c r="V1404" s="106">
        <v>0.68282670724666106</v>
      </c>
      <c r="W1404" s="106">
        <v>72681.461538461532</v>
      </c>
      <c r="X1404" s="110">
        <v>0.5604604928296969</v>
      </c>
      <c r="Y1404" s="106">
        <v>523.06281407035181</v>
      </c>
      <c r="Z1404" s="106">
        <v>18.233668341708544</v>
      </c>
      <c r="AA1404" s="106">
        <v>63418.12626882195</v>
      </c>
      <c r="AB1404" s="106">
        <v>510.8690009694273</v>
      </c>
      <c r="AC1404" s="106">
        <v>1.5768362435703607</v>
      </c>
      <c r="AD1404" s="106">
        <v>29.797441364605543</v>
      </c>
      <c r="AE1404" s="106">
        <v>124.13774597495528</v>
      </c>
      <c r="AF1404" s="106">
        <v>3.3830596470279257E-2</v>
      </c>
      <c r="AG1404" s="106">
        <v>28500</v>
      </c>
      <c r="AH1404" s="106">
        <v>13117.391070690368</v>
      </c>
      <c r="AI1404" s="106">
        <v>16034.783794956593</v>
      </c>
      <c r="AJ1404" s="106">
        <v>17853.318726746591</v>
      </c>
      <c r="AK1404" s="104">
        <v>15042.7267465895</v>
      </c>
      <c r="AM1404" s="118">
        <v>1480</v>
      </c>
      <c r="AN1404" s="118">
        <v>69393</v>
      </c>
      <c r="AO1404" s="118">
        <v>298</v>
      </c>
      <c r="AP1404" s="118">
        <f t="shared" si="21"/>
        <v>500</v>
      </c>
    </row>
    <row r="1405" spans="1:42" ht="12.75">
      <c r="A1405" s="106">
        <v>2018</v>
      </c>
      <c r="B1405" s="106">
        <v>-204440</v>
      </c>
      <c r="C1405" s="106">
        <v>0</v>
      </c>
      <c r="D1405" s="106">
        <v>204440</v>
      </c>
      <c r="E1405" s="106" t="s">
        <v>2287</v>
      </c>
      <c r="F1405" s="106" t="s">
        <v>2288</v>
      </c>
      <c r="G1405" s="106" t="s">
        <v>82</v>
      </c>
      <c r="H1405" s="106">
        <v>4</v>
      </c>
      <c r="I1405" s="106" t="s">
        <v>24</v>
      </c>
      <c r="J1405" s="106">
        <v>3858</v>
      </c>
      <c r="K1405" s="106">
        <v>7555</v>
      </c>
      <c r="L1405" s="106">
        <v>6770</v>
      </c>
      <c r="M1405" s="106">
        <v>0.49</v>
      </c>
      <c r="N1405" s="106">
        <v>0.41</v>
      </c>
      <c r="O1405" s="106">
        <v>0.33</v>
      </c>
      <c r="P1405" s="106">
        <v>2490</v>
      </c>
      <c r="Q1405" s="106">
        <v>417.67398568019092</v>
      </c>
      <c r="R1405" s="106">
        <v>7.1190865200228909E-2</v>
      </c>
      <c r="S1405" s="106">
        <v>13097.305011933175</v>
      </c>
      <c r="T1405" s="106">
        <v>9900.3355608591883</v>
      </c>
      <c r="U1405" s="106">
        <v>8379.8872426832822</v>
      </c>
      <c r="V1405" s="106">
        <v>0.65028158952130422</v>
      </c>
      <c r="W1405" s="106">
        <v>37146.856209150326</v>
      </c>
      <c r="X1405" s="110">
        <v>0.27401829103162434</v>
      </c>
      <c r="Y1405" s="106">
        <v>901.95215311004802</v>
      </c>
      <c r="Z1405" s="106">
        <v>30.071770334928235</v>
      </c>
      <c r="AA1405" s="106">
        <v>44671.409092675516</v>
      </c>
      <c r="AB1405" s="106">
        <v>279.39181000416124</v>
      </c>
      <c r="AC1405" s="106">
        <v>2.2385682930336839</v>
      </c>
      <c r="AD1405" s="106">
        <v>23.476702508960575</v>
      </c>
      <c r="AE1405" s="106">
        <v>159.88804071246818</v>
      </c>
      <c r="AF1405" s="106">
        <v>1.4593022507916931</v>
      </c>
      <c r="AG1405" s="106">
        <v>3776</v>
      </c>
      <c r="AH1405" s="106">
        <v>12454.457279236276</v>
      </c>
      <c r="AI1405" s="106">
        <v>12518.522195704058</v>
      </c>
      <c r="AJ1405" s="106">
        <v>13133.680190930787</v>
      </c>
      <c r="AK1405" s="104">
        <v>9052.2911694510749</v>
      </c>
      <c r="AL1405" s="118">
        <v>11029211</v>
      </c>
      <c r="AM1405" s="118">
        <v>3620</v>
      </c>
      <c r="AN1405" s="118">
        <v>62836</v>
      </c>
      <c r="AO1405" s="118">
        <v>268</v>
      </c>
      <c r="AP1405" s="118">
        <f t="shared" si="21"/>
        <v>82</v>
      </c>
    </row>
    <row r="1406" spans="1:42" ht="12.75">
      <c r="A1406" s="106">
        <v>2018</v>
      </c>
      <c r="B1406" s="106">
        <v>-173115</v>
      </c>
      <c r="C1406" s="106">
        <v>0</v>
      </c>
      <c r="D1406" s="106">
        <v>173115</v>
      </c>
      <c r="E1406" s="106" t="s">
        <v>2289</v>
      </c>
      <c r="F1406" s="106" t="s">
        <v>335</v>
      </c>
      <c r="G1406" s="106" t="s">
        <v>113</v>
      </c>
      <c r="H1406" s="106">
        <v>4</v>
      </c>
      <c r="I1406" s="106" t="s">
        <v>24</v>
      </c>
      <c r="J1406" s="106">
        <v>5480</v>
      </c>
      <c r="K1406" s="106">
        <v>11348</v>
      </c>
      <c r="L1406" s="106">
        <v>10233</v>
      </c>
      <c r="M1406" s="106">
        <v>0.6</v>
      </c>
      <c r="N1406" s="106">
        <v>0.55000000000000004</v>
      </c>
      <c r="O1406" s="106">
        <v>0.19</v>
      </c>
      <c r="P1406" s="106">
        <v>893</v>
      </c>
      <c r="Q1406" s="106">
        <v>225.80645161290323</v>
      </c>
      <c r="R1406" s="106">
        <v>3.7849203965154704E-2</v>
      </c>
      <c r="S1406" s="106">
        <v>15146.953405017921</v>
      </c>
      <c r="T1406" s="106">
        <v>15175.627240143369</v>
      </c>
      <c r="U1406" s="106">
        <v>12638.879298061009</v>
      </c>
      <c r="V1406" s="106">
        <v>0.45416553428564271</v>
      </c>
      <c r="W1406" s="106">
        <v>110923.56687898088</v>
      </c>
      <c r="X1406" s="110">
        <v>0.68552196504487484</v>
      </c>
      <c r="Y1406" s="106">
        <v>627.67500000000007</v>
      </c>
      <c r="Z1406" s="106">
        <v>20.925000000000001</v>
      </c>
      <c r="AA1406" s="106">
        <v>36166.639222143807</v>
      </c>
      <c r="AB1406" s="106">
        <v>421.34631666376168</v>
      </c>
      <c r="AC1406" s="106">
        <v>2.764979056687491</v>
      </c>
      <c r="AD1406" s="106">
        <v>37.717601547388782</v>
      </c>
      <c r="AE1406" s="106">
        <v>85.835897435897436</v>
      </c>
      <c r="AF1406" s="106">
        <v>1.5143866733972741E-2</v>
      </c>
      <c r="AG1406" s="106">
        <v>5190</v>
      </c>
      <c r="AH1406" s="106">
        <v>14759.856630824373</v>
      </c>
      <c r="AI1406" s="106">
        <v>15159.498207885305</v>
      </c>
      <c r="AJ1406" s="106">
        <v>15222.222222222223</v>
      </c>
      <c r="AK1406" s="104">
        <v>13564.516129032258</v>
      </c>
      <c r="AL1406" s="118">
        <v>4075000</v>
      </c>
      <c r="AM1406" s="118">
        <v>941</v>
      </c>
      <c r="AN1406" s="118">
        <v>16738</v>
      </c>
      <c r="AO1406" s="118">
        <v>108</v>
      </c>
      <c r="AP1406" s="118">
        <f t="shared" si="21"/>
        <v>290</v>
      </c>
    </row>
    <row r="1407" spans="1:42" ht="12.75">
      <c r="A1407" s="106">
        <v>2018</v>
      </c>
      <c r="B1407" s="106">
        <v>-236133</v>
      </c>
      <c r="C1407" s="106">
        <v>0</v>
      </c>
      <c r="D1407" s="106">
        <v>236133</v>
      </c>
      <c r="E1407" s="106" t="s">
        <v>2290</v>
      </c>
      <c r="F1407" s="106" t="s">
        <v>1729</v>
      </c>
      <c r="G1407" s="106" t="s">
        <v>182</v>
      </c>
      <c r="H1407" s="106">
        <v>6</v>
      </c>
      <c r="I1407" s="106" t="s">
        <v>3640</v>
      </c>
      <c r="J1407" s="106">
        <v>30300</v>
      </c>
      <c r="K1407" s="106">
        <v>23117</v>
      </c>
      <c r="L1407" s="106">
        <v>23381</v>
      </c>
      <c r="M1407" s="106">
        <v>0.33</v>
      </c>
      <c r="N1407" s="106">
        <v>0.67</v>
      </c>
      <c r="O1407" s="106">
        <v>0.98</v>
      </c>
      <c r="P1407" s="106">
        <v>15400</v>
      </c>
      <c r="Q1407" s="106">
        <v>10124.956765412329</v>
      </c>
      <c r="R1407" s="106">
        <v>0.3450425123494022</v>
      </c>
      <c r="S1407" s="106">
        <v>25381.104883907126</v>
      </c>
      <c r="T1407" s="106">
        <v>23816.653322658127</v>
      </c>
      <c r="U1407" s="106">
        <v>20377.101681345077</v>
      </c>
      <c r="V1407" s="106">
        <v>0.94317280264036774</v>
      </c>
      <c r="W1407" s="106">
        <v>63831.800262812088</v>
      </c>
      <c r="X1407" s="110">
        <v>0.54432379735771674</v>
      </c>
      <c r="Y1407" s="106">
        <v>332.79503105590061</v>
      </c>
      <c r="Z1407" s="106">
        <v>11.636645962732919</v>
      </c>
      <c r="AA1407" s="106">
        <v>70894.150417827303</v>
      </c>
      <c r="AB1407" s="106">
        <v>712.51399776035839</v>
      </c>
      <c r="AC1407" s="106">
        <v>1.4105536128246434</v>
      </c>
      <c r="AD1407" s="106">
        <v>30.168067226890756</v>
      </c>
      <c r="AE1407" s="106">
        <v>99.49860724233983</v>
      </c>
      <c r="AF1407" s="106">
        <v>7.1794254050472808E-2</v>
      </c>
      <c r="AG1407" s="106">
        <v>29900</v>
      </c>
      <c r="AH1407" s="106">
        <v>24919.688550840674</v>
      </c>
      <c r="AI1407" s="106">
        <v>26956.518014411529</v>
      </c>
      <c r="AJ1407" s="106">
        <v>26462.770216172939</v>
      </c>
      <c r="AK1407" s="104">
        <v>20377.101681345077</v>
      </c>
      <c r="AL1407" s="118"/>
      <c r="AM1407" s="118">
        <v>950</v>
      </c>
      <c r="AN1407" s="118">
        <v>35720</v>
      </c>
      <c r="AO1407" s="118">
        <v>224</v>
      </c>
      <c r="AP1407" s="118">
        <f t="shared" si="21"/>
        <v>400</v>
      </c>
    </row>
    <row r="1408" spans="1:42" ht="12.75">
      <c r="A1408" s="106">
        <v>2018</v>
      </c>
      <c r="B1408" s="106">
        <v>-420398</v>
      </c>
      <c r="C1408" s="106">
        <v>0</v>
      </c>
      <c r="D1408" s="106">
        <v>420398</v>
      </c>
      <c r="E1408" s="106" t="s">
        <v>4165</v>
      </c>
      <c r="F1408" s="106" t="s">
        <v>2291</v>
      </c>
      <c r="G1408" s="106" t="s">
        <v>60</v>
      </c>
      <c r="H1408" s="106">
        <v>4</v>
      </c>
      <c r="I1408" s="106" t="s">
        <v>24</v>
      </c>
      <c r="J1408" s="106">
        <v>2760</v>
      </c>
      <c r="K1408" s="106">
        <v>4565</v>
      </c>
      <c r="L1408" s="106">
        <v>3123</v>
      </c>
      <c r="M1408" s="106">
        <v>0.48</v>
      </c>
      <c r="N1408" s="106">
        <v>7.0000000000000007E-2</v>
      </c>
      <c r="O1408" s="106">
        <v>0.08</v>
      </c>
      <c r="P1408" s="106">
        <v>1812</v>
      </c>
      <c r="Q1408" s="106">
        <v>781.29412297382953</v>
      </c>
      <c r="R1408" s="106">
        <v>0.27095244917485073</v>
      </c>
      <c r="S1408" s="106">
        <v>7316.3374083129584</v>
      </c>
      <c r="T1408" s="106">
        <v>6989.6342479398718</v>
      </c>
      <c r="U1408" s="106">
        <v>5705.5237707144797</v>
      </c>
      <c r="V1408" s="106">
        <v>0.36845275883529943</v>
      </c>
      <c r="W1408" s="106">
        <v>71425.141608391612</v>
      </c>
      <c r="X1408" s="110">
        <v>0.52930453630569307</v>
      </c>
      <c r="Y1408" s="106">
        <v>1105.4916573971079</v>
      </c>
      <c r="Z1408" s="106">
        <v>36.850945494994434</v>
      </c>
      <c r="AA1408" s="106">
        <v>27429.7340008707</v>
      </c>
      <c r="AB1408" s="106">
        <v>190.19044068594749</v>
      </c>
      <c r="AC1408" s="106">
        <v>3.6456788096022259</v>
      </c>
      <c r="AD1408" s="106">
        <v>27.485939930597102</v>
      </c>
      <c r="AE1408" s="106">
        <v>144.22246408358728</v>
      </c>
      <c r="AF1408" s="106"/>
      <c r="AG1408" s="106">
        <v>2580</v>
      </c>
      <c r="AH1408" s="106">
        <v>6198.2265688671559</v>
      </c>
      <c r="AI1408" s="106">
        <v>6198.4354794892688</v>
      </c>
      <c r="AJ1408" s="106">
        <v>7317.3684687132118</v>
      </c>
      <c r="AK1408" s="104">
        <v>6989.5170696368741</v>
      </c>
      <c r="AL1408" s="118">
        <v>41154246</v>
      </c>
      <c r="AM1408" s="118">
        <v>16752</v>
      </c>
      <c r="AN1408" s="118">
        <v>331279</v>
      </c>
      <c r="AO1408" s="118">
        <v>2158</v>
      </c>
      <c r="AP1408" s="118">
        <f t="shared" si="21"/>
        <v>180</v>
      </c>
    </row>
    <row r="1409" spans="1:42" ht="12.75">
      <c r="A1409" s="106">
        <v>2018</v>
      </c>
      <c r="B1409" s="106">
        <v>-154101</v>
      </c>
      <c r="C1409" s="106">
        <v>0</v>
      </c>
      <c r="D1409" s="106">
        <v>154101</v>
      </c>
      <c r="E1409" s="106" t="s">
        <v>2294</v>
      </c>
      <c r="F1409" s="106" t="s">
        <v>2295</v>
      </c>
      <c r="G1409" s="106" t="s">
        <v>447</v>
      </c>
      <c r="H1409" s="106">
        <v>7</v>
      </c>
      <c r="I1409" s="106" t="s">
        <v>3641</v>
      </c>
      <c r="J1409" s="106">
        <v>30200</v>
      </c>
      <c r="K1409" s="106">
        <v>24269</v>
      </c>
      <c r="L1409" s="106">
        <v>21700</v>
      </c>
      <c r="M1409" s="106">
        <v>0.25</v>
      </c>
      <c r="N1409" s="106">
        <v>0.71</v>
      </c>
      <c r="O1409" s="106">
        <v>1</v>
      </c>
      <c r="P1409" s="106">
        <v>16589</v>
      </c>
      <c r="Q1409" s="107">
        <v>14720.191525423728</v>
      </c>
      <c r="R1409" s="106">
        <v>0.55402743385063069</v>
      </c>
      <c r="S1409" s="106">
        <v>22921.851694915254</v>
      </c>
      <c r="T1409" s="106">
        <v>24772.755932203389</v>
      </c>
      <c r="U1409" s="106">
        <v>20846.676608730282</v>
      </c>
      <c r="V1409" s="106">
        <v>0.56839926169613308</v>
      </c>
      <c r="W1409" s="106">
        <v>60321.02826379543</v>
      </c>
      <c r="X1409" s="110">
        <v>0.51106950048871347</v>
      </c>
      <c r="Y1409" s="106">
        <v>335.35922330097088</v>
      </c>
      <c r="Z1409" s="106">
        <v>11.456310679611651</v>
      </c>
      <c r="AA1409" s="106">
        <v>80127.291199679908</v>
      </c>
      <c r="AB1409" s="106">
        <v>712.14980019401685</v>
      </c>
      <c r="AC1409" s="106">
        <v>1.2480142346356953</v>
      </c>
      <c r="AD1409" s="106">
        <v>28.036529680365298</v>
      </c>
      <c r="AE1409" s="106">
        <v>112.51465798045602</v>
      </c>
      <c r="AF1409" s="106">
        <v>2.6664604885174924E-2</v>
      </c>
      <c r="AG1409" s="106">
        <v>30000</v>
      </c>
      <c r="AH1409" s="106">
        <v>19451.981355932203</v>
      </c>
      <c r="AI1409" s="106">
        <v>23078.65593220339</v>
      </c>
      <c r="AJ1409" s="106">
        <v>27672.864406779659</v>
      </c>
      <c r="AK1409" s="104">
        <v>20848.672033898307</v>
      </c>
      <c r="AL1409" s="118"/>
      <c r="AM1409" s="118">
        <v>1041</v>
      </c>
      <c r="AN1409" s="118">
        <v>34542</v>
      </c>
      <c r="AO1409" s="118">
        <v>261</v>
      </c>
      <c r="AP1409" s="118">
        <f t="shared" si="21"/>
        <v>200</v>
      </c>
    </row>
    <row r="1410" spans="1:42" ht="12.75">
      <c r="A1410" s="106">
        <v>2018</v>
      </c>
      <c r="B1410" s="106">
        <v>-130040</v>
      </c>
      <c r="C1410" s="106">
        <v>0</v>
      </c>
      <c r="D1410" s="106">
        <v>130040</v>
      </c>
      <c r="E1410" s="106" t="s">
        <v>2296</v>
      </c>
      <c r="F1410" s="106" t="s">
        <v>2297</v>
      </c>
      <c r="G1410" s="106" t="s">
        <v>99</v>
      </c>
      <c r="H1410" s="106">
        <v>4</v>
      </c>
      <c r="I1410" s="106" t="s">
        <v>24</v>
      </c>
      <c r="J1410" s="106">
        <v>4306</v>
      </c>
      <c r="K1410" s="106">
        <v>7096</v>
      </c>
      <c r="L1410" s="106">
        <v>5574</v>
      </c>
      <c r="M1410" s="106">
        <v>0.42</v>
      </c>
      <c r="N1410" s="106">
        <v>0.04</v>
      </c>
      <c r="O1410" s="106">
        <v>0.27</v>
      </c>
      <c r="P1410" s="106">
        <v>1216</v>
      </c>
      <c r="Q1410" s="107">
        <v>879.09971509971513</v>
      </c>
      <c r="R1410" s="106">
        <v>0.14762069016657825</v>
      </c>
      <c r="S1410" s="106">
        <v>22830.584045584044</v>
      </c>
      <c r="T1410" s="106">
        <v>28417.527065527065</v>
      </c>
      <c r="U1410" s="106">
        <v>22415.727278881397</v>
      </c>
      <c r="V1410" s="106">
        <v>0.22644929508077721</v>
      </c>
      <c r="W1410" s="106">
        <v>127683.59292035399</v>
      </c>
      <c r="X1410" s="110">
        <v>0.72325283381148342</v>
      </c>
      <c r="Y1410" s="106">
        <v>415.77631578947364</v>
      </c>
      <c r="Z1410" s="106">
        <v>13.855263157894736</v>
      </c>
      <c r="AA1410" s="106">
        <v>58935.732396160085</v>
      </c>
      <c r="AB1410" s="106">
        <v>746.97809502396001</v>
      </c>
      <c r="AC1410" s="106">
        <v>1.6967635072015401</v>
      </c>
      <c r="AD1410" s="106">
        <v>39.035087719298247</v>
      </c>
      <c r="AE1410" s="107">
        <v>78.898876404494388</v>
      </c>
      <c r="AF1410" s="106">
        <v>-4.6709839857998828E-2</v>
      </c>
      <c r="AG1410" s="106">
        <v>3816</v>
      </c>
      <c r="AH1410" s="106">
        <v>22459.599715099714</v>
      </c>
      <c r="AI1410" s="106">
        <v>22691.66096866097</v>
      </c>
      <c r="AJ1410" s="106">
        <v>22875.313390313389</v>
      </c>
      <c r="AK1410" s="104">
        <v>23514.649572649574</v>
      </c>
      <c r="AL1410" s="118">
        <v>10995282</v>
      </c>
      <c r="AM1410" s="118">
        <v>1295</v>
      </c>
      <c r="AN1410" s="118">
        <v>21066</v>
      </c>
      <c r="AO1410" s="118">
        <v>192</v>
      </c>
      <c r="AP1410" s="118">
        <f t="shared" si="21"/>
        <v>490</v>
      </c>
    </row>
    <row r="1411" spans="1:42" ht="12.75">
      <c r="A1411" s="106">
        <v>2018</v>
      </c>
      <c r="B1411" s="106">
        <v>-171483</v>
      </c>
      <c r="C1411" s="106">
        <v>0</v>
      </c>
      <c r="D1411" s="106">
        <v>171483</v>
      </c>
      <c r="E1411" s="106" t="s">
        <v>2298</v>
      </c>
      <c r="F1411" s="106" t="s">
        <v>2299</v>
      </c>
      <c r="G1411" s="106" t="s">
        <v>74</v>
      </c>
      <c r="H1411" s="106">
        <v>4</v>
      </c>
      <c r="I1411" s="106" t="s">
        <v>24</v>
      </c>
      <c r="J1411" s="106">
        <v>4106</v>
      </c>
      <c r="K1411" s="106">
        <v>8273</v>
      </c>
      <c r="L1411" s="106">
        <v>8297</v>
      </c>
      <c r="M1411" s="106">
        <v>0.47</v>
      </c>
      <c r="N1411" s="106">
        <v>0.33</v>
      </c>
      <c r="O1411" s="106">
        <v>0.26</v>
      </c>
      <c r="P1411" s="106">
        <v>2124</v>
      </c>
      <c r="Q1411" s="106">
        <v>550.35080000000005</v>
      </c>
      <c r="R1411" s="106">
        <v>5.7568258376051749E-2</v>
      </c>
      <c r="S1411" s="106">
        <v>24911.0288</v>
      </c>
      <c r="T1411" s="106">
        <v>24081.7716</v>
      </c>
      <c r="U1411" s="106">
        <v>19407.71904262964</v>
      </c>
      <c r="V1411" s="106">
        <v>0.46422862883629445</v>
      </c>
      <c r="W1411" s="106">
        <v>84525.354943273909</v>
      </c>
      <c r="X1411" s="110">
        <v>0.57750063537684249</v>
      </c>
      <c r="Y1411" s="106">
        <v>481.73447537473226</v>
      </c>
      <c r="Z1411" s="106">
        <v>16.059957173447536</v>
      </c>
      <c r="AA1411" s="106">
        <v>71142.665112278744</v>
      </c>
      <c r="AB1411" s="106">
        <v>647.01023611913729</v>
      </c>
      <c r="AC1411" s="106">
        <v>1.4056262840614426</v>
      </c>
      <c r="AD1411" s="106">
        <v>27.566693613581243</v>
      </c>
      <c r="AE1411" s="106">
        <v>109.95601173020528</v>
      </c>
      <c r="AF1411" s="106">
        <v>8.9613015627555054E-2</v>
      </c>
      <c r="AG1411" s="106">
        <v>3111</v>
      </c>
      <c r="AH1411" s="106">
        <v>22931.8076</v>
      </c>
      <c r="AI1411" s="106">
        <v>24215.887999999999</v>
      </c>
      <c r="AJ1411" s="106">
        <v>24969.555199999999</v>
      </c>
      <c r="AK1411" s="104">
        <v>20511.520400000001</v>
      </c>
      <c r="AL1411" s="118">
        <v>25561931</v>
      </c>
      <c r="AM1411" s="118">
        <v>3954</v>
      </c>
      <c r="AN1411" s="118">
        <v>74990</v>
      </c>
      <c r="AO1411" s="118">
        <v>553</v>
      </c>
      <c r="AP1411" s="118">
        <f t="shared" si="21"/>
        <v>995</v>
      </c>
    </row>
    <row r="1412" spans="1:42" ht="12.75">
      <c r="A1412" s="106">
        <v>2018</v>
      </c>
      <c r="B1412" s="106">
        <v>-207306</v>
      </c>
      <c r="C1412" s="106">
        <v>0</v>
      </c>
      <c r="D1412" s="106">
        <v>207306</v>
      </c>
      <c r="E1412" s="106" t="s">
        <v>2300</v>
      </c>
      <c r="F1412" s="106" t="s">
        <v>2301</v>
      </c>
      <c r="G1412" s="106" t="s">
        <v>271</v>
      </c>
      <c r="H1412" s="106">
        <v>2</v>
      </c>
      <c r="I1412" s="106" t="s">
        <v>25</v>
      </c>
      <c r="J1412" s="106">
        <v>7066</v>
      </c>
      <c r="K1412" s="106">
        <v>9158</v>
      </c>
      <c r="L1412" s="106">
        <v>7006</v>
      </c>
      <c r="M1412" s="106">
        <v>0.46</v>
      </c>
      <c r="N1412" s="106">
        <v>0.43</v>
      </c>
      <c r="O1412" s="106">
        <v>0.56000000000000005</v>
      </c>
      <c r="P1412" s="106">
        <v>2843</v>
      </c>
      <c r="Q1412" s="106">
        <v>4279.2016129032254</v>
      </c>
      <c r="R1412" s="106">
        <v>0.41936567387848833</v>
      </c>
      <c r="S1412" s="106">
        <v>17311.893920595532</v>
      </c>
      <c r="T1412" s="106">
        <v>18525.710918114142</v>
      </c>
      <c r="U1412" s="106">
        <v>12078.075496652156</v>
      </c>
      <c r="V1412" s="106">
        <v>0.49054046243512445</v>
      </c>
      <c r="W1412" s="106">
        <v>62331.414694894142</v>
      </c>
      <c r="X1412" s="110">
        <v>0.55867772259102311</v>
      </c>
      <c r="Y1412" s="106">
        <v>431.85365853658539</v>
      </c>
      <c r="Z1412" s="106">
        <v>14.74390243902439</v>
      </c>
      <c r="AA1412" s="106">
        <v>47603.564060154713</v>
      </c>
      <c r="AB1412" s="106">
        <v>412.35720307953397</v>
      </c>
      <c r="AC1412" s="106">
        <v>2.1006830470431588</v>
      </c>
      <c r="AD1412" s="106">
        <v>24.46172248803828</v>
      </c>
      <c r="AE1412" s="106">
        <v>115.44254278728606</v>
      </c>
      <c r="AF1412" s="106">
        <v>5.0037839686418815E-3</v>
      </c>
      <c r="AG1412" s="106">
        <v>6053</v>
      </c>
      <c r="AH1412" s="106">
        <v>15678.917493796525</v>
      </c>
      <c r="AI1412" s="106">
        <v>16027.008684863524</v>
      </c>
      <c r="AJ1412" s="106">
        <v>17497.844913151366</v>
      </c>
      <c r="AK1412" s="104">
        <v>13512.215260545905</v>
      </c>
      <c r="AL1412" s="119">
        <v>7862883</v>
      </c>
      <c r="AM1412" s="118">
        <v>1880</v>
      </c>
      <c r="AN1412" s="118">
        <v>47216</v>
      </c>
      <c r="AO1412" s="118">
        <v>322</v>
      </c>
      <c r="AP1412" s="118">
        <f t="shared" si="21"/>
        <v>1013</v>
      </c>
    </row>
    <row r="1413" spans="1:42" ht="12.75">
      <c r="A1413" s="106">
        <v>2018</v>
      </c>
      <c r="B1413" s="106">
        <v>-160038</v>
      </c>
      <c r="C1413" s="106">
        <v>0</v>
      </c>
      <c r="D1413" s="106">
        <v>160038</v>
      </c>
      <c r="E1413" s="106" t="s">
        <v>2302</v>
      </c>
      <c r="F1413" s="106" t="s">
        <v>2303</v>
      </c>
      <c r="G1413" s="106" t="s">
        <v>306</v>
      </c>
      <c r="H1413" s="106">
        <v>2</v>
      </c>
      <c r="I1413" s="106" t="s">
        <v>25</v>
      </c>
      <c r="J1413" s="106">
        <v>7922</v>
      </c>
      <c r="K1413" s="106">
        <v>10448</v>
      </c>
      <c r="L1413" s="106">
        <v>9615</v>
      </c>
      <c r="M1413" s="106">
        <v>0.5</v>
      </c>
      <c r="N1413" s="106">
        <v>0.56999999999999995</v>
      </c>
      <c r="O1413" s="106">
        <v>0.66</v>
      </c>
      <c r="P1413" s="106">
        <v>4747</v>
      </c>
      <c r="Q1413" s="106">
        <v>1786.4563561804334</v>
      </c>
      <c r="R1413" s="106">
        <v>0.20235963890985162</v>
      </c>
      <c r="S1413" s="106">
        <v>13049.143995313416</v>
      </c>
      <c r="T1413" s="106">
        <v>13158.510486233157</v>
      </c>
      <c r="U1413" s="106">
        <v>8532.8248886521633</v>
      </c>
      <c r="V1413" s="106">
        <v>0.8252448128851444</v>
      </c>
      <c r="W1413" s="106">
        <v>77656.105700712593</v>
      </c>
      <c r="X1413" s="110">
        <v>0.58220702700959903</v>
      </c>
      <c r="Y1413" s="106">
        <v>676.01344086021504</v>
      </c>
      <c r="Z1413" s="106">
        <v>22.943548387096776</v>
      </c>
      <c r="AA1413" s="106">
        <v>39366.302932241197</v>
      </c>
      <c r="AB1413" s="106">
        <v>289.59968674927018</v>
      </c>
      <c r="AC1413" s="106">
        <v>2.540243623388355</v>
      </c>
      <c r="AD1413" s="106">
        <v>24.281401758760992</v>
      </c>
      <c r="AE1413" s="106">
        <v>135.9335135135135</v>
      </c>
      <c r="AF1413" s="106">
        <v>-4.833748303986992E-2</v>
      </c>
      <c r="AG1413" s="106">
        <v>5180</v>
      </c>
      <c r="AH1413" s="106">
        <v>11720.519390743995</v>
      </c>
      <c r="AI1413" s="106">
        <v>11720.519390743995</v>
      </c>
      <c r="AJ1413" s="106">
        <v>13250.196602226128</v>
      </c>
      <c r="AK1413" s="104">
        <v>10080.252138254247</v>
      </c>
      <c r="AL1413" s="119">
        <v>21135713</v>
      </c>
      <c r="AM1413" s="118">
        <v>9443</v>
      </c>
      <c r="AN1413" s="118">
        <v>251477</v>
      </c>
      <c r="AO1413" s="118">
        <v>1466</v>
      </c>
      <c r="AP1413" s="118">
        <f t="shared" si="21"/>
        <v>2742</v>
      </c>
    </row>
    <row r="1414" spans="1:42" ht="12.75">
      <c r="A1414" s="106">
        <v>2018</v>
      </c>
      <c r="B1414" s="106">
        <v>-147767</v>
      </c>
      <c r="C1414" s="106">
        <v>0</v>
      </c>
      <c r="D1414" s="106">
        <v>147767</v>
      </c>
      <c r="E1414" s="106" t="s">
        <v>2304</v>
      </c>
      <c r="F1414" s="106" t="s">
        <v>2305</v>
      </c>
      <c r="G1414" s="106" t="s">
        <v>243</v>
      </c>
      <c r="H1414" s="106">
        <v>5</v>
      </c>
      <c r="I1414" s="106" t="s">
        <v>3639</v>
      </c>
      <c r="J1414" s="106">
        <v>52678</v>
      </c>
      <c r="K1414" s="106">
        <v>27540</v>
      </c>
      <c r="L1414" s="106">
        <v>13419</v>
      </c>
      <c r="M1414" s="106">
        <v>0.19</v>
      </c>
      <c r="N1414" s="106">
        <v>0.17</v>
      </c>
      <c r="O1414" s="106">
        <v>0.6</v>
      </c>
      <c r="P1414" s="106">
        <v>42714</v>
      </c>
      <c r="Q1414" s="107">
        <v>20781.25</v>
      </c>
      <c r="R1414" s="106">
        <v>0.38916765135775366</v>
      </c>
      <c r="S1414" s="106">
        <v>96985.944976076556</v>
      </c>
      <c r="T1414" s="106">
        <v>122566.93580542265</v>
      </c>
      <c r="U1414" s="106">
        <v>77830.342386786957</v>
      </c>
      <c r="V1414" s="106">
        <v>0.41909069763485635</v>
      </c>
      <c r="W1414" s="106">
        <v>162072.41412737907</v>
      </c>
      <c r="X1414" s="110">
        <v>0.67985383763632068</v>
      </c>
      <c r="Y1414" s="106">
        <v>209.55111940298508</v>
      </c>
      <c r="Z1414" s="106">
        <v>5.6149253731343283</v>
      </c>
      <c r="AA1414" s="106">
        <v>199105.95303436104</v>
      </c>
      <c r="AB1414" s="106">
        <v>2085.465186310415</v>
      </c>
      <c r="AC1414" s="106">
        <v>0.5022451537787137</v>
      </c>
      <c r="AD1414" s="106">
        <v>40.576336075327227</v>
      </c>
      <c r="AE1414" s="106">
        <v>95.473160780313648</v>
      </c>
      <c r="AF1414" s="106">
        <v>4.7974204046892927E-2</v>
      </c>
      <c r="AG1414" s="106">
        <v>52239</v>
      </c>
      <c r="AH1414" s="106">
        <v>73928.877591706536</v>
      </c>
      <c r="AI1414" s="106">
        <v>98688.795853269534</v>
      </c>
      <c r="AJ1414" s="106">
        <v>150502.59170653907</v>
      </c>
      <c r="AK1414" s="104">
        <v>115041.56698564593</v>
      </c>
      <c r="AL1414" s="118"/>
      <c r="AM1414" s="118">
        <v>8700</v>
      </c>
      <c r="AN1414" s="118">
        <v>748796</v>
      </c>
      <c r="AO1414" s="118">
        <v>2140</v>
      </c>
      <c r="AP1414" s="118">
        <f t="shared" ref="AP1414:AP1477" si="22">J1414-AG1414</f>
        <v>439</v>
      </c>
    </row>
    <row r="1415" spans="1:42" ht="12.75">
      <c r="A1415" s="106">
        <v>2018</v>
      </c>
      <c r="B1415" s="106">
        <v>-101736</v>
      </c>
      <c r="C1415" s="106">
        <v>0</v>
      </c>
      <c r="D1415" s="106">
        <v>101736</v>
      </c>
      <c r="E1415" s="106" t="s">
        <v>2292</v>
      </c>
      <c r="F1415" s="106" t="s">
        <v>2293</v>
      </c>
      <c r="G1415" s="106" t="s">
        <v>85</v>
      </c>
      <c r="H1415" s="106">
        <v>4</v>
      </c>
      <c r="I1415" s="106" t="s">
        <v>24</v>
      </c>
      <c r="J1415" s="106">
        <v>4411</v>
      </c>
      <c r="K1415" s="106">
        <v>7544</v>
      </c>
      <c r="L1415" s="106">
        <v>5738</v>
      </c>
      <c r="M1415" s="106">
        <v>0.61</v>
      </c>
      <c r="N1415" s="106">
        <v>0.18</v>
      </c>
      <c r="O1415" s="106">
        <v>0.46</v>
      </c>
      <c r="P1415" s="106">
        <v>2029</v>
      </c>
      <c r="Q1415" s="106">
        <v>467.10585585585585</v>
      </c>
      <c r="R1415" s="106">
        <v>0.10501053067343449</v>
      </c>
      <c r="S1415" s="106">
        <v>14123.982882882883</v>
      </c>
      <c r="T1415" s="106">
        <v>13685.657207207207</v>
      </c>
      <c r="U1415" s="106">
        <v>10773.332803585097</v>
      </c>
      <c r="V1415" s="106">
        <v>0.36953051556157462</v>
      </c>
      <c r="W1415" s="106">
        <v>64513.891791044778</v>
      </c>
      <c r="X1415" s="110">
        <v>0.56907486396868634</v>
      </c>
      <c r="Y1415" s="106">
        <v>689.00689655172414</v>
      </c>
      <c r="Z1415" s="106">
        <v>22.96551724137931</v>
      </c>
      <c r="AA1415" s="106">
        <v>26427.402015424213</v>
      </c>
      <c r="AB1415" s="106">
        <v>359.08952651430718</v>
      </c>
      <c r="AC1415" s="106">
        <v>3.7839512163032722</v>
      </c>
      <c r="AD1415" s="106">
        <v>42.911332385016593</v>
      </c>
      <c r="AE1415" s="106">
        <v>73.595580110497238</v>
      </c>
      <c r="AF1415" s="106">
        <v>5.9118514705472261E-2</v>
      </c>
      <c r="AG1415" s="106">
        <v>3570</v>
      </c>
      <c r="AH1415" s="106">
        <v>12558.314864864866</v>
      </c>
      <c r="AI1415" s="106">
        <v>12558.314864864866</v>
      </c>
      <c r="AJ1415" s="106">
        <v>14180.324774774776</v>
      </c>
      <c r="AK1415" s="104">
        <v>13538.8009009009</v>
      </c>
      <c r="AL1415" s="119">
        <v>12435240</v>
      </c>
      <c r="AM1415" s="118">
        <v>3440</v>
      </c>
      <c r="AN1415" s="118">
        <v>66604</v>
      </c>
      <c r="AO1415" s="118">
        <v>352</v>
      </c>
      <c r="AP1415" s="118">
        <f t="shared" si="22"/>
        <v>841</v>
      </c>
    </row>
    <row r="1416" spans="1:42" ht="12.75">
      <c r="A1416" s="106">
        <v>2018</v>
      </c>
      <c r="B1416" s="106">
        <v>-130004</v>
      </c>
      <c r="C1416" s="106">
        <v>0</v>
      </c>
      <c r="D1416" s="106">
        <v>130004</v>
      </c>
      <c r="E1416" s="106" t="s">
        <v>2306</v>
      </c>
      <c r="F1416" s="106" t="s">
        <v>696</v>
      </c>
      <c r="G1416" s="106" t="s">
        <v>99</v>
      </c>
      <c r="H1416" s="106">
        <v>4</v>
      </c>
      <c r="I1416" s="106" t="s">
        <v>24</v>
      </c>
      <c r="J1416" s="106">
        <v>4336</v>
      </c>
      <c r="K1416" s="106">
        <v>7781</v>
      </c>
      <c r="L1416" s="106">
        <v>6896</v>
      </c>
      <c r="M1416" s="106">
        <v>0.59</v>
      </c>
      <c r="N1416" s="106">
        <v>0.09</v>
      </c>
      <c r="O1416" s="106">
        <v>0.46</v>
      </c>
      <c r="P1416" s="106">
        <v>791</v>
      </c>
      <c r="Q1416" s="106">
        <v>995.47485412614617</v>
      </c>
      <c r="R1416" s="106">
        <v>0.15539197012627398</v>
      </c>
      <c r="S1416" s="106">
        <v>14373.31758821895</v>
      </c>
      <c r="T1416" s="106">
        <v>15156.701861628229</v>
      </c>
      <c r="U1416" s="106">
        <v>12197.755209780495</v>
      </c>
      <c r="V1416" s="106">
        <v>0.44358516538180276</v>
      </c>
      <c r="W1416" s="106">
        <v>125325.32457027299</v>
      </c>
      <c r="X1416" s="110">
        <v>0.75740352200967309</v>
      </c>
      <c r="Y1416" s="106">
        <v>540.79131886477455</v>
      </c>
      <c r="Z1416" s="106">
        <v>18.025041736227042</v>
      </c>
      <c r="AA1416" s="106">
        <v>62180.907932011331</v>
      </c>
      <c r="AB1416" s="106">
        <v>406.56171627553761</v>
      </c>
      <c r="AC1416" s="106">
        <v>1.608210676327533</v>
      </c>
      <c r="AD1416" s="106">
        <v>21.239470517448858</v>
      </c>
      <c r="AE1416" s="106">
        <v>152.94334277620396</v>
      </c>
      <c r="AF1416" s="106">
        <v>7.0563062020653988E-2</v>
      </c>
      <c r="AG1416" s="106">
        <v>3816</v>
      </c>
      <c r="AH1416" s="106">
        <v>13337.650736315643</v>
      </c>
      <c r="AI1416" s="106">
        <v>13624.899972214504</v>
      </c>
      <c r="AJ1416" s="106">
        <v>14407.101694915254</v>
      </c>
      <c r="AK1416" s="104">
        <v>13263.618227285357</v>
      </c>
      <c r="AL1416" s="119">
        <v>24460403</v>
      </c>
      <c r="AM1416" s="118">
        <v>5836</v>
      </c>
      <c r="AN1416" s="118">
        <v>107978</v>
      </c>
      <c r="AO1416" s="118">
        <v>624</v>
      </c>
      <c r="AP1416" s="118">
        <f t="shared" si="22"/>
        <v>520</v>
      </c>
    </row>
    <row r="1417" spans="1:42" ht="12.75">
      <c r="A1417" s="106">
        <v>2018</v>
      </c>
      <c r="B1417" s="106">
        <v>-230995</v>
      </c>
      <c r="C1417" s="106">
        <v>0</v>
      </c>
      <c r="D1417" s="106">
        <v>230995</v>
      </c>
      <c r="E1417" s="106" t="s">
        <v>2307</v>
      </c>
      <c r="F1417" s="106" t="s">
        <v>600</v>
      </c>
      <c r="G1417" s="106" t="s">
        <v>345</v>
      </c>
      <c r="H1417" s="106">
        <v>6</v>
      </c>
      <c r="I1417" s="106" t="s">
        <v>3640</v>
      </c>
      <c r="J1417" s="106">
        <v>38662</v>
      </c>
      <c r="K1417" s="106">
        <v>26695</v>
      </c>
      <c r="L1417" s="106">
        <v>19933</v>
      </c>
      <c r="M1417" s="106">
        <v>0.31</v>
      </c>
      <c r="N1417" s="106">
        <v>0.73</v>
      </c>
      <c r="O1417" s="106">
        <v>1</v>
      </c>
      <c r="P1417" s="107">
        <v>27071</v>
      </c>
      <c r="Q1417" s="107">
        <v>15558.0404685836</v>
      </c>
      <c r="R1417" s="106">
        <v>0.50994388837014482</v>
      </c>
      <c r="S1417" s="106">
        <v>27772.097976570822</v>
      </c>
      <c r="T1417" s="106">
        <v>29280.883919062831</v>
      </c>
      <c r="U1417" s="106">
        <v>22942.913778014892</v>
      </c>
      <c r="V1417" s="106">
        <v>0.65167302200292743</v>
      </c>
      <c r="W1417" s="106">
        <v>77773.730118009247</v>
      </c>
      <c r="X1417" s="110">
        <v>0.45942407186826578</v>
      </c>
      <c r="Y1417" s="106">
        <v>460.4850213980028</v>
      </c>
      <c r="Z1417" s="106">
        <v>16.074179743223965</v>
      </c>
      <c r="AA1417" s="106">
        <v>67061.154980719017</v>
      </c>
      <c r="AB1417" s="106">
        <v>800.869741173085</v>
      </c>
      <c r="AC1417" s="106">
        <v>1.4911762260693444</v>
      </c>
      <c r="AD1417" s="106">
        <v>35.477636664826065</v>
      </c>
      <c r="AE1417" s="106">
        <v>83.735408560311285</v>
      </c>
      <c r="AF1417" s="106">
        <v>5.8676178640024536E-2</v>
      </c>
      <c r="AG1417" s="106">
        <v>36554</v>
      </c>
      <c r="AH1417" s="106">
        <v>25336.794462193822</v>
      </c>
      <c r="AI1417" s="106">
        <v>27945.154419595314</v>
      </c>
      <c r="AJ1417" s="106">
        <v>32931.842385516509</v>
      </c>
      <c r="AK1417" s="104">
        <v>23419.32907348243</v>
      </c>
      <c r="AL1417" s="118"/>
      <c r="AM1417" s="118">
        <v>3225</v>
      </c>
      <c r="AN1417" s="118">
        <v>107600</v>
      </c>
      <c r="AO1417" s="118">
        <v>703</v>
      </c>
      <c r="AP1417" s="118">
        <f t="shared" si="22"/>
        <v>2108</v>
      </c>
    </row>
    <row r="1418" spans="1:42" ht="12.75">
      <c r="A1418" s="106">
        <v>2018</v>
      </c>
      <c r="B1418" s="106">
        <v>-204468</v>
      </c>
      <c r="C1418" s="106">
        <v>0</v>
      </c>
      <c r="D1418" s="106">
        <v>204468</v>
      </c>
      <c r="E1418" s="106" t="s">
        <v>2308</v>
      </c>
      <c r="F1418" s="106" t="s">
        <v>624</v>
      </c>
      <c r="G1418" s="106" t="s">
        <v>82</v>
      </c>
      <c r="H1418" s="106">
        <v>6</v>
      </c>
      <c r="I1418" s="106" t="s">
        <v>3640</v>
      </c>
      <c r="J1418" s="106">
        <v>29300</v>
      </c>
      <c r="K1418" s="106">
        <v>21886</v>
      </c>
      <c r="L1418" s="106">
        <v>18724</v>
      </c>
      <c r="M1418" s="106">
        <v>0.56000000000000005</v>
      </c>
      <c r="N1418" s="106">
        <v>0.87</v>
      </c>
      <c r="O1418" s="106">
        <v>1</v>
      </c>
      <c r="P1418" s="106">
        <v>16517</v>
      </c>
      <c r="Q1418" s="106">
        <v>12624.245660881175</v>
      </c>
      <c r="R1418" s="106">
        <v>0.49817073373121057</v>
      </c>
      <c r="S1418" s="106">
        <v>19157.748998664887</v>
      </c>
      <c r="T1418" s="106">
        <v>19470.132843791722</v>
      </c>
      <c r="U1418" s="106">
        <v>15528.348464619492</v>
      </c>
      <c r="V1418" s="106">
        <v>0.81895104977476485</v>
      </c>
      <c r="W1418" s="106">
        <v>47610.38836104513</v>
      </c>
      <c r="X1418" s="110">
        <v>0.45815436940335746</v>
      </c>
      <c r="Y1418" s="106">
        <v>439.18811881188117</v>
      </c>
      <c r="Z1418" s="106">
        <v>14.831683168316832</v>
      </c>
      <c r="AA1418" s="106">
        <v>69025.121661721074</v>
      </c>
      <c r="AB1418" s="106">
        <v>524.40294873529012</v>
      </c>
      <c r="AC1418" s="106">
        <v>1.4487478992080722</v>
      </c>
      <c r="AD1418" s="106">
        <v>22.7242076871207</v>
      </c>
      <c r="AE1418" s="106">
        <v>131.62611275964392</v>
      </c>
      <c r="AF1418" s="106">
        <v>9.6820563089378114E-2</v>
      </c>
      <c r="AG1418" s="106">
        <v>28600</v>
      </c>
      <c r="AH1418" s="106">
        <v>17737.938584779706</v>
      </c>
      <c r="AI1418" s="106">
        <v>19218.570761014686</v>
      </c>
      <c r="AJ1418" s="106">
        <v>20428.577436582109</v>
      </c>
      <c r="AK1418" s="104">
        <v>15528.348464619492</v>
      </c>
      <c r="AM1418" s="118">
        <v>1736</v>
      </c>
      <c r="AN1418" s="118">
        <v>44358</v>
      </c>
      <c r="AO1418" s="118">
        <v>270</v>
      </c>
      <c r="AP1418" s="118">
        <f t="shared" si="22"/>
        <v>700</v>
      </c>
    </row>
    <row r="1419" spans="1:42" ht="12.75">
      <c r="A1419" s="106">
        <v>2018</v>
      </c>
      <c r="B1419" s="106">
        <v>-120184</v>
      </c>
      <c r="C1419" s="106">
        <v>0</v>
      </c>
      <c r="D1419" s="106">
        <v>120184</v>
      </c>
      <c r="E1419" s="106" t="s">
        <v>2309</v>
      </c>
      <c r="F1419" s="106" t="s">
        <v>327</v>
      </c>
      <c r="G1419" s="106" t="s">
        <v>121</v>
      </c>
      <c r="H1419" s="106">
        <v>6</v>
      </c>
      <c r="I1419" s="106" t="s">
        <v>3640</v>
      </c>
      <c r="J1419" s="106">
        <v>34196</v>
      </c>
      <c r="K1419" s="106">
        <v>26913</v>
      </c>
      <c r="L1419" s="106">
        <v>22158</v>
      </c>
      <c r="M1419" s="106">
        <v>0.56999999999999995</v>
      </c>
      <c r="N1419" s="106">
        <v>0.73</v>
      </c>
      <c r="O1419" s="106">
        <v>0.98</v>
      </c>
      <c r="P1419" s="106">
        <v>19564</v>
      </c>
      <c r="Q1419" s="106">
        <v>8561.9944838455485</v>
      </c>
      <c r="R1419" s="106">
        <v>0.31332049965081105</v>
      </c>
      <c r="S1419" s="106">
        <v>29346.448384554769</v>
      </c>
      <c r="T1419" s="106">
        <v>28837.750197005516</v>
      </c>
      <c r="U1419" s="106">
        <v>24442.728920409772</v>
      </c>
      <c r="V1419" s="106">
        <v>0.76769820370694619</v>
      </c>
      <c r="W1419" s="106">
        <v>82875.583448275851</v>
      </c>
      <c r="X1419" s="110">
        <v>0.54729357929154732</v>
      </c>
      <c r="Y1419" s="106">
        <v>336.48571428571427</v>
      </c>
      <c r="Z1419" s="106">
        <v>12.085714285714285</v>
      </c>
      <c r="AA1419" s="106">
        <v>68321.19603524229</v>
      </c>
      <c r="AB1419" s="106">
        <v>877.92089100223598</v>
      </c>
      <c r="AC1419" s="106">
        <v>1.463674610561805</v>
      </c>
      <c r="AD1419" s="106">
        <v>39.137931034482762</v>
      </c>
      <c r="AE1419" s="106">
        <v>77.821585903083701</v>
      </c>
      <c r="AF1419" s="106">
        <v>4.3575452770491796E-2</v>
      </c>
      <c r="AG1419" s="106">
        <v>33926</v>
      </c>
      <c r="AH1419" s="106">
        <v>23861.382190701341</v>
      </c>
      <c r="AI1419" s="106">
        <v>27725.85185185185</v>
      </c>
      <c r="AJ1419" s="106">
        <v>30755.184397163121</v>
      </c>
      <c r="AK1419" s="104">
        <v>24442.728920409772</v>
      </c>
      <c r="AL1419" s="118"/>
      <c r="AM1419" s="118">
        <v>924</v>
      </c>
      <c r="AN1419" s="118">
        <v>35331</v>
      </c>
      <c r="AO1419" s="118">
        <v>247</v>
      </c>
      <c r="AP1419" s="118">
        <f t="shared" si="22"/>
        <v>270</v>
      </c>
    </row>
    <row r="1420" spans="1:42" ht="12.75">
      <c r="A1420" s="106">
        <v>2018</v>
      </c>
      <c r="B1420" s="106">
        <v>-163578</v>
      </c>
      <c r="C1420" s="106">
        <v>0</v>
      </c>
      <c r="D1420" s="106">
        <v>163578</v>
      </c>
      <c r="E1420" s="106" t="s">
        <v>2310</v>
      </c>
      <c r="F1420" s="106" t="s">
        <v>284</v>
      </c>
      <c r="G1420" s="106" t="s">
        <v>124</v>
      </c>
      <c r="H1420" s="106">
        <v>6</v>
      </c>
      <c r="I1420" s="106" t="s">
        <v>3640</v>
      </c>
      <c r="J1420" s="106">
        <v>36070</v>
      </c>
      <c r="K1420" s="107">
        <v>21686</v>
      </c>
      <c r="L1420" s="107">
        <v>29509</v>
      </c>
      <c r="M1420" s="107">
        <v>0.63</v>
      </c>
      <c r="N1420" s="107">
        <v>0.67</v>
      </c>
      <c r="O1420" s="107">
        <v>0.94</v>
      </c>
      <c r="P1420" s="107">
        <v>21924</v>
      </c>
      <c r="Q1420" s="106">
        <v>5915.3436406067676</v>
      </c>
      <c r="R1420" s="106">
        <v>0.25157947155576543</v>
      </c>
      <c r="S1420" s="106">
        <v>23100.130105017503</v>
      </c>
      <c r="T1420" s="106">
        <v>27449.743873978998</v>
      </c>
      <c r="U1420" s="106">
        <v>25988.070682590787</v>
      </c>
      <c r="V1420" s="106">
        <v>0.67713682153859955</v>
      </c>
      <c r="W1420" s="106">
        <v>73332.916751269033</v>
      </c>
      <c r="X1420" s="110">
        <v>0.51175821238265473</v>
      </c>
      <c r="Y1420" s="106">
        <v>255.96103896103895</v>
      </c>
      <c r="Z1420" s="106">
        <v>11.129870129870129</v>
      </c>
      <c r="AA1420" s="106">
        <v>69927.085007787449</v>
      </c>
      <c r="AB1420" s="106">
        <v>1130.0307765477855</v>
      </c>
      <c r="AC1420" s="106">
        <v>1.430061041281264</v>
      </c>
      <c r="AD1420" s="106">
        <v>43.30387491502379</v>
      </c>
      <c r="AE1420" s="106">
        <v>61.880690737833596</v>
      </c>
      <c r="AF1420" s="106">
        <v>-3.1264257419373949E-2</v>
      </c>
      <c r="AG1420" s="106">
        <v>34800</v>
      </c>
      <c r="AH1420" s="106">
        <v>22127.420653442241</v>
      </c>
      <c r="AI1420" s="106">
        <v>23100.130105017503</v>
      </c>
      <c r="AJ1420" s="106">
        <v>25544.960910151691</v>
      </c>
      <c r="AK1420" s="104">
        <v>26085.314469078181</v>
      </c>
      <c r="AL1420" s="118">
        <v>1579292</v>
      </c>
      <c r="AM1420" s="118">
        <v>816</v>
      </c>
      <c r="AN1420" s="118">
        <v>39418</v>
      </c>
      <c r="AO1420" s="118">
        <v>229</v>
      </c>
      <c r="AP1420" s="118">
        <f t="shared" si="22"/>
        <v>1270</v>
      </c>
    </row>
    <row r="1421" spans="1:42" ht="12.75">
      <c r="A1421" s="106">
        <v>2018</v>
      </c>
      <c r="B1421" s="106">
        <v>-136215</v>
      </c>
      <c r="C1421" s="106">
        <v>0</v>
      </c>
      <c r="D1421" s="106">
        <v>136215</v>
      </c>
      <c r="E1421" s="106" t="s">
        <v>2311</v>
      </c>
      <c r="F1421" s="106" t="s">
        <v>466</v>
      </c>
      <c r="G1421" s="106" t="s">
        <v>258</v>
      </c>
      <c r="H1421" s="106">
        <v>5</v>
      </c>
      <c r="I1421" s="106" t="s">
        <v>3639</v>
      </c>
      <c r="J1421" s="106">
        <v>29880</v>
      </c>
      <c r="K1421" s="106">
        <v>25867</v>
      </c>
      <c r="L1421" s="106">
        <v>22830</v>
      </c>
      <c r="M1421" s="106">
        <v>0.37</v>
      </c>
      <c r="N1421" s="106">
        <v>0.48</v>
      </c>
      <c r="O1421" s="106">
        <v>0.98</v>
      </c>
      <c r="P1421" s="106">
        <v>15535</v>
      </c>
      <c r="Q1421" s="106">
        <v>3662.7896978646072</v>
      </c>
      <c r="R1421" s="106">
        <v>0.11170800426314058</v>
      </c>
      <c r="S1421" s="106">
        <v>39200.003180372558</v>
      </c>
      <c r="T1421" s="106">
        <v>34736.45757610177</v>
      </c>
      <c r="U1421" s="106">
        <v>29027.66679372709</v>
      </c>
      <c r="V1421" s="106">
        <v>1.0033935630715938</v>
      </c>
      <c r="W1421" s="106">
        <v>90079.904801119992</v>
      </c>
      <c r="X1421" s="110">
        <v>0.5961246799371025</v>
      </c>
      <c r="Y1421" s="106">
        <v>282.34215713883412</v>
      </c>
      <c r="Z1421" s="106">
        <v>14.875809631089833</v>
      </c>
      <c r="AA1421" s="106">
        <v>77807.757178253407</v>
      </c>
      <c r="AB1421" s="106">
        <v>1529.3856561627852</v>
      </c>
      <c r="AC1421" s="106">
        <v>1.2852188988162885</v>
      </c>
      <c r="AD1421" s="106">
        <v>41.099918663580056</v>
      </c>
      <c r="AE1421" s="106">
        <v>50.875171258943524</v>
      </c>
      <c r="AF1421" s="106">
        <v>0.11838652700677531</v>
      </c>
      <c r="AG1421" s="106">
        <v>28980</v>
      </c>
      <c r="AH1421" s="106">
        <v>34593.244207178555</v>
      </c>
      <c r="AI1421" s="106">
        <v>39190.171342571557</v>
      </c>
      <c r="AJ1421" s="106">
        <v>39885.883746024534</v>
      </c>
      <c r="AK1421" s="104">
        <v>31410.567014993187</v>
      </c>
      <c r="AL1421" s="118"/>
      <c r="AM1421" s="118">
        <v>4497</v>
      </c>
      <c r="AN1421" s="118">
        <v>334199</v>
      </c>
      <c r="AO1421" s="118">
        <v>1282</v>
      </c>
      <c r="AP1421" s="118">
        <f t="shared" si="22"/>
        <v>900</v>
      </c>
    </row>
    <row r="1422" spans="1:42" ht="12.75">
      <c r="A1422" s="106">
        <v>2018</v>
      </c>
      <c r="B1422" s="106">
        <v>-158884</v>
      </c>
      <c r="C1422" s="106">
        <v>0</v>
      </c>
      <c r="D1422" s="106">
        <v>158884</v>
      </c>
      <c r="E1422" s="106" t="s">
        <v>2312</v>
      </c>
      <c r="F1422" s="106" t="s">
        <v>2313</v>
      </c>
      <c r="G1422" s="106" t="s">
        <v>306</v>
      </c>
      <c r="H1422" s="106">
        <v>4</v>
      </c>
      <c r="I1422" s="106" t="s">
        <v>24</v>
      </c>
      <c r="J1422" s="107">
        <v>4175</v>
      </c>
      <c r="K1422" s="107">
        <v>10135</v>
      </c>
      <c r="L1422" s="107">
        <v>9977</v>
      </c>
      <c r="M1422" s="107">
        <v>0.73</v>
      </c>
      <c r="N1422" s="107">
        <v>0.54</v>
      </c>
      <c r="O1422" s="107">
        <v>0.04</v>
      </c>
      <c r="P1422" s="107">
        <v>2550</v>
      </c>
      <c r="Q1422" s="106"/>
      <c r="R1422" s="106"/>
      <c r="S1422" s="106">
        <v>9910.4601473543207</v>
      </c>
      <c r="T1422" s="106">
        <v>10309.87742799732</v>
      </c>
      <c r="U1422" s="106">
        <v>6359.7903549899529</v>
      </c>
      <c r="V1422" s="106">
        <v>0.71840284641649799</v>
      </c>
      <c r="W1422" s="106">
        <v>66023.464864864873</v>
      </c>
      <c r="X1422" s="110">
        <v>0.52901193667339996</v>
      </c>
      <c r="Y1422" s="106">
        <v>700</v>
      </c>
      <c r="Z1422" s="106">
        <v>23.328125</v>
      </c>
      <c r="AA1422" s="106">
        <v>15167.99840255591</v>
      </c>
      <c r="AB1422" s="106">
        <v>211.94569196428571</v>
      </c>
      <c r="AC1422" s="106">
        <v>6.5928276985544336</v>
      </c>
      <c r="AD1422" s="106">
        <v>40.968586387434556</v>
      </c>
      <c r="AE1422" s="106">
        <v>71.565495207667738</v>
      </c>
      <c r="AF1422" s="107">
        <v>0.65204368830754733</v>
      </c>
      <c r="AG1422" s="106">
        <v>3335</v>
      </c>
      <c r="AH1422" s="106">
        <v>7962.4346952444739</v>
      </c>
      <c r="AI1422" s="106">
        <v>7978.4795713328867</v>
      </c>
      <c r="AJ1422" s="106">
        <v>9944.6764902880113</v>
      </c>
      <c r="AK1422" s="104">
        <v>8344.8948425987946</v>
      </c>
      <c r="AL1422" s="118">
        <v>3764771</v>
      </c>
      <c r="AM1422" s="118">
        <v>2599</v>
      </c>
      <c r="AN1422" s="118">
        <v>44800</v>
      </c>
      <c r="AO1422" s="118">
        <v>211</v>
      </c>
      <c r="AP1422" s="118">
        <f t="shared" si="22"/>
        <v>840</v>
      </c>
    </row>
    <row r="1423" spans="1:42" ht="12.75">
      <c r="A1423" s="106">
        <v>2018</v>
      </c>
      <c r="B1423" s="106">
        <v>-194161</v>
      </c>
      <c r="C1423" s="106">
        <v>0</v>
      </c>
      <c r="D1423" s="106">
        <v>194161</v>
      </c>
      <c r="E1423" s="106" t="s">
        <v>2314</v>
      </c>
      <c r="F1423" s="106" t="s">
        <v>2315</v>
      </c>
      <c r="G1423" s="106" t="s">
        <v>69</v>
      </c>
      <c r="H1423" s="106">
        <v>6</v>
      </c>
      <c r="I1423" s="106" t="s">
        <v>3640</v>
      </c>
      <c r="J1423" s="107">
        <v>25350</v>
      </c>
      <c r="K1423" s="107">
        <v>20217</v>
      </c>
      <c r="L1423" s="107">
        <v>18722</v>
      </c>
      <c r="M1423" s="107">
        <v>0.61</v>
      </c>
      <c r="N1423" s="107">
        <v>0.71</v>
      </c>
      <c r="O1423" s="107">
        <v>0.99</v>
      </c>
      <c r="P1423" s="107">
        <v>13831</v>
      </c>
      <c r="Q1423" s="106">
        <v>8202.6952283222163</v>
      </c>
      <c r="R1423" s="106">
        <v>0.38652615442663579</v>
      </c>
      <c r="S1423" s="106">
        <v>18297.636223704463</v>
      </c>
      <c r="T1423" s="106">
        <v>21727.201641867625</v>
      </c>
      <c r="U1423" s="106">
        <v>18099.630066700873</v>
      </c>
      <c r="V1423" s="106">
        <v>0.7192900342182752</v>
      </c>
      <c r="W1423" s="106">
        <v>74915.22050059594</v>
      </c>
      <c r="X1423" s="110">
        <v>0.4947606304170592</v>
      </c>
      <c r="Y1423" s="106">
        <v>391.32178217821786</v>
      </c>
      <c r="Z1423" s="106">
        <v>14.472772277227724</v>
      </c>
      <c r="AA1423" s="106">
        <v>59387.506734006733</v>
      </c>
      <c r="AB1423" s="106">
        <v>669.40261489999625</v>
      </c>
      <c r="AC1423" s="106">
        <v>1.6838558393753473</v>
      </c>
      <c r="AD1423" s="106">
        <v>31.018276762402085</v>
      </c>
      <c r="AE1423" s="106">
        <v>88.717171717171723</v>
      </c>
      <c r="AF1423" s="107">
        <v>-0.68028874238597492</v>
      </c>
      <c r="AG1423" s="106">
        <v>25000</v>
      </c>
      <c r="AH1423" s="106">
        <v>16956.895844022576</v>
      </c>
      <c r="AI1423" s="106">
        <v>18323.290405336069</v>
      </c>
      <c r="AJ1423" s="106">
        <v>18593.244740892766</v>
      </c>
      <c r="AK1423" s="104">
        <v>18099.630066700873</v>
      </c>
      <c r="AM1423" s="118">
        <v>1398</v>
      </c>
      <c r="AN1423" s="118">
        <v>52698</v>
      </c>
      <c r="AO1423" s="118">
        <v>334</v>
      </c>
      <c r="AP1423" s="118">
        <f t="shared" si="22"/>
        <v>350</v>
      </c>
    </row>
    <row r="1424" spans="1:42" ht="12.75">
      <c r="A1424" s="106">
        <v>2018</v>
      </c>
      <c r="B1424" s="106">
        <v>-152099</v>
      </c>
      <c r="C1424" s="106">
        <v>0</v>
      </c>
      <c r="D1424" s="106">
        <v>152099</v>
      </c>
      <c r="E1424" s="106" t="s">
        <v>2316</v>
      </c>
      <c r="F1424" s="106" t="s">
        <v>2317</v>
      </c>
      <c r="G1424" s="106" t="s">
        <v>161</v>
      </c>
      <c r="H1424" s="106">
        <v>7</v>
      </c>
      <c r="I1424" s="106" t="s">
        <v>3641</v>
      </c>
      <c r="J1424" s="106">
        <v>23700</v>
      </c>
      <c r="K1424" s="106">
        <v>15066</v>
      </c>
      <c r="L1424" s="106">
        <v>13815</v>
      </c>
      <c r="M1424" s="106">
        <v>0.53</v>
      </c>
      <c r="N1424" s="106">
        <v>0.63</v>
      </c>
      <c r="O1424" s="106">
        <v>1</v>
      </c>
      <c r="P1424" s="106">
        <v>15414</v>
      </c>
      <c r="Q1424" s="106">
        <v>5562.9756662804175</v>
      </c>
      <c r="R1424" s="106">
        <v>0.19479889552305424</v>
      </c>
      <c r="S1424" s="106">
        <v>28375.174971031287</v>
      </c>
      <c r="T1424" s="106">
        <v>31324.888760139049</v>
      </c>
      <c r="U1424" s="106">
        <v>15858.149478563151</v>
      </c>
      <c r="V1424" s="106">
        <v>1.4500150998316987</v>
      </c>
      <c r="W1424" s="106">
        <v>45668.394495412838</v>
      </c>
      <c r="X1424" s="110">
        <v>0.49103295596159102</v>
      </c>
      <c r="Y1424" s="106">
        <v>346.57674418604654</v>
      </c>
      <c r="Z1424" s="106">
        <v>12.041860465116281</v>
      </c>
      <c r="AA1424" s="106">
        <v>49947.383211678833</v>
      </c>
      <c r="AB1424" s="106">
        <v>550.9937595619615</v>
      </c>
      <c r="AC1424" s="106">
        <v>2.0021068886871682</v>
      </c>
      <c r="AD1424" s="106">
        <v>30.276243093922652</v>
      </c>
      <c r="AE1424" s="106">
        <v>90.649635036496349</v>
      </c>
      <c r="AF1424" s="106">
        <v>-2.8606856926351263E-2</v>
      </c>
      <c r="AG1424" s="106">
        <v>23700</v>
      </c>
      <c r="AH1424" s="106">
        <v>27207.057937427577</v>
      </c>
      <c r="AI1424" s="106">
        <v>28644.54808806489</v>
      </c>
      <c r="AJ1424" s="106">
        <v>29891.650057937426</v>
      </c>
      <c r="AK1424" s="104">
        <v>15858.149478563151</v>
      </c>
      <c r="AL1424" s="118"/>
      <c r="AM1424" s="118">
        <v>1113</v>
      </c>
      <c r="AN1424" s="118">
        <v>24838</v>
      </c>
      <c r="AO1424" s="118">
        <v>178</v>
      </c>
      <c r="AP1424" s="118">
        <f t="shared" si="22"/>
        <v>0</v>
      </c>
    </row>
    <row r="1425" spans="1:42" ht="12.75">
      <c r="A1425" s="106">
        <v>2018</v>
      </c>
      <c r="B1425" s="106">
        <v>-171535</v>
      </c>
      <c r="C1425" s="106">
        <v>0</v>
      </c>
      <c r="D1425" s="106">
        <v>171535</v>
      </c>
      <c r="E1425" s="106" t="s">
        <v>2318</v>
      </c>
      <c r="F1425" s="106" t="s">
        <v>2319</v>
      </c>
      <c r="G1425" s="106" t="s">
        <v>74</v>
      </c>
      <c r="H1425" s="106">
        <v>4</v>
      </c>
      <c r="I1425" s="106" t="s">
        <v>24</v>
      </c>
      <c r="J1425" s="106">
        <v>2360</v>
      </c>
      <c r="K1425" s="106">
        <v>2902</v>
      </c>
      <c r="L1425" s="106">
        <v>1934</v>
      </c>
      <c r="M1425" s="106">
        <v>0.3</v>
      </c>
      <c r="N1425" s="106">
        <v>0.12</v>
      </c>
      <c r="O1425" s="106">
        <v>0.16</v>
      </c>
      <c r="P1425" s="106">
        <v>1608</v>
      </c>
      <c r="Q1425" s="106">
        <v>144.5237756643854</v>
      </c>
      <c r="R1425" s="106">
        <v>3.7587527419951194E-2</v>
      </c>
      <c r="S1425" s="106">
        <v>16145.800906586081</v>
      </c>
      <c r="T1425" s="106">
        <v>13950.286730068437</v>
      </c>
      <c r="U1425" s="106">
        <v>12300.068442142448</v>
      </c>
      <c r="V1425" s="106">
        <v>0.30084947342065288</v>
      </c>
      <c r="W1425" s="106">
        <v>111333.79433894662</v>
      </c>
      <c r="X1425" s="110">
        <v>0.65992006507662127</v>
      </c>
      <c r="Y1425" s="106">
        <v>738.57768052516417</v>
      </c>
      <c r="Z1425" s="106">
        <v>24.619256017505471</v>
      </c>
      <c r="AA1425" s="106">
        <v>50765.983141065553</v>
      </c>
      <c r="AB1425" s="106">
        <v>410.00228140474832</v>
      </c>
      <c r="AC1425" s="106">
        <v>1.9698229761871417</v>
      </c>
      <c r="AD1425" s="106">
        <v>31.510807999075251</v>
      </c>
      <c r="AE1425" s="106">
        <v>123.81878209831254</v>
      </c>
      <c r="AF1425" s="106">
        <v>0.11712150686435492</v>
      </c>
      <c r="AG1425" s="106">
        <v>2160</v>
      </c>
      <c r="AH1425" s="106">
        <v>15494.531063905431</v>
      </c>
      <c r="AI1425" s="106">
        <v>15494.531063905431</v>
      </c>
      <c r="AJ1425" s="106">
        <v>16194.662785530176</v>
      </c>
      <c r="AK1425" s="104">
        <v>13236.694604924007</v>
      </c>
      <c r="AL1425" s="119">
        <v>116572392</v>
      </c>
      <c r="AM1425" s="118">
        <v>17116</v>
      </c>
      <c r="AN1425" s="118">
        <v>337530</v>
      </c>
      <c r="AO1425" s="118">
        <v>2156</v>
      </c>
      <c r="AP1425" s="118">
        <f t="shared" si="22"/>
        <v>200</v>
      </c>
    </row>
    <row r="1426" spans="1:42" ht="12.75">
      <c r="A1426" s="106">
        <v>2018</v>
      </c>
      <c r="B1426" s="106">
        <v>-171571</v>
      </c>
      <c r="C1426" s="106">
        <v>0</v>
      </c>
      <c r="D1426" s="106">
        <v>171571</v>
      </c>
      <c r="E1426" s="106" t="s">
        <v>2320</v>
      </c>
      <c r="F1426" s="106" t="s">
        <v>2321</v>
      </c>
      <c r="G1426" s="106" t="s">
        <v>74</v>
      </c>
      <c r="H1426" s="106">
        <v>1</v>
      </c>
      <c r="I1426" s="106" t="s">
        <v>23</v>
      </c>
      <c r="J1426" s="106">
        <v>13410</v>
      </c>
      <c r="K1426" s="106">
        <v>12384</v>
      </c>
      <c r="L1426" s="106">
        <v>7176</v>
      </c>
      <c r="M1426" s="106">
        <v>0.34</v>
      </c>
      <c r="N1426" s="106">
        <v>0.5</v>
      </c>
      <c r="O1426" s="106">
        <v>0.85</v>
      </c>
      <c r="P1426" s="106">
        <v>7478</v>
      </c>
      <c r="Q1426" s="106">
        <v>3070.5360399605042</v>
      </c>
      <c r="R1426" s="106">
        <v>0.19677126978953716</v>
      </c>
      <c r="S1426" s="106">
        <v>19796.129406981472</v>
      </c>
      <c r="T1426" s="106">
        <v>19673.283324621014</v>
      </c>
      <c r="U1426" s="106">
        <v>15366.29040542475</v>
      </c>
      <c r="V1426" s="106">
        <v>0.81568543683307781</v>
      </c>
      <c r="W1426" s="106">
        <v>108569.22945032778</v>
      </c>
      <c r="X1426" s="110">
        <v>0.63561647250619036</v>
      </c>
      <c r="Y1426" s="106">
        <v>584.74135876042908</v>
      </c>
      <c r="Z1426" s="106">
        <v>20.520858164481524</v>
      </c>
      <c r="AA1426" s="106">
        <v>60402.151121049756</v>
      </c>
      <c r="AB1426" s="106">
        <v>539.26314805644927</v>
      </c>
      <c r="AC1426" s="106">
        <v>1.655570176624896</v>
      </c>
      <c r="AD1426" s="106">
        <v>26.874463124309734</v>
      </c>
      <c r="AE1426" s="106">
        <v>112.00867579908676</v>
      </c>
      <c r="AF1426" s="106">
        <v>3.6888270055381096E-2</v>
      </c>
      <c r="AG1426" s="106">
        <v>13410</v>
      </c>
      <c r="AH1426" s="106">
        <v>19039.192774583262</v>
      </c>
      <c r="AI1426" s="106">
        <v>19338.427019806004</v>
      </c>
      <c r="AJ1426" s="106">
        <v>20619.167683103908</v>
      </c>
      <c r="AK1426" s="104">
        <v>17471.171632688624</v>
      </c>
      <c r="AL1426" s="119">
        <v>51243200</v>
      </c>
      <c r="AM1426" s="118">
        <v>15901</v>
      </c>
      <c r="AN1426" s="118">
        <v>490598</v>
      </c>
      <c r="AO1426" s="118">
        <v>3316</v>
      </c>
      <c r="AP1426" s="118">
        <f t="shared" si="22"/>
        <v>0</v>
      </c>
    </row>
    <row r="1427" spans="1:42" ht="12.75">
      <c r="A1427" s="106">
        <v>2018</v>
      </c>
      <c r="B1427" s="106">
        <v>-147800</v>
      </c>
      <c r="C1427" s="106">
        <v>0</v>
      </c>
      <c r="D1427" s="106">
        <v>147800</v>
      </c>
      <c r="E1427" s="106" t="s">
        <v>2322</v>
      </c>
      <c r="F1427" s="106" t="s">
        <v>2323</v>
      </c>
      <c r="G1427" s="106" t="s">
        <v>243</v>
      </c>
      <c r="H1427" s="106">
        <v>4</v>
      </c>
      <c r="I1427" s="106" t="s">
        <v>24</v>
      </c>
      <c r="J1427" s="106">
        <v>3985</v>
      </c>
      <c r="K1427" s="106">
        <v>6883</v>
      </c>
      <c r="L1427" s="106">
        <v>6224</v>
      </c>
      <c r="M1427" s="106">
        <v>0.4</v>
      </c>
      <c r="N1427" s="106">
        <v>0.01</v>
      </c>
      <c r="O1427" s="106">
        <v>0.18</v>
      </c>
      <c r="P1427" s="106">
        <v>1432</v>
      </c>
      <c r="Q1427" s="106">
        <v>124.44964327194292</v>
      </c>
      <c r="R1427" s="106">
        <v>2.8391499863731337E-2</v>
      </c>
      <c r="S1427" s="106">
        <v>21173.942259830761</v>
      </c>
      <c r="T1427" s="106">
        <v>20852.317239090757</v>
      </c>
      <c r="U1427" s="106">
        <v>18729.851324757656</v>
      </c>
      <c r="V1427" s="106">
        <v>0.22738525320984218</v>
      </c>
      <c r="W1427" s="106">
        <v>130725.0252498685</v>
      </c>
      <c r="X1427" s="110">
        <v>0.65911938036417128</v>
      </c>
      <c r="Y1427" s="106">
        <v>617.78815489749434</v>
      </c>
      <c r="Z1427" s="106">
        <v>20.59339407744875</v>
      </c>
      <c r="AA1427" s="106">
        <v>78555.890003002365</v>
      </c>
      <c r="AB1427" s="106">
        <v>624.34218960827843</v>
      </c>
      <c r="AC1427" s="106">
        <v>1.2729790216389638</v>
      </c>
      <c r="AD1427" s="106">
        <v>30.969827586206893</v>
      </c>
      <c r="AE1427" s="106">
        <v>125.82185107863604</v>
      </c>
      <c r="AF1427" s="106">
        <v>1.7218302235341466E-2</v>
      </c>
      <c r="AG1427" s="106">
        <v>3815</v>
      </c>
      <c r="AH1427" s="106">
        <v>20824.647751783639</v>
      </c>
      <c r="AI1427" s="106">
        <v>20824.647751783639</v>
      </c>
      <c r="AJ1427" s="106">
        <v>21377.359548697528</v>
      </c>
      <c r="AK1427" s="104">
        <v>19673.408661025387</v>
      </c>
      <c r="AL1427" s="118">
        <v>51708996</v>
      </c>
      <c r="AM1427" s="118">
        <v>8907</v>
      </c>
      <c r="AN1427" s="118">
        <v>180806</v>
      </c>
      <c r="AO1427" s="118">
        <v>821</v>
      </c>
      <c r="AP1427" s="118">
        <f t="shared" si="22"/>
        <v>170</v>
      </c>
    </row>
    <row r="1428" spans="1:42" ht="12.75">
      <c r="A1428" s="106">
        <v>2018</v>
      </c>
      <c r="B1428" s="106">
        <v>-101912</v>
      </c>
      <c r="C1428" s="106">
        <v>0</v>
      </c>
      <c r="D1428" s="106">
        <v>101912</v>
      </c>
      <c r="E1428" s="106" t="s">
        <v>2324</v>
      </c>
      <c r="F1428" s="106" t="s">
        <v>1600</v>
      </c>
      <c r="G1428" s="106" t="s">
        <v>85</v>
      </c>
      <c r="H1428" s="106">
        <v>7</v>
      </c>
      <c r="I1428" s="106" t="s">
        <v>3641</v>
      </c>
      <c r="J1428" s="106">
        <v>16720</v>
      </c>
      <c r="K1428" s="106">
        <v>25938</v>
      </c>
      <c r="L1428" s="106">
        <v>25548</v>
      </c>
      <c r="M1428" s="106">
        <v>0.47</v>
      </c>
      <c r="N1428" s="106">
        <v>0.67</v>
      </c>
      <c r="O1428" s="106">
        <v>0.95</v>
      </c>
      <c r="P1428" s="106">
        <v>8242</v>
      </c>
      <c r="Q1428" s="106">
        <v>5504.3947180585292</v>
      </c>
      <c r="R1428" s="106">
        <v>0.28495627064334328</v>
      </c>
      <c r="S1428" s="106">
        <v>39879.167737330477</v>
      </c>
      <c r="T1428" s="106">
        <v>39105.126338329763</v>
      </c>
      <c r="U1428" s="106">
        <v>23165.834907772278</v>
      </c>
      <c r="V1428" s="106">
        <v>0.59623298220210408</v>
      </c>
      <c r="W1428" s="106">
        <v>65664.922242314642</v>
      </c>
      <c r="X1428" s="110">
        <v>0.44187097784806789</v>
      </c>
      <c r="Y1428" s="106">
        <v>331.08730158730157</v>
      </c>
      <c r="Z1428" s="106">
        <v>11.119047619047619</v>
      </c>
      <c r="AA1428" s="106">
        <v>92202.65541417319</v>
      </c>
      <c r="AB1428" s="106">
        <v>777.98822316535131</v>
      </c>
      <c r="AC1428" s="106">
        <v>1.0845674623013972</v>
      </c>
      <c r="AD1428" s="106">
        <v>21.621621621621621</v>
      </c>
      <c r="AE1428" s="106">
        <v>118.51420454545455</v>
      </c>
      <c r="AF1428" s="106">
        <v>3.1973376141978038E-2</v>
      </c>
      <c r="AG1428" s="106">
        <v>15714</v>
      </c>
      <c r="AH1428" s="106">
        <v>29977.593861527479</v>
      </c>
      <c r="AI1428" s="106">
        <v>40397.940042826551</v>
      </c>
      <c r="AJ1428" s="106">
        <v>40945.516059957175</v>
      </c>
      <c r="AK1428" s="104">
        <v>24428.782298358314</v>
      </c>
      <c r="AL1428" s="118"/>
      <c r="AM1428" s="118">
        <v>1650</v>
      </c>
      <c r="AN1428" s="118">
        <v>41717</v>
      </c>
      <c r="AO1428" s="118">
        <v>310</v>
      </c>
      <c r="AP1428" s="118">
        <f t="shared" si="22"/>
        <v>1006</v>
      </c>
    </row>
    <row r="1429" spans="1:42" ht="12.75">
      <c r="A1429" s="106">
        <v>2018</v>
      </c>
      <c r="B1429" s="106">
        <v>-204501</v>
      </c>
      <c r="C1429" s="106">
        <v>0</v>
      </c>
      <c r="D1429" s="106">
        <v>204501</v>
      </c>
      <c r="E1429" s="106" t="s">
        <v>2325</v>
      </c>
      <c r="F1429" s="106" t="s">
        <v>2326</v>
      </c>
      <c r="G1429" s="106" t="s">
        <v>82</v>
      </c>
      <c r="H1429" s="106">
        <v>7</v>
      </c>
      <c r="I1429" s="106" t="s">
        <v>3641</v>
      </c>
      <c r="J1429" s="106">
        <v>53460</v>
      </c>
      <c r="K1429" s="106">
        <v>43407</v>
      </c>
      <c r="L1429" s="106">
        <v>14092</v>
      </c>
      <c r="M1429" s="106">
        <v>0.09</v>
      </c>
      <c r="N1429" s="106">
        <v>0.41</v>
      </c>
      <c r="O1429" s="106">
        <v>0.86</v>
      </c>
      <c r="P1429" s="106">
        <v>27293</v>
      </c>
      <c r="Q1429" s="106">
        <v>21944.514324693042</v>
      </c>
      <c r="R1429" s="106">
        <v>0.41717147445768499</v>
      </c>
      <c r="S1429" s="106">
        <v>53013.093451568893</v>
      </c>
      <c r="T1429" s="106">
        <v>63863.238744884038</v>
      </c>
      <c r="U1429" s="106">
        <v>50855.081558437596</v>
      </c>
      <c r="V1429" s="106">
        <v>0.60286186589966739</v>
      </c>
      <c r="W1429" s="106">
        <v>95807.362182502358</v>
      </c>
      <c r="X1429" s="110">
        <v>0.54389772491754951</v>
      </c>
      <c r="Y1429" s="106">
        <v>276.17151162790697</v>
      </c>
      <c r="Z1429" s="106">
        <v>8.5232558139534884</v>
      </c>
      <c r="AA1429" s="106">
        <v>200143.75722058932</v>
      </c>
      <c r="AB1429" s="106">
        <v>1569.4988487662395</v>
      </c>
      <c r="AC1429" s="106">
        <v>0.49964086508970934</v>
      </c>
      <c r="AD1429" s="106">
        <v>26.315789473684209</v>
      </c>
      <c r="AE1429" s="106">
        <v>127.52080536912752</v>
      </c>
      <c r="AF1429" s="106">
        <v>7.2760006212384043E-2</v>
      </c>
      <c r="AG1429" s="106">
        <v>52762</v>
      </c>
      <c r="AH1429" s="106">
        <v>46299.966916780351</v>
      </c>
      <c r="AI1429" s="106">
        <v>53334.85061391542</v>
      </c>
      <c r="AJ1429" s="106">
        <v>87995.790927694412</v>
      </c>
      <c r="AK1429" s="104">
        <v>51946.48669849932</v>
      </c>
      <c r="AL1429" s="118"/>
      <c r="AM1429" s="118">
        <v>2827</v>
      </c>
      <c r="AN1429" s="118">
        <v>95003</v>
      </c>
      <c r="AO1429" s="118">
        <v>733</v>
      </c>
      <c r="AP1429" s="118">
        <f t="shared" si="22"/>
        <v>698</v>
      </c>
    </row>
    <row r="1430" spans="1:42" ht="12.75">
      <c r="A1430" s="106">
        <v>2018</v>
      </c>
      <c r="B1430" s="106">
        <v>-120254</v>
      </c>
      <c r="C1430" s="106">
        <v>0</v>
      </c>
      <c r="D1430" s="106">
        <v>120254</v>
      </c>
      <c r="E1430" s="106" t="s">
        <v>2327</v>
      </c>
      <c r="F1430" s="106" t="s">
        <v>152</v>
      </c>
      <c r="G1430" s="106" t="s">
        <v>121</v>
      </c>
      <c r="H1430" s="106">
        <v>7</v>
      </c>
      <c r="I1430" s="106" t="s">
        <v>3641</v>
      </c>
      <c r="J1430" s="106">
        <v>52838</v>
      </c>
      <c r="K1430" s="106">
        <v>37173</v>
      </c>
      <c r="L1430" s="106">
        <v>13577</v>
      </c>
      <c r="M1430" s="106">
        <v>0.16</v>
      </c>
      <c r="N1430" s="106">
        <v>0.48</v>
      </c>
      <c r="O1430" s="106">
        <v>0.73</v>
      </c>
      <c r="P1430" s="106">
        <v>31591</v>
      </c>
      <c r="Q1430" s="106">
        <v>21778.882183908045</v>
      </c>
      <c r="R1430" s="106">
        <v>0.42622337958879702</v>
      </c>
      <c r="S1430" s="106">
        <v>55032.6408045977</v>
      </c>
      <c r="T1430" s="106">
        <v>58660.968390804599</v>
      </c>
      <c r="U1430" s="106">
        <v>41325.948871660934</v>
      </c>
      <c r="V1430" s="106">
        <v>0.70944434498089259</v>
      </c>
      <c r="W1430" s="106">
        <v>95752.673345759555</v>
      </c>
      <c r="X1430" s="110">
        <v>0.55921607687502173</v>
      </c>
      <c r="Y1430" s="106">
        <v>293.625</v>
      </c>
      <c r="Z1430" s="106">
        <v>9.7874999999999996</v>
      </c>
      <c r="AA1430" s="106">
        <v>169525.69989003544</v>
      </c>
      <c r="AB1430" s="106">
        <v>1377.5316290553644</v>
      </c>
      <c r="AC1430" s="106">
        <v>0.5898810626640445</v>
      </c>
      <c r="AD1430" s="106">
        <v>25.969387755102041</v>
      </c>
      <c r="AE1430" s="106">
        <v>123.06483300589392</v>
      </c>
      <c r="AF1430" s="106">
        <v>4.554656883902039E-2</v>
      </c>
      <c r="AG1430" s="106">
        <v>52260</v>
      </c>
      <c r="AH1430" s="106">
        <v>45972.248563218389</v>
      </c>
      <c r="AI1430" s="106">
        <v>55216.77825670498</v>
      </c>
      <c r="AJ1430" s="106">
        <v>71700.786877394639</v>
      </c>
      <c r="AK1430" s="104">
        <v>47402.496168582373</v>
      </c>
      <c r="AM1430" s="118">
        <v>1972</v>
      </c>
      <c r="AN1430" s="118">
        <v>62640</v>
      </c>
      <c r="AO1430" s="118">
        <v>509</v>
      </c>
      <c r="AP1430" s="118">
        <f t="shared" si="22"/>
        <v>578</v>
      </c>
    </row>
    <row r="1431" spans="1:42" ht="12.75">
      <c r="A1431" s="106">
        <v>2018</v>
      </c>
      <c r="B1431" s="106">
        <v>-185873</v>
      </c>
      <c r="C1431" s="106">
        <v>0</v>
      </c>
      <c r="D1431" s="106">
        <v>185873</v>
      </c>
      <c r="E1431" s="106" t="s">
        <v>2328</v>
      </c>
      <c r="F1431" s="106" t="s">
        <v>2329</v>
      </c>
      <c r="G1431" s="106" t="s">
        <v>234</v>
      </c>
      <c r="H1431" s="106">
        <v>4</v>
      </c>
      <c r="I1431" s="106" t="s">
        <v>24</v>
      </c>
      <c r="J1431" s="106">
        <v>4465</v>
      </c>
      <c r="K1431" s="106">
        <v>11013</v>
      </c>
      <c r="L1431" s="106">
        <v>10049</v>
      </c>
      <c r="M1431" s="106">
        <v>0.39</v>
      </c>
      <c r="N1431" s="106">
        <v>0.17</v>
      </c>
      <c r="O1431" s="106">
        <v>0.01</v>
      </c>
      <c r="P1431" s="106">
        <v>797</v>
      </c>
      <c r="Q1431" s="106">
        <v>76.550524737631179</v>
      </c>
      <c r="R1431" s="106">
        <v>1.3443129563258367E-2</v>
      </c>
      <c r="S1431" s="106">
        <v>12706.200899550226</v>
      </c>
      <c r="T1431" s="106">
        <v>12520.297451274362</v>
      </c>
      <c r="U1431" s="106">
        <v>8531.0291565741118</v>
      </c>
      <c r="V1431" s="106">
        <v>0.65851926811580397</v>
      </c>
      <c r="W1431" s="106">
        <v>74308.143573667723</v>
      </c>
      <c r="X1431" s="110">
        <v>0.47308084465280392</v>
      </c>
      <c r="Y1431" s="106">
        <v>919.33690658499222</v>
      </c>
      <c r="Z1431" s="106">
        <v>30.643185298621741</v>
      </c>
      <c r="AA1431" s="106">
        <v>37484.825081916555</v>
      </c>
      <c r="AB1431" s="106">
        <v>284.35484897905303</v>
      </c>
      <c r="AC1431" s="106">
        <v>2.6677462088049611</v>
      </c>
      <c r="AD1431" s="106">
        <v>25.855901890648951</v>
      </c>
      <c r="AE1431" s="106">
        <v>131.82411067193675</v>
      </c>
      <c r="AF1431" s="106">
        <v>0.12476637920118042</v>
      </c>
      <c r="AG1431" s="106">
        <v>3480</v>
      </c>
      <c r="AH1431" s="106">
        <v>11165.730434782608</v>
      </c>
      <c r="AI1431" s="106">
        <v>12432.930434782609</v>
      </c>
      <c r="AJ1431" s="106">
        <v>12824.54587706147</v>
      </c>
      <c r="AK1431" s="104">
        <v>12058.704497751125</v>
      </c>
      <c r="AL1431" s="118">
        <v>28313357</v>
      </c>
      <c r="AM1431" s="118">
        <v>8377</v>
      </c>
      <c r="AN1431" s="118">
        <v>200109</v>
      </c>
      <c r="AO1431" s="118">
        <v>1476</v>
      </c>
      <c r="AP1431" s="118">
        <f t="shared" si="22"/>
        <v>985</v>
      </c>
    </row>
    <row r="1432" spans="1:42" ht="12.75">
      <c r="A1432" s="106">
        <v>2018</v>
      </c>
      <c r="B1432" s="106">
        <v>1668</v>
      </c>
      <c r="C1432" s="106">
        <v>1</v>
      </c>
      <c r="D1432" s="106">
        <v>420431</v>
      </c>
      <c r="E1432" s="106" t="s">
        <v>3863</v>
      </c>
      <c r="F1432" s="106" t="s">
        <v>2330</v>
      </c>
      <c r="G1432" s="106" t="s">
        <v>63</v>
      </c>
      <c r="H1432" s="106">
        <v>4</v>
      </c>
      <c r="I1432" s="106" t="s">
        <v>24</v>
      </c>
      <c r="J1432" s="106">
        <v>2674</v>
      </c>
      <c r="K1432" s="106">
        <v>410</v>
      </c>
      <c r="L1432" s="106">
        <v>-897</v>
      </c>
      <c r="M1432" s="106">
        <v>0.78</v>
      </c>
      <c r="N1432" s="106">
        <v>0.02</v>
      </c>
      <c r="O1432" s="106">
        <v>0</v>
      </c>
      <c r="P1432" s="106"/>
      <c r="Q1432" s="106"/>
      <c r="R1432" s="106"/>
      <c r="S1432" s="106">
        <v>19221.13751263903</v>
      </c>
      <c r="T1432" s="106">
        <v>20472.330637007079</v>
      </c>
      <c r="U1432" s="106">
        <v>19031.740141557129</v>
      </c>
      <c r="V1432" s="106">
        <v>0.17845028296351936</v>
      </c>
      <c r="W1432" s="106">
        <v>51592.969696969696</v>
      </c>
      <c r="X1432" s="110">
        <v>0.58862530427144388</v>
      </c>
      <c r="Y1432" s="106">
        <v>308.90625</v>
      </c>
      <c r="Z1432" s="106">
        <v>10.302083333333334</v>
      </c>
      <c r="AA1432" s="106">
        <v>23616.550815558345</v>
      </c>
      <c r="AB1432" s="106">
        <v>634.71222390827859</v>
      </c>
      <c r="AC1432" s="106">
        <v>4.2343185836485917</v>
      </c>
      <c r="AD1432" s="106">
        <v>114.67625899280576</v>
      </c>
      <c r="AE1432" s="106">
        <v>37.208281053952319</v>
      </c>
      <c r="AF1432" s="106">
        <v>-4.4789680827644375E-2</v>
      </c>
      <c r="AG1432" s="106">
        <v>2136</v>
      </c>
      <c r="AH1432" s="106">
        <v>16509.53286147624</v>
      </c>
      <c r="AI1432" s="106">
        <v>17083.623862487362</v>
      </c>
      <c r="AJ1432" s="106">
        <v>19221.13751263903</v>
      </c>
      <c r="AK1432" s="104">
        <v>21264.198179979776</v>
      </c>
      <c r="AL1432" s="118">
        <v>9518670</v>
      </c>
      <c r="AM1432" s="118">
        <v>1452</v>
      </c>
      <c r="AN1432" s="118">
        <v>29655</v>
      </c>
      <c r="AO1432" s="118">
        <v>67</v>
      </c>
      <c r="AP1432" s="118">
        <f t="shared" si="22"/>
        <v>538</v>
      </c>
    </row>
    <row r="1433" spans="1:42" ht="12.75">
      <c r="A1433" s="106">
        <v>2018</v>
      </c>
      <c r="B1433" s="106">
        <v>-227304</v>
      </c>
      <c r="C1433" s="106">
        <v>0</v>
      </c>
      <c r="D1433" s="106">
        <v>227304</v>
      </c>
      <c r="E1433" s="106" t="s">
        <v>2331</v>
      </c>
      <c r="F1433" s="106" t="s">
        <v>2332</v>
      </c>
      <c r="G1433" s="106" t="s">
        <v>60</v>
      </c>
      <c r="H1433" s="106">
        <v>4</v>
      </c>
      <c r="I1433" s="106" t="s">
        <v>24</v>
      </c>
      <c r="J1433" s="106">
        <v>2778</v>
      </c>
      <c r="K1433" s="106">
        <v>7180</v>
      </c>
      <c r="L1433" s="106">
        <v>6616</v>
      </c>
      <c r="M1433" s="106">
        <v>0.45</v>
      </c>
      <c r="N1433" s="106">
        <v>0.03</v>
      </c>
      <c r="O1433" s="106">
        <v>0.23</v>
      </c>
      <c r="P1433" s="106">
        <v>3923</v>
      </c>
      <c r="Q1433" s="106">
        <v>920.55228276877756</v>
      </c>
      <c r="R1433" s="106">
        <v>0.25871724513971711</v>
      </c>
      <c r="S1433" s="106">
        <v>15445.117574864997</v>
      </c>
      <c r="T1433" s="106">
        <v>13412.923907707413</v>
      </c>
      <c r="U1433" s="106">
        <v>10814.199250173837</v>
      </c>
      <c r="V1433" s="106">
        <v>0.24390045520398537</v>
      </c>
      <c r="W1433" s="106">
        <v>70511.61605723371</v>
      </c>
      <c r="X1433" s="110">
        <v>0.54109755221830103</v>
      </c>
      <c r="Y1433" s="106">
        <v>647.76678445229686</v>
      </c>
      <c r="Z1433" s="106">
        <v>21.593639575971732</v>
      </c>
      <c r="AA1433" s="106">
        <v>27062.068639562782</v>
      </c>
      <c r="AB1433" s="106">
        <v>360.49690492920672</v>
      </c>
      <c r="AC1433" s="106">
        <v>3.6952090149460064</v>
      </c>
      <c r="AD1433" s="106">
        <v>46.368555966960976</v>
      </c>
      <c r="AE1433" s="106">
        <v>75.068796068796075</v>
      </c>
      <c r="AF1433" s="106">
        <v>0.20062084166763702</v>
      </c>
      <c r="AG1433" s="106">
        <v>2088</v>
      </c>
      <c r="AH1433" s="106">
        <v>14113.35174275896</v>
      </c>
      <c r="AI1433" s="106">
        <v>14129.705449189985</v>
      </c>
      <c r="AJ1433" s="106">
        <v>15535.436917034855</v>
      </c>
      <c r="AK1433" s="104">
        <v>12776.964899361807</v>
      </c>
      <c r="AL1433" s="118">
        <v>39343386</v>
      </c>
      <c r="AM1433" s="118">
        <v>6282</v>
      </c>
      <c r="AN1433" s="118">
        <v>122212</v>
      </c>
      <c r="AO1433" s="118">
        <v>750</v>
      </c>
      <c r="AP1433" s="118">
        <f t="shared" si="22"/>
        <v>690</v>
      </c>
    </row>
    <row r="1434" spans="1:42" ht="12.75">
      <c r="A1434" s="106">
        <v>2018</v>
      </c>
      <c r="B1434" s="106">
        <v>-366465</v>
      </c>
      <c r="C1434" s="106">
        <v>0</v>
      </c>
      <c r="D1434" s="106">
        <v>366465</v>
      </c>
      <c r="E1434" s="106" t="s">
        <v>2333</v>
      </c>
      <c r="F1434" s="106" t="s">
        <v>1335</v>
      </c>
      <c r="G1434" s="106" t="s">
        <v>63</v>
      </c>
      <c r="H1434" s="106">
        <v>4</v>
      </c>
      <c r="I1434" s="106" t="s">
        <v>24</v>
      </c>
      <c r="J1434" s="106">
        <v>2872</v>
      </c>
      <c r="K1434" s="106">
        <v>2009</v>
      </c>
      <c r="L1434" s="106">
        <v>1094</v>
      </c>
      <c r="M1434" s="106">
        <v>0.7</v>
      </c>
      <c r="N1434" s="106">
        <v>0.06</v>
      </c>
      <c r="O1434" s="106">
        <v>0</v>
      </c>
      <c r="P1434" s="106"/>
      <c r="Q1434" s="106"/>
      <c r="R1434" s="106"/>
      <c r="S1434" s="106">
        <v>12244.508376288661</v>
      </c>
      <c r="T1434" s="106">
        <v>12689.8125</v>
      </c>
      <c r="U1434" s="106">
        <v>10993.553479381444</v>
      </c>
      <c r="V1434" s="106">
        <v>0.33535826261817564</v>
      </c>
      <c r="W1434" s="106">
        <v>62307.408620689654</v>
      </c>
      <c r="X1434" s="110">
        <v>0.61164510719162501</v>
      </c>
      <c r="Y1434" s="106">
        <v>478.20205479452056</v>
      </c>
      <c r="Z1434" s="106">
        <v>15.945205479452056</v>
      </c>
      <c r="AA1434" s="106">
        <v>11329.345949535193</v>
      </c>
      <c r="AB1434" s="106">
        <v>366.56987861209581</v>
      </c>
      <c r="AC1434" s="106">
        <v>8.8266348689001486</v>
      </c>
      <c r="AD1434" s="106">
        <v>129.04884318766068</v>
      </c>
      <c r="AE1434" s="106">
        <v>30.906374501992033</v>
      </c>
      <c r="AF1434" s="106">
        <v>-5.4383543276508815E-3</v>
      </c>
      <c r="AG1434" s="106">
        <v>2136</v>
      </c>
      <c r="AH1434" s="106">
        <v>10185.917525773197</v>
      </c>
      <c r="AI1434" s="106">
        <v>10390.753221649484</v>
      </c>
      <c r="AJ1434" s="106">
        <v>12245.021907216495</v>
      </c>
      <c r="AK1434" s="104">
        <v>12901.94780927835</v>
      </c>
      <c r="AL1434" s="118">
        <v>8533843</v>
      </c>
      <c r="AM1434" s="118">
        <v>1984</v>
      </c>
      <c r="AN1434" s="118">
        <v>46545</v>
      </c>
      <c r="AO1434" s="118">
        <v>197</v>
      </c>
      <c r="AP1434" s="118">
        <f t="shared" si="22"/>
        <v>736</v>
      </c>
    </row>
    <row r="1435" spans="1:42" ht="12.75">
      <c r="A1435" s="106">
        <v>2018</v>
      </c>
      <c r="B1435" s="106">
        <v>-140696</v>
      </c>
      <c r="C1435" s="106">
        <v>0</v>
      </c>
      <c r="D1435" s="106">
        <v>140696</v>
      </c>
      <c r="E1435" s="106" t="s">
        <v>2334</v>
      </c>
      <c r="F1435" s="106" t="s">
        <v>230</v>
      </c>
      <c r="G1435" s="106" t="s">
        <v>63</v>
      </c>
      <c r="H1435" s="106">
        <v>7</v>
      </c>
      <c r="I1435" s="106" t="s">
        <v>3641</v>
      </c>
      <c r="J1435" s="106">
        <v>36680</v>
      </c>
      <c r="K1435" s="106">
        <v>21793</v>
      </c>
      <c r="L1435" s="106">
        <v>19145</v>
      </c>
      <c r="M1435" s="106">
        <v>0.43</v>
      </c>
      <c r="N1435" s="106">
        <v>0.92</v>
      </c>
      <c r="O1435" s="106">
        <v>1</v>
      </c>
      <c r="P1435" s="106">
        <v>24139</v>
      </c>
      <c r="Q1435" s="106">
        <v>18992.065598779558</v>
      </c>
      <c r="R1435" s="106">
        <v>0.5974146516923251</v>
      </c>
      <c r="S1435" s="106">
        <v>33050.382151029749</v>
      </c>
      <c r="T1435" s="106">
        <v>21218.722349351639</v>
      </c>
      <c r="U1435" s="106">
        <v>18630.858886346301</v>
      </c>
      <c r="V1435" s="106">
        <v>0.68694413638191865</v>
      </c>
      <c r="W1435" s="106">
        <v>75601.365137614688</v>
      </c>
      <c r="X1435" s="110">
        <v>0.4937225501204357</v>
      </c>
      <c r="Y1435" s="106">
        <v>487.52479338842971</v>
      </c>
      <c r="Z1435" s="106">
        <v>16.25206611570248</v>
      </c>
      <c r="AA1435" s="106">
        <v>111022.98181818181</v>
      </c>
      <c r="AB1435" s="106">
        <v>621.07600376331777</v>
      </c>
      <c r="AC1435" s="106">
        <v>0.90071441391986984</v>
      </c>
      <c r="AD1435" s="106">
        <v>18.348623853211009</v>
      </c>
      <c r="AE1435" s="106">
        <v>178.7590909090909</v>
      </c>
      <c r="AF1435" s="106">
        <v>0.23790447345131605</v>
      </c>
      <c r="AG1435" s="106">
        <v>36400</v>
      </c>
      <c r="AH1435" s="106">
        <v>20258.599542334097</v>
      </c>
      <c r="AI1435" s="106">
        <v>33050.381388253241</v>
      </c>
      <c r="AJ1435" s="106">
        <v>35736.583524027461</v>
      </c>
      <c r="AK1435" s="104">
        <v>18630.858886346301</v>
      </c>
      <c r="AL1435" s="118"/>
      <c r="AM1435" s="118">
        <v>1250</v>
      </c>
      <c r="AN1435" s="118">
        <v>39327</v>
      </c>
      <c r="AO1435" s="118">
        <v>204</v>
      </c>
      <c r="AP1435" s="118">
        <f t="shared" si="22"/>
        <v>280</v>
      </c>
    </row>
    <row r="1436" spans="1:42" ht="12.75">
      <c r="A1436" s="106">
        <v>2018</v>
      </c>
      <c r="B1436" s="106">
        <v>-201964</v>
      </c>
      <c r="C1436" s="106">
        <v>0</v>
      </c>
      <c r="D1436" s="106">
        <v>201964</v>
      </c>
      <c r="E1436" s="106" t="s">
        <v>2335</v>
      </c>
      <c r="F1436" s="106" t="s">
        <v>2336</v>
      </c>
      <c r="G1436" s="106" t="s">
        <v>82</v>
      </c>
      <c r="H1436" s="106">
        <v>7</v>
      </c>
      <c r="I1436" s="106" t="s">
        <v>3641</v>
      </c>
      <c r="J1436" s="106">
        <v>12030</v>
      </c>
      <c r="K1436" s="106">
        <v>25075</v>
      </c>
      <c r="L1436" s="106">
        <v>26875</v>
      </c>
      <c r="M1436" s="106">
        <v>0.63</v>
      </c>
      <c r="N1436" s="106">
        <v>0.74</v>
      </c>
      <c r="O1436" s="106">
        <v>0.55000000000000004</v>
      </c>
      <c r="P1436" s="106">
        <v>7073</v>
      </c>
      <c r="Q1436" s="106">
        <v>1918.0275173873601</v>
      </c>
      <c r="R1436" s="106">
        <v>0.17632784765764029</v>
      </c>
      <c r="S1436" s="106">
        <v>10635.356214091322</v>
      </c>
      <c r="T1436" s="106">
        <v>10290.111279104929</v>
      </c>
      <c r="U1436" s="106">
        <v>6935.271242818264</v>
      </c>
      <c r="V1436" s="106">
        <v>1.2918879847178162</v>
      </c>
      <c r="W1436" s="106">
        <v>34003.535185185188</v>
      </c>
      <c r="X1436" s="110">
        <v>0.53958959250469252</v>
      </c>
      <c r="Y1436" s="106">
        <v>311.71794871794873</v>
      </c>
      <c r="Z1436" s="106">
        <v>10.599358974358974</v>
      </c>
      <c r="AA1436" s="106">
        <v>29105.256345177666</v>
      </c>
      <c r="AB1436" s="106">
        <v>235.82032985111459</v>
      </c>
      <c r="AC1436" s="106">
        <v>3.4358055058521626</v>
      </c>
      <c r="AD1436" s="106">
        <v>22.656699252443932</v>
      </c>
      <c r="AE1436" s="106">
        <v>123.42131979695432</v>
      </c>
      <c r="AF1436" s="106">
        <v>4.6460325137449729E-2</v>
      </c>
      <c r="AG1436" s="106">
        <v>10680</v>
      </c>
      <c r="AH1436" s="106">
        <v>10134.375566979135</v>
      </c>
      <c r="AI1436" s="106">
        <v>10502.333837314787</v>
      </c>
      <c r="AJ1436" s="106">
        <v>10787.142727547627</v>
      </c>
      <c r="AK1436" s="104">
        <v>6935.271242818264</v>
      </c>
      <c r="AL1436" s="118"/>
      <c r="AM1436" s="118">
        <v>3990</v>
      </c>
      <c r="AN1436" s="118">
        <v>97256</v>
      </c>
      <c r="AO1436" s="118">
        <v>613</v>
      </c>
      <c r="AP1436" s="118">
        <f t="shared" si="22"/>
        <v>1350</v>
      </c>
    </row>
    <row r="1437" spans="1:42" ht="12.75">
      <c r="A1437" s="106">
        <v>2018</v>
      </c>
      <c r="B1437" s="106">
        <v>-204617</v>
      </c>
      <c r="C1437" s="106">
        <v>0</v>
      </c>
      <c r="D1437" s="106">
        <v>204617</v>
      </c>
      <c r="E1437" s="106" t="s">
        <v>2337</v>
      </c>
      <c r="F1437" s="106" t="s">
        <v>593</v>
      </c>
      <c r="G1437" s="106" t="s">
        <v>82</v>
      </c>
      <c r="H1437" s="106">
        <v>6</v>
      </c>
      <c r="I1437" s="106" t="s">
        <v>3640</v>
      </c>
      <c r="J1437" s="106">
        <v>31080</v>
      </c>
      <c r="K1437" s="106">
        <v>20052</v>
      </c>
      <c r="L1437" s="106">
        <v>17898</v>
      </c>
      <c r="M1437" s="106">
        <v>0.53</v>
      </c>
      <c r="N1437" s="106">
        <v>0.78</v>
      </c>
      <c r="O1437" s="106">
        <v>0.98</v>
      </c>
      <c r="P1437" s="106">
        <v>18663</v>
      </c>
      <c r="Q1437" s="106">
        <v>10287.404730617609</v>
      </c>
      <c r="R1437" s="106">
        <v>0.44503435228630583</v>
      </c>
      <c r="S1437" s="106">
        <v>18299.475689881736</v>
      </c>
      <c r="T1437" s="106">
        <v>21383.456636005256</v>
      </c>
      <c r="U1437" s="106">
        <v>17153.059132720104</v>
      </c>
      <c r="V1437" s="106">
        <v>0.74788841717127041</v>
      </c>
      <c r="W1437" s="106">
        <v>70913.118143459913</v>
      </c>
      <c r="X1437" s="110">
        <v>0.51639540078218205</v>
      </c>
      <c r="Y1437" s="106">
        <v>460.16129032258067</v>
      </c>
      <c r="Z1437" s="106">
        <v>16.365591397849464</v>
      </c>
      <c r="AA1437" s="106">
        <v>55428.781316348199</v>
      </c>
      <c r="AB1437" s="106">
        <v>610.04687463488722</v>
      </c>
      <c r="AC1437" s="106">
        <v>1.8041168798078182</v>
      </c>
      <c r="AD1437" s="106">
        <v>34.708916728076638</v>
      </c>
      <c r="AE1437" s="106">
        <v>90.859872611464965</v>
      </c>
      <c r="AF1437" s="106">
        <v>-5.6047344244762438E-2</v>
      </c>
      <c r="AG1437" s="106">
        <v>30500</v>
      </c>
      <c r="AH1437" s="106">
        <v>17271.050591327203</v>
      </c>
      <c r="AI1437" s="106">
        <v>18299.475689881736</v>
      </c>
      <c r="AJ1437" s="106">
        <v>20140.871879106438</v>
      </c>
      <c r="AK1437" s="104">
        <v>17153.059132720104</v>
      </c>
      <c r="AM1437" s="118">
        <v>1177</v>
      </c>
      <c r="AN1437" s="118">
        <v>42795</v>
      </c>
      <c r="AO1437" s="118">
        <v>253</v>
      </c>
      <c r="AP1437" s="118">
        <f t="shared" si="22"/>
        <v>580</v>
      </c>
    </row>
    <row r="1438" spans="1:42" ht="12.75">
      <c r="A1438" s="106">
        <v>2018</v>
      </c>
      <c r="B1438" s="106">
        <v>-204635</v>
      </c>
      <c r="C1438" s="106">
        <v>0</v>
      </c>
      <c r="D1438" s="106">
        <v>204635</v>
      </c>
      <c r="E1438" s="106" t="s">
        <v>2338</v>
      </c>
      <c r="F1438" s="106" t="s">
        <v>1087</v>
      </c>
      <c r="G1438" s="106" t="s">
        <v>82</v>
      </c>
      <c r="H1438" s="106">
        <v>7</v>
      </c>
      <c r="I1438" s="106" t="s">
        <v>3641</v>
      </c>
      <c r="J1438" s="106">
        <v>30990</v>
      </c>
      <c r="K1438" s="106">
        <v>23567</v>
      </c>
      <c r="L1438" s="106">
        <v>20277</v>
      </c>
      <c r="M1438" s="106">
        <v>0.31</v>
      </c>
      <c r="N1438" s="106">
        <v>0.73</v>
      </c>
      <c r="O1438" s="106">
        <v>0.97</v>
      </c>
      <c r="P1438" s="106">
        <v>20232</v>
      </c>
      <c r="Q1438" s="106">
        <v>16274.626765299261</v>
      </c>
      <c r="R1438" s="106">
        <v>0.50137782528041352</v>
      </c>
      <c r="S1438" s="106">
        <v>31259.82246133154</v>
      </c>
      <c r="T1438" s="106">
        <v>30832.292199058506</v>
      </c>
      <c r="U1438" s="106">
        <v>22947.528830786967</v>
      </c>
      <c r="V1438" s="106">
        <v>0.70531249804745599</v>
      </c>
      <c r="W1438" s="106">
        <v>90428.652906976742</v>
      </c>
      <c r="X1438" s="110">
        <v>0.56541389385361418</v>
      </c>
      <c r="Y1438" s="106">
        <v>274.68392370572207</v>
      </c>
      <c r="Z1438" s="106">
        <v>12.155313351498638</v>
      </c>
      <c r="AA1438" s="106">
        <v>102935.06899360548</v>
      </c>
      <c r="AB1438" s="106">
        <v>1015.4740758676373</v>
      </c>
      <c r="AC1438" s="106">
        <v>0.97148620948815989</v>
      </c>
      <c r="AD1438" s="106">
        <v>22.589437819420784</v>
      </c>
      <c r="AE1438" s="106">
        <v>101.36651583710407</v>
      </c>
      <c r="AF1438" s="106">
        <v>2.0799376088817791E-2</v>
      </c>
      <c r="AG1438" s="106">
        <v>30120</v>
      </c>
      <c r="AH1438" s="106">
        <v>29138.644250168123</v>
      </c>
      <c r="AI1438" s="106">
        <v>31153.71217215871</v>
      </c>
      <c r="AJ1438" s="106">
        <v>34366.352051109614</v>
      </c>
      <c r="AK1438" s="104">
        <v>23821.95292535306</v>
      </c>
      <c r="AM1438" s="118">
        <v>2312</v>
      </c>
      <c r="AN1438" s="118">
        <v>67206</v>
      </c>
      <c r="AO1438" s="118">
        <v>403</v>
      </c>
      <c r="AP1438" s="118">
        <f t="shared" si="22"/>
        <v>870</v>
      </c>
    </row>
    <row r="1439" spans="1:42" ht="12.75">
      <c r="A1439" s="106">
        <v>2018</v>
      </c>
      <c r="B1439" s="106">
        <v>-204662</v>
      </c>
      <c r="C1439" s="106">
        <v>0</v>
      </c>
      <c r="D1439" s="106">
        <v>204662</v>
      </c>
      <c r="E1439" s="106" t="s">
        <v>2339</v>
      </c>
      <c r="F1439" s="106" t="s">
        <v>2340</v>
      </c>
      <c r="G1439" s="106" t="s">
        <v>82</v>
      </c>
      <c r="H1439" s="106">
        <v>4</v>
      </c>
      <c r="I1439" s="106" t="s">
        <v>24</v>
      </c>
      <c r="J1439" s="106">
        <v>7203</v>
      </c>
      <c r="K1439" s="106">
        <v>17307</v>
      </c>
      <c r="L1439" s="106">
        <v>14126</v>
      </c>
      <c r="M1439" s="106">
        <v>0.34</v>
      </c>
      <c r="N1439" s="106">
        <v>0.56000000000000005</v>
      </c>
      <c r="O1439" s="106">
        <v>0.78</v>
      </c>
      <c r="P1439" s="106">
        <v>2534</v>
      </c>
      <c r="Q1439" s="106">
        <v>1203.3759630200309</v>
      </c>
      <c r="R1439" s="106">
        <v>0.14149448889826158</v>
      </c>
      <c r="S1439" s="106">
        <v>17724.533127889059</v>
      </c>
      <c r="T1439" s="106">
        <v>19010.707241910633</v>
      </c>
      <c r="U1439" s="106">
        <v>15864.303236347934</v>
      </c>
      <c r="V1439" s="106">
        <v>0.46023950348827009</v>
      </c>
      <c r="W1439" s="106">
        <v>84413.139344262294</v>
      </c>
      <c r="X1439" s="110">
        <v>0.55646218022136418</v>
      </c>
      <c r="Y1439" s="106">
        <v>503.17241379310349</v>
      </c>
      <c r="Z1439" s="106">
        <v>16.78448275862069</v>
      </c>
      <c r="AA1439" s="106">
        <v>44960.405241876899</v>
      </c>
      <c r="AB1439" s="106">
        <v>529.19062502003544</v>
      </c>
      <c r="AC1439" s="106">
        <v>2.2241792408681023</v>
      </c>
      <c r="AD1439" s="106">
        <v>34.749620637329286</v>
      </c>
      <c r="AE1439" s="106">
        <v>84.960698689956331</v>
      </c>
      <c r="AF1439" s="106">
        <v>-1.4528229795304142E-2</v>
      </c>
      <c r="AG1439" s="106">
        <v>6876</v>
      </c>
      <c r="AH1439" s="106">
        <v>16235.869029275809</v>
      </c>
      <c r="AI1439" s="106">
        <v>16616.255778120183</v>
      </c>
      <c r="AJ1439" s="106">
        <v>18363.075500770417</v>
      </c>
      <c r="AK1439" s="104">
        <v>19010.707241910633</v>
      </c>
      <c r="AL1439" s="119">
        <v>3680301</v>
      </c>
      <c r="AM1439" s="118">
        <v>707</v>
      </c>
      <c r="AN1439" s="118">
        <v>19456</v>
      </c>
      <c r="AO1439" s="118">
        <v>223</v>
      </c>
      <c r="AP1439" s="118">
        <f t="shared" si="22"/>
        <v>327</v>
      </c>
    </row>
    <row r="1440" spans="1:42" ht="12.75">
      <c r="A1440" s="106">
        <v>2018</v>
      </c>
      <c r="B1440" s="106">
        <v>-204671</v>
      </c>
      <c r="C1440" s="106">
        <v>0</v>
      </c>
      <c r="D1440" s="106">
        <v>204671</v>
      </c>
      <c r="E1440" s="106" t="s">
        <v>2341</v>
      </c>
      <c r="F1440" s="106" t="s">
        <v>1610</v>
      </c>
      <c r="G1440" s="106" t="s">
        <v>82</v>
      </c>
      <c r="H1440" s="106">
        <v>3</v>
      </c>
      <c r="I1440" s="104" t="s">
        <v>26</v>
      </c>
      <c r="J1440" s="106">
        <v>7140</v>
      </c>
      <c r="K1440" s="106">
        <v>12957</v>
      </c>
      <c r="L1440" s="106">
        <v>10058</v>
      </c>
      <c r="M1440" s="106">
        <v>0.41</v>
      </c>
      <c r="N1440" s="106">
        <v>0.55000000000000004</v>
      </c>
      <c r="O1440" s="106">
        <v>0.86</v>
      </c>
      <c r="P1440" s="106">
        <v>1945</v>
      </c>
      <c r="Q1440" s="106">
        <v>1193.4024390243903</v>
      </c>
      <c r="R1440" s="106">
        <v>0.14249668131811108</v>
      </c>
      <c r="S1440" s="106">
        <v>15046.754988913526</v>
      </c>
      <c r="T1440" s="106">
        <v>14732.376940133037</v>
      </c>
      <c r="U1440" s="106">
        <v>13248.8409335753</v>
      </c>
      <c r="V1440" s="106">
        <v>0.54205093103604118</v>
      </c>
      <c r="W1440" s="106">
        <v>84225.421404682274</v>
      </c>
      <c r="X1440" s="110">
        <v>0.63170420309010633</v>
      </c>
      <c r="Y1440" s="106">
        <v>574.59574468085111</v>
      </c>
      <c r="Z1440" s="106">
        <v>19.191489361702128</v>
      </c>
      <c r="AA1440" s="106">
        <v>69479.386756307678</v>
      </c>
      <c r="AB1440" s="106">
        <v>442.51109094589799</v>
      </c>
      <c r="AC1440" s="106">
        <v>1.4392758006160942</v>
      </c>
      <c r="AD1440" s="106">
        <v>18.818380743982495</v>
      </c>
      <c r="AE1440" s="106">
        <v>157.01162790697674</v>
      </c>
      <c r="AF1440" s="106">
        <v>5.2406192651089596E-2</v>
      </c>
      <c r="AG1440" s="106">
        <v>6912</v>
      </c>
      <c r="AH1440" s="106">
        <v>13731.69401330377</v>
      </c>
      <c r="AI1440" s="106">
        <v>13717.212860310421</v>
      </c>
      <c r="AJ1440" s="106">
        <v>15273.093126385809</v>
      </c>
      <c r="AK1440" s="104">
        <v>14732.376940133037</v>
      </c>
      <c r="AL1440" s="119">
        <v>3704895</v>
      </c>
      <c r="AM1440" s="118">
        <v>1007</v>
      </c>
      <c r="AN1440" s="118">
        <v>27006</v>
      </c>
      <c r="AO1440" s="118">
        <v>172</v>
      </c>
      <c r="AP1440" s="118">
        <f t="shared" si="22"/>
        <v>228</v>
      </c>
    </row>
    <row r="1441" spans="1:42" ht="12.75">
      <c r="A1441" s="106">
        <v>2018</v>
      </c>
      <c r="B1441" s="106">
        <v>-204796</v>
      </c>
      <c r="C1441" s="106">
        <v>0</v>
      </c>
      <c r="D1441" s="106">
        <v>204796</v>
      </c>
      <c r="E1441" s="106" t="s">
        <v>2342</v>
      </c>
      <c r="F1441" s="106" t="s">
        <v>593</v>
      </c>
      <c r="G1441" s="106" t="s">
        <v>82</v>
      </c>
      <c r="H1441" s="106">
        <v>1</v>
      </c>
      <c r="I1441" s="106" t="s">
        <v>23</v>
      </c>
      <c r="J1441" s="106">
        <v>10592</v>
      </c>
      <c r="K1441" s="106">
        <v>18694</v>
      </c>
      <c r="L1441" s="106">
        <v>8932</v>
      </c>
      <c r="M1441" s="106">
        <v>0.17</v>
      </c>
      <c r="N1441" s="106">
        <v>0.37</v>
      </c>
      <c r="O1441" s="106">
        <v>0.73</v>
      </c>
      <c r="P1441" s="106">
        <v>8867</v>
      </c>
      <c r="Q1441" s="106">
        <v>4766.2891135224527</v>
      </c>
      <c r="R1441" s="106">
        <v>0.25982018717988115</v>
      </c>
      <c r="S1441" s="106">
        <v>109493.84692103886</v>
      </c>
      <c r="T1441" s="106">
        <v>101641.09833437399</v>
      </c>
      <c r="U1441" s="106">
        <v>21541.216198075123</v>
      </c>
      <c r="V1441" s="106">
        <v>0.63033947788305966</v>
      </c>
      <c r="W1441" s="106">
        <v>118966.38082941409</v>
      </c>
      <c r="X1441" s="110">
        <v>0.59917607912551285</v>
      </c>
      <c r="Y1441" s="106">
        <v>351.54356018621149</v>
      </c>
      <c r="Z1441" s="106">
        <v>13.136111726889824</v>
      </c>
      <c r="AA1441" s="106">
        <v>82865.998977495285</v>
      </c>
      <c r="AB1441" s="106">
        <v>804.92961543973809</v>
      </c>
      <c r="AC1441" s="106">
        <v>1.2067675673246629</v>
      </c>
      <c r="AD1441" s="106">
        <v>27.988952685514935</v>
      </c>
      <c r="AE1441" s="106">
        <v>102.94813035575176</v>
      </c>
      <c r="AF1441" s="106">
        <v>0.1920761910261754</v>
      </c>
      <c r="AG1441" s="106">
        <v>9718</v>
      </c>
      <c r="AH1441" s="106">
        <v>104923.79410027507</v>
      </c>
      <c r="AI1441" s="106">
        <v>107741.67159997975</v>
      </c>
      <c r="AJ1441" s="106">
        <v>116906.60330425098</v>
      </c>
      <c r="AK1441" s="104">
        <v>34907.537607371283</v>
      </c>
      <c r="AL1441" s="119">
        <v>452435116</v>
      </c>
      <c r="AM1441" s="118">
        <v>45946</v>
      </c>
      <c r="AN1441" s="118">
        <v>1585813</v>
      </c>
      <c r="AO1441" s="118">
        <v>10970</v>
      </c>
      <c r="AP1441" s="118">
        <f t="shared" si="22"/>
        <v>874</v>
      </c>
    </row>
    <row r="1442" spans="1:42" ht="12.75">
      <c r="A1442" s="106">
        <v>2018</v>
      </c>
      <c r="B1442" s="106">
        <v>-204680</v>
      </c>
      <c r="C1442" s="106">
        <v>0</v>
      </c>
      <c r="D1442" s="106">
        <v>204680</v>
      </c>
      <c r="E1442" s="106" t="s">
        <v>2343</v>
      </c>
      <c r="F1442" s="106" t="s">
        <v>1880</v>
      </c>
      <c r="G1442" s="106" t="s">
        <v>82</v>
      </c>
      <c r="H1442" s="106">
        <v>3</v>
      </c>
      <c r="I1442" s="104" t="s">
        <v>26</v>
      </c>
      <c r="J1442" s="106">
        <v>7140</v>
      </c>
      <c r="K1442" s="106">
        <v>15728</v>
      </c>
      <c r="L1442" s="106">
        <v>13079</v>
      </c>
      <c r="M1442" s="106">
        <v>0.45</v>
      </c>
      <c r="N1442" s="106">
        <v>0.6</v>
      </c>
      <c r="O1442" s="106">
        <v>0.83</v>
      </c>
      <c r="P1442" s="106">
        <v>2215</v>
      </c>
      <c r="Q1442" s="106">
        <v>1375.215625</v>
      </c>
      <c r="R1442" s="106">
        <v>0.16908239412331014</v>
      </c>
      <c r="S1442" s="106">
        <v>16339.932291666666</v>
      </c>
      <c r="T1442" s="106">
        <v>16293.023958333333</v>
      </c>
      <c r="U1442" s="106">
        <v>14620.393706744599</v>
      </c>
      <c r="V1442" s="106">
        <v>0.46224402152834521</v>
      </c>
      <c r="W1442" s="106">
        <v>81688.228813559326</v>
      </c>
      <c r="X1442" s="110">
        <v>0.61626649646771758</v>
      </c>
      <c r="Y1442" s="106">
        <v>556.97419354838712</v>
      </c>
      <c r="Z1442" s="106">
        <v>18.580645161290324</v>
      </c>
      <c r="AA1442" s="106">
        <v>73484.701353271288</v>
      </c>
      <c r="AB1442" s="106">
        <v>487.73596825502364</v>
      </c>
      <c r="AC1442" s="106">
        <v>1.3608274669207505</v>
      </c>
      <c r="AD1442" s="106">
        <v>20.147679324894515</v>
      </c>
      <c r="AE1442" s="106">
        <v>150.66492146596858</v>
      </c>
      <c r="AF1442" s="106">
        <v>5.6690281771678711E-3</v>
      </c>
      <c r="AG1442" s="106">
        <v>6912</v>
      </c>
      <c r="AH1442" s="106">
        <v>14652.31875</v>
      </c>
      <c r="AI1442" s="106">
        <v>14809.653125000001</v>
      </c>
      <c r="AJ1442" s="106">
        <v>16417.118750000001</v>
      </c>
      <c r="AK1442" s="104">
        <v>16293.023958333333</v>
      </c>
      <c r="AL1442" s="118">
        <v>4446944</v>
      </c>
      <c r="AM1442" s="118">
        <v>1056</v>
      </c>
      <c r="AN1442" s="118">
        <v>28777</v>
      </c>
      <c r="AO1442" s="118">
        <v>191</v>
      </c>
      <c r="AP1442" s="118">
        <f t="shared" si="22"/>
        <v>228</v>
      </c>
    </row>
    <row r="1443" spans="1:42" ht="12.75">
      <c r="A1443" s="106">
        <v>2018</v>
      </c>
      <c r="B1443" s="106">
        <v>-204699</v>
      </c>
      <c r="C1443" s="106">
        <v>0</v>
      </c>
      <c r="D1443" s="106">
        <v>204699</v>
      </c>
      <c r="E1443" s="106" t="s">
        <v>2344</v>
      </c>
      <c r="F1443" s="106" t="s">
        <v>1576</v>
      </c>
      <c r="G1443" s="106" t="s">
        <v>82</v>
      </c>
      <c r="H1443" s="106">
        <v>3</v>
      </c>
      <c r="I1443" s="104" t="s">
        <v>26</v>
      </c>
      <c r="J1443" s="106">
        <v>7140</v>
      </c>
      <c r="K1443" s="106">
        <v>12191</v>
      </c>
      <c r="L1443" s="106">
        <v>8590</v>
      </c>
      <c r="M1443" s="106">
        <v>0.33</v>
      </c>
      <c r="N1443" s="106">
        <v>0.42</v>
      </c>
      <c r="O1443" s="106">
        <v>0.85</v>
      </c>
      <c r="P1443" s="106">
        <v>2869</v>
      </c>
      <c r="Q1443" s="106">
        <v>1867.5134615384616</v>
      </c>
      <c r="R1443" s="106">
        <v>0.22348052004239449</v>
      </c>
      <c r="S1443" s="106">
        <v>14987.864423076922</v>
      </c>
      <c r="T1443" s="106">
        <v>17141.592307692306</v>
      </c>
      <c r="U1443" s="106">
        <v>13447.863246918418</v>
      </c>
      <c r="V1443" s="106">
        <v>0.48252868790729708</v>
      </c>
      <c r="W1443" s="106">
        <v>76713.26493506493</v>
      </c>
      <c r="X1443" s="110">
        <v>0.55223692305759231</v>
      </c>
      <c r="Y1443" s="106">
        <v>573.75460122699394</v>
      </c>
      <c r="Z1443" s="106">
        <v>19.141104294478531</v>
      </c>
      <c r="AA1443" s="106">
        <v>84762.289556334275</v>
      </c>
      <c r="AB1443" s="106">
        <v>448.6359715402308</v>
      </c>
      <c r="AC1443" s="106">
        <v>1.1797699250860669</v>
      </c>
      <c r="AD1443" s="106">
        <v>15.463917525773196</v>
      </c>
      <c r="AE1443" s="106">
        <v>188.93333333333334</v>
      </c>
      <c r="AF1443" s="106">
        <v>-6.7828315221555469E-2</v>
      </c>
      <c r="AG1443" s="106">
        <v>6912</v>
      </c>
      <c r="AH1443" s="106">
        <v>13017.722115384615</v>
      </c>
      <c r="AI1443" s="106">
        <v>13337.832692307693</v>
      </c>
      <c r="AJ1443" s="106">
        <v>15212.015384615384</v>
      </c>
      <c r="AK1443" s="104">
        <v>17141.592307692306</v>
      </c>
      <c r="AL1443" s="118">
        <v>4080419</v>
      </c>
      <c r="AM1443" s="118">
        <v>1194</v>
      </c>
      <c r="AN1443" s="118">
        <v>31174</v>
      </c>
      <c r="AO1443" s="118">
        <v>165</v>
      </c>
      <c r="AP1443" s="118">
        <f t="shared" si="22"/>
        <v>228</v>
      </c>
    </row>
    <row r="1444" spans="1:42" ht="12.75">
      <c r="A1444" s="106">
        <v>2018</v>
      </c>
      <c r="B1444" s="106">
        <v>-204705</v>
      </c>
      <c r="C1444" s="106">
        <v>0</v>
      </c>
      <c r="D1444" s="106">
        <v>204705</v>
      </c>
      <c r="E1444" s="106" t="s">
        <v>2345</v>
      </c>
      <c r="F1444" s="106" t="s">
        <v>676</v>
      </c>
      <c r="G1444" s="106" t="s">
        <v>82</v>
      </c>
      <c r="H1444" s="106">
        <v>3</v>
      </c>
      <c r="I1444" s="104" t="s">
        <v>26</v>
      </c>
      <c r="J1444" s="106">
        <v>7140</v>
      </c>
      <c r="K1444" s="106">
        <v>14673</v>
      </c>
      <c r="L1444" s="106">
        <v>12340</v>
      </c>
      <c r="M1444" s="106">
        <v>0.4</v>
      </c>
      <c r="N1444" s="106">
        <v>0.51</v>
      </c>
      <c r="O1444" s="106">
        <v>0.68</v>
      </c>
      <c r="P1444" s="106">
        <v>1984</v>
      </c>
      <c r="Q1444" s="106">
        <v>1285.0958904109589</v>
      </c>
      <c r="R1444" s="106">
        <v>0.15566933399679805</v>
      </c>
      <c r="S1444" s="106">
        <v>14197.663278833406</v>
      </c>
      <c r="T1444" s="106">
        <v>11840.348210340257</v>
      </c>
      <c r="U1444" s="106">
        <v>10105.545208554486</v>
      </c>
      <c r="V1444" s="106">
        <v>0.68973979115206874</v>
      </c>
      <c r="W1444" s="106">
        <v>101760.20204081632</v>
      </c>
      <c r="X1444" s="110">
        <v>0.62030282248270818</v>
      </c>
      <c r="Y1444" s="106">
        <v>833.95081967213105</v>
      </c>
      <c r="Z1444" s="106">
        <v>27.823770491803277</v>
      </c>
      <c r="AA1444" s="106">
        <v>35900.861549385874</v>
      </c>
      <c r="AB1444" s="106">
        <v>337.15941509345407</v>
      </c>
      <c r="AC1444" s="106">
        <v>2.7854484734980023</v>
      </c>
      <c r="AD1444" s="106">
        <v>26.719798657718119</v>
      </c>
      <c r="AE1444" s="106">
        <v>106.48037676609106</v>
      </c>
      <c r="AF1444" s="106">
        <v>0.12819527953023896</v>
      </c>
      <c r="AG1444" s="106">
        <v>6912</v>
      </c>
      <c r="AH1444" s="106">
        <v>12547.498453380469</v>
      </c>
      <c r="AI1444" s="106">
        <v>12774.001325673884</v>
      </c>
      <c r="AJ1444" s="106">
        <v>14290.073353954927</v>
      </c>
      <c r="AK1444" s="104">
        <v>11840.348210340257</v>
      </c>
      <c r="AL1444" s="118">
        <v>7245688</v>
      </c>
      <c r="AM1444" s="118">
        <v>2607</v>
      </c>
      <c r="AN1444" s="118">
        <v>67828</v>
      </c>
      <c r="AO1444" s="118">
        <v>637</v>
      </c>
      <c r="AP1444" s="118">
        <f t="shared" si="22"/>
        <v>228</v>
      </c>
    </row>
    <row r="1445" spans="1:42" ht="12.75">
      <c r="A1445" s="106">
        <v>2018</v>
      </c>
      <c r="B1445" s="106">
        <v>-204820</v>
      </c>
      <c r="C1445" s="106">
        <v>0</v>
      </c>
      <c r="D1445" s="106">
        <v>204820</v>
      </c>
      <c r="E1445" s="106" t="s">
        <v>4166</v>
      </c>
      <c r="F1445" s="106" t="s">
        <v>4167</v>
      </c>
      <c r="G1445" s="106" t="s">
        <v>82</v>
      </c>
      <c r="H1445" s="106">
        <v>4</v>
      </c>
      <c r="I1445" s="106" t="s">
        <v>24</v>
      </c>
      <c r="J1445" s="106">
        <v>5060</v>
      </c>
      <c r="K1445" s="106">
        <v>6719</v>
      </c>
      <c r="L1445" s="106">
        <v>5963</v>
      </c>
      <c r="M1445" s="106">
        <v>0.55000000000000004</v>
      </c>
      <c r="N1445" s="106">
        <v>0.45</v>
      </c>
      <c r="O1445" s="106">
        <v>0.28000000000000003</v>
      </c>
      <c r="P1445" s="106">
        <v>2558</v>
      </c>
      <c r="Q1445" s="106">
        <v>523.00427960057061</v>
      </c>
      <c r="R1445" s="106">
        <v>8.8619209522432907E-2</v>
      </c>
      <c r="S1445" s="106">
        <v>10193.138373751783</v>
      </c>
      <c r="T1445" s="106">
        <v>7504.8758915834524</v>
      </c>
      <c r="U1445" s="106">
        <v>8650.947996575198</v>
      </c>
      <c r="V1445" s="106">
        <v>0.62174677313467763</v>
      </c>
      <c r="W1445" s="106">
        <v>66289.198300283286</v>
      </c>
      <c r="X1445" s="110">
        <v>0.74131824521880019</v>
      </c>
      <c r="Y1445" s="106">
        <v>563.27678571428567</v>
      </c>
      <c r="Z1445" s="106">
        <v>18.776785714285712</v>
      </c>
      <c r="AA1445" s="106">
        <v>87256.324397110991</v>
      </c>
      <c r="AB1445" s="106">
        <v>288.37864594603707</v>
      </c>
      <c r="AC1445" s="106">
        <v>1.146048732753072</v>
      </c>
      <c r="AD1445" s="106">
        <v>10.586443259710586</v>
      </c>
      <c r="AE1445" s="106">
        <v>302.57553956834533</v>
      </c>
      <c r="AF1445" s="106"/>
      <c r="AG1445" s="106">
        <v>4994</v>
      </c>
      <c r="AH1445" s="106">
        <v>9997.5427960057059</v>
      </c>
      <c r="AI1445" s="106">
        <v>9997.5427960057059</v>
      </c>
      <c r="AJ1445" s="106">
        <v>10193.138373751783</v>
      </c>
      <c r="AK1445" s="104">
        <v>8942.6533523537801</v>
      </c>
      <c r="AL1445" s="118">
        <v>5805685</v>
      </c>
      <c r="AM1445" s="118">
        <v>1691</v>
      </c>
      <c r="AN1445" s="118">
        <v>42058</v>
      </c>
      <c r="AO1445" s="118">
        <v>139</v>
      </c>
      <c r="AP1445" s="118">
        <f t="shared" si="22"/>
        <v>66</v>
      </c>
    </row>
    <row r="1446" spans="1:42" ht="12.75">
      <c r="A1446" s="106">
        <v>2018</v>
      </c>
      <c r="B1446" s="106">
        <v>-204802</v>
      </c>
      <c r="C1446" s="106">
        <v>0</v>
      </c>
      <c r="D1446" s="106">
        <v>204802</v>
      </c>
      <c r="E1446" s="106" t="s">
        <v>4168</v>
      </c>
      <c r="F1446" s="106" t="s">
        <v>329</v>
      </c>
      <c r="G1446" s="106" t="s">
        <v>82</v>
      </c>
      <c r="H1446" s="106">
        <v>4</v>
      </c>
      <c r="I1446" s="106" t="s">
        <v>24</v>
      </c>
      <c r="J1446" s="106">
        <v>4806</v>
      </c>
      <c r="K1446" s="106">
        <v>6413</v>
      </c>
      <c r="L1446" s="106">
        <v>5441</v>
      </c>
      <c r="M1446" s="106">
        <v>0.44</v>
      </c>
      <c r="N1446" s="106">
        <v>0.28999999999999998</v>
      </c>
      <c r="O1446" s="106">
        <v>0.44</v>
      </c>
      <c r="P1446" s="106">
        <v>2196</v>
      </c>
      <c r="Q1446" s="106">
        <v>938.89499999999998</v>
      </c>
      <c r="R1446" s="106">
        <v>0.16412206290184758</v>
      </c>
      <c r="S1446" s="106">
        <v>9116.5933333333342</v>
      </c>
      <c r="T1446" s="106">
        <v>7712.663333333333</v>
      </c>
      <c r="U1446" s="106">
        <v>8974.5431662478113</v>
      </c>
      <c r="V1446" s="106">
        <v>0.5328200642736346</v>
      </c>
      <c r="W1446" s="106">
        <v>69339.959183673476</v>
      </c>
      <c r="X1446" s="110">
        <v>0.73421632561860384</v>
      </c>
      <c r="Y1446" s="106">
        <v>600.43333333333328</v>
      </c>
      <c r="Z1446" s="106">
        <v>20</v>
      </c>
      <c r="AA1446" s="106">
        <v>384623.2785534776</v>
      </c>
      <c r="AB1446" s="106">
        <v>298.93554098421623</v>
      </c>
      <c r="AC1446" s="106">
        <v>0.25999466380737041</v>
      </c>
      <c r="AD1446" s="106">
        <v>2.9411764705882351</v>
      </c>
      <c r="AE1446" s="106">
        <v>1286.6428571428571</v>
      </c>
      <c r="AF1446" s="106"/>
      <c r="AG1446" s="106">
        <v>4740</v>
      </c>
      <c r="AH1446" s="106">
        <v>8996.06</v>
      </c>
      <c r="AI1446" s="106">
        <v>8996.06</v>
      </c>
      <c r="AJ1446" s="106">
        <v>9116.5933333333342</v>
      </c>
      <c r="AK1446" s="104">
        <v>9254.5583333333325</v>
      </c>
      <c r="AL1446" s="119">
        <v>2088881</v>
      </c>
      <c r="AM1446" s="118">
        <v>611</v>
      </c>
      <c r="AN1446" s="118">
        <v>18013</v>
      </c>
      <c r="AO1446" s="118">
        <v>14</v>
      </c>
      <c r="AP1446" s="118">
        <f t="shared" si="22"/>
        <v>66</v>
      </c>
    </row>
    <row r="1447" spans="1:42" ht="12.75">
      <c r="A1447" s="106">
        <v>2018</v>
      </c>
      <c r="B1447" s="106">
        <v>-204848</v>
      </c>
      <c r="C1447" s="106">
        <v>0</v>
      </c>
      <c r="D1447" s="106">
        <v>204848</v>
      </c>
      <c r="E1447" s="106" t="s">
        <v>4169</v>
      </c>
      <c r="F1447" s="106" t="s">
        <v>177</v>
      </c>
      <c r="G1447" s="106" t="s">
        <v>82</v>
      </c>
      <c r="H1447" s="106">
        <v>4</v>
      </c>
      <c r="I1447" s="106" t="s">
        <v>24</v>
      </c>
      <c r="J1447" s="106">
        <v>5060</v>
      </c>
      <c r="K1447" s="106">
        <v>6690</v>
      </c>
      <c r="L1447" s="106">
        <v>5917</v>
      </c>
      <c r="M1447" s="106">
        <v>0.46</v>
      </c>
      <c r="N1447" s="106">
        <v>0.39</v>
      </c>
      <c r="O1447" s="106">
        <v>0.23</v>
      </c>
      <c r="P1447" s="106">
        <v>2808</v>
      </c>
      <c r="Q1447" s="106">
        <v>675.96960711638246</v>
      </c>
      <c r="R1447" s="106">
        <v>9.4672002478399145E-2</v>
      </c>
      <c r="S1447" s="106">
        <v>11026.730911786508</v>
      </c>
      <c r="T1447" s="106">
        <v>6908.3565604151227</v>
      </c>
      <c r="U1447" s="106">
        <v>7803.1356381010664</v>
      </c>
      <c r="V1447" s="106">
        <v>0.82840440871679788</v>
      </c>
      <c r="W1447" s="106">
        <v>65773.266055045868</v>
      </c>
      <c r="X1447" s="110">
        <v>0.76928844891174541</v>
      </c>
      <c r="Y1447" s="106">
        <v>562.06944444444446</v>
      </c>
      <c r="Z1447" s="106">
        <v>18.736111111111111</v>
      </c>
      <c r="AA1447" s="106">
        <v>104222.07896830038</v>
      </c>
      <c r="AB1447" s="106">
        <v>260.11094852352016</v>
      </c>
      <c r="AC1447" s="106">
        <v>0.95948959174394755</v>
      </c>
      <c r="AD1447" s="106">
        <v>7.9715864246250989</v>
      </c>
      <c r="AE1447" s="106">
        <v>400.68316831683171</v>
      </c>
      <c r="AF1447" s="106"/>
      <c r="AG1447" s="106">
        <v>4994</v>
      </c>
      <c r="AH1447" s="106">
        <v>10866.303928836174</v>
      </c>
      <c r="AI1447" s="106">
        <v>10866.303928836174</v>
      </c>
      <c r="AJ1447" s="106">
        <v>11026.730911786508</v>
      </c>
      <c r="AK1447" s="104">
        <v>8294.3128243143074</v>
      </c>
      <c r="AL1447" s="119">
        <v>5188878</v>
      </c>
      <c r="AM1447" s="118">
        <v>1615</v>
      </c>
      <c r="AN1447" s="118">
        <v>40469</v>
      </c>
      <c r="AO1447" s="118">
        <v>101</v>
      </c>
      <c r="AP1447" s="118">
        <f t="shared" si="22"/>
        <v>66</v>
      </c>
    </row>
    <row r="1448" spans="1:42" ht="12.75">
      <c r="A1448" s="106">
        <v>2018</v>
      </c>
      <c r="B1448" s="106">
        <v>-204857</v>
      </c>
      <c r="C1448" s="106">
        <v>0</v>
      </c>
      <c r="D1448" s="106">
        <v>204857</v>
      </c>
      <c r="E1448" s="106" t="s">
        <v>4170</v>
      </c>
      <c r="F1448" s="106" t="s">
        <v>227</v>
      </c>
      <c r="G1448" s="106" t="s">
        <v>82</v>
      </c>
      <c r="H1448" s="106">
        <v>1</v>
      </c>
      <c r="I1448" s="106" t="s">
        <v>23</v>
      </c>
      <c r="J1448" s="106">
        <v>11896</v>
      </c>
      <c r="K1448" s="106">
        <v>22072</v>
      </c>
      <c r="L1448" s="106">
        <v>16487</v>
      </c>
      <c r="M1448" s="106">
        <v>0.28000000000000003</v>
      </c>
      <c r="N1448" s="106">
        <v>0.66</v>
      </c>
      <c r="O1448" s="106">
        <v>0.8</v>
      </c>
      <c r="P1448" s="106">
        <v>4742</v>
      </c>
      <c r="Q1448" s="106">
        <v>1790.0383277759852</v>
      </c>
      <c r="R1448" s="106">
        <v>0.13256532737659257</v>
      </c>
      <c r="S1448" s="106">
        <v>24084.819834355167</v>
      </c>
      <c r="T1448" s="106">
        <v>20979.786597827257</v>
      </c>
      <c r="U1448" s="106">
        <v>15820.149371350488</v>
      </c>
      <c r="V1448" s="106">
        <v>0.74038664979740976</v>
      </c>
      <c r="W1448" s="106">
        <v>86011.296251089792</v>
      </c>
      <c r="X1448" s="110">
        <v>0.56199506767551499</v>
      </c>
      <c r="Y1448" s="106">
        <v>639.13550506433069</v>
      </c>
      <c r="Z1448" s="106">
        <v>22.905283328770871</v>
      </c>
      <c r="AA1448" s="106">
        <v>43726.071362237286</v>
      </c>
      <c r="AB1448" s="106">
        <v>566.96115422000594</v>
      </c>
      <c r="AC1448" s="106">
        <v>2.2869651190836686</v>
      </c>
      <c r="AD1448" s="106">
        <v>41.815846179346927</v>
      </c>
      <c r="AE1448" s="106">
        <v>77.123575463284112</v>
      </c>
      <c r="AF1448" s="106">
        <v>0.24632577764881591</v>
      </c>
      <c r="AG1448" s="106">
        <v>11896</v>
      </c>
      <c r="AH1448" s="106">
        <v>24041.287691369977</v>
      </c>
      <c r="AI1448" s="106">
        <v>24041.287691369977</v>
      </c>
      <c r="AJ1448" s="106">
        <v>25124.042486823706</v>
      </c>
      <c r="AK1448" s="104">
        <v>20236.015417159659</v>
      </c>
      <c r="AL1448" s="119">
        <v>142436903</v>
      </c>
      <c r="AM1448" s="118">
        <v>23167</v>
      </c>
      <c r="AN1448" s="118">
        <v>778254</v>
      </c>
      <c r="AO1448" s="118">
        <v>7113</v>
      </c>
      <c r="AP1448" s="118">
        <f t="shared" si="22"/>
        <v>0</v>
      </c>
    </row>
    <row r="1449" spans="1:42" ht="12.75">
      <c r="A1449" s="106">
        <v>2018</v>
      </c>
      <c r="B1449" s="106">
        <v>-204839</v>
      </c>
      <c r="C1449" s="106">
        <v>0</v>
      </c>
      <c r="D1449" s="106">
        <v>204839</v>
      </c>
      <c r="E1449" s="106" t="s">
        <v>4171</v>
      </c>
      <c r="F1449" s="106" t="s">
        <v>4172</v>
      </c>
      <c r="G1449" s="106" t="s">
        <v>82</v>
      </c>
      <c r="H1449" s="106">
        <v>4</v>
      </c>
      <c r="I1449" s="106" t="s">
        <v>24</v>
      </c>
      <c r="J1449" s="106">
        <v>4806</v>
      </c>
      <c r="K1449" s="106">
        <v>6466</v>
      </c>
      <c r="L1449" s="106">
        <v>5576</v>
      </c>
      <c r="M1449" s="106">
        <v>0.59</v>
      </c>
      <c r="N1449" s="106">
        <v>0.53</v>
      </c>
      <c r="O1449" s="106">
        <v>0.38</v>
      </c>
      <c r="P1449" s="106">
        <v>2180</v>
      </c>
      <c r="Q1449" s="106">
        <v>659.02194586686176</v>
      </c>
      <c r="R1449" s="106">
        <v>0.11383286886607864</v>
      </c>
      <c r="S1449" s="106">
        <v>9134.7329919531821</v>
      </c>
      <c r="T1449" s="106">
        <v>7349.72860277981</v>
      </c>
      <c r="U1449" s="106">
        <v>8165.3597597080161</v>
      </c>
      <c r="V1449" s="106">
        <v>0.62830788393823178</v>
      </c>
      <c r="W1449" s="106">
        <v>64579.440366972478</v>
      </c>
      <c r="X1449" s="110">
        <v>0.70061746304572703</v>
      </c>
      <c r="Y1449" s="106">
        <v>556.66968325791868</v>
      </c>
      <c r="Z1449" s="106">
        <v>18.556561085972852</v>
      </c>
      <c r="AA1449" s="106">
        <v>85206.464057411125</v>
      </c>
      <c r="AB1449" s="106">
        <v>272.19193307454299</v>
      </c>
      <c r="AC1449" s="106">
        <v>1.1736198785648604</v>
      </c>
      <c r="AD1449" s="106">
        <v>11.665182546749778</v>
      </c>
      <c r="AE1449" s="106">
        <v>313.03816793893128</v>
      </c>
      <c r="AF1449" s="106"/>
      <c r="AG1449" s="106">
        <v>4740</v>
      </c>
      <c r="AH1449" s="106">
        <v>8927.8924652523783</v>
      </c>
      <c r="AI1449" s="106">
        <v>8927.8924652523783</v>
      </c>
      <c r="AJ1449" s="106">
        <v>9134.7329919531821</v>
      </c>
      <c r="AK1449" s="104">
        <v>8664.3035844915867</v>
      </c>
      <c r="AL1449" s="119">
        <v>4591926</v>
      </c>
      <c r="AM1449" s="118">
        <v>1387</v>
      </c>
      <c r="AN1449" s="118">
        <v>41008</v>
      </c>
      <c r="AO1449" s="118">
        <v>131</v>
      </c>
      <c r="AP1449" s="118">
        <f t="shared" si="22"/>
        <v>66</v>
      </c>
    </row>
    <row r="1450" spans="1:42" ht="12.75">
      <c r="A1450" s="106">
        <v>2018</v>
      </c>
      <c r="B1450" s="106">
        <v>-237640</v>
      </c>
      <c r="C1450" s="106">
        <v>0</v>
      </c>
      <c r="D1450" s="106">
        <v>237640</v>
      </c>
      <c r="E1450" s="106" t="s">
        <v>2346</v>
      </c>
      <c r="F1450" s="106" t="s">
        <v>2347</v>
      </c>
      <c r="G1450" s="106" t="s">
        <v>110</v>
      </c>
      <c r="H1450" s="106">
        <v>7</v>
      </c>
      <c r="I1450" s="106" t="s">
        <v>3641</v>
      </c>
      <c r="J1450" s="106">
        <v>21250</v>
      </c>
      <c r="K1450" s="106">
        <v>15896</v>
      </c>
      <c r="L1450" s="106">
        <v>16409</v>
      </c>
      <c r="M1450" s="106">
        <v>0.36</v>
      </c>
      <c r="N1450" s="106">
        <v>0.82</v>
      </c>
      <c r="O1450" s="106">
        <v>0.98</v>
      </c>
      <c r="P1450" s="106">
        <v>12091</v>
      </c>
      <c r="Q1450" s="106">
        <v>10975.912871287128</v>
      </c>
      <c r="R1450" s="106">
        <v>0.70619883315122545</v>
      </c>
      <c r="S1450" s="106">
        <v>17666.263366336632</v>
      </c>
      <c r="T1450" s="106">
        <v>21438.09900990099</v>
      </c>
      <c r="U1450" s="106">
        <v>13316.495049504951</v>
      </c>
      <c r="V1450" s="106">
        <v>0.34290770175602953</v>
      </c>
      <c r="W1450" s="106">
        <v>53614.686792452834</v>
      </c>
      <c r="X1450" s="110">
        <v>0.43745233802317335</v>
      </c>
      <c r="Y1450" s="106">
        <v>400.25892857142856</v>
      </c>
      <c r="Z1450" s="106">
        <v>13.526785714285714</v>
      </c>
      <c r="AA1450" s="106">
        <v>61134.818181818184</v>
      </c>
      <c r="AB1450" s="106">
        <v>450.03212206384262</v>
      </c>
      <c r="AC1450" s="106">
        <v>1.6357290816273422</v>
      </c>
      <c r="AD1450" s="106">
        <v>22.267206477732792</v>
      </c>
      <c r="AE1450" s="106">
        <v>135.84545454545454</v>
      </c>
      <c r="AF1450" s="106">
        <v>0.66614003601698824</v>
      </c>
      <c r="AG1450" s="106">
        <v>21100</v>
      </c>
      <c r="AH1450" s="106">
        <v>17393.421782178219</v>
      </c>
      <c r="AI1450" s="106">
        <v>18420.780198019802</v>
      </c>
      <c r="AJ1450" s="106">
        <v>17818.48910891089</v>
      </c>
      <c r="AK1450" s="104">
        <v>13316.495049504951</v>
      </c>
      <c r="AM1450" s="118">
        <v>527</v>
      </c>
      <c r="AN1450" s="118">
        <v>14943</v>
      </c>
      <c r="AO1450" s="118">
        <v>97</v>
      </c>
      <c r="AP1450" s="118">
        <f t="shared" si="22"/>
        <v>150</v>
      </c>
    </row>
    <row r="1451" spans="1:42" ht="12.75">
      <c r="A1451" s="106">
        <v>2018</v>
      </c>
      <c r="B1451" s="106">
        <v>-204909</v>
      </c>
      <c r="C1451" s="106">
        <v>0</v>
      </c>
      <c r="D1451" s="106">
        <v>204909</v>
      </c>
      <c r="E1451" s="106" t="s">
        <v>2348</v>
      </c>
      <c r="F1451" s="106" t="s">
        <v>2349</v>
      </c>
      <c r="G1451" s="106" t="s">
        <v>82</v>
      </c>
      <c r="H1451" s="106">
        <v>7</v>
      </c>
      <c r="I1451" s="106" t="s">
        <v>3641</v>
      </c>
      <c r="J1451" s="106">
        <v>44690</v>
      </c>
      <c r="K1451" s="106">
        <v>27857</v>
      </c>
      <c r="L1451" s="106">
        <v>20937</v>
      </c>
      <c r="M1451" s="106">
        <v>0.4</v>
      </c>
      <c r="N1451" s="106">
        <v>0.69</v>
      </c>
      <c r="O1451" s="106">
        <v>1</v>
      </c>
      <c r="P1451" s="106">
        <v>29363</v>
      </c>
      <c r="Q1451" s="106">
        <v>25392.446555819479</v>
      </c>
      <c r="R1451" s="106">
        <v>0.65494098308263748</v>
      </c>
      <c r="S1451" s="106">
        <v>40185.412707838477</v>
      </c>
      <c r="T1451" s="106">
        <v>44108.423396674581</v>
      </c>
      <c r="U1451" s="106">
        <v>35559.674370628942</v>
      </c>
      <c r="V1451" s="106">
        <v>0.37621662664582567</v>
      </c>
      <c r="W1451" s="106">
        <v>89847.935151068537</v>
      </c>
      <c r="X1451" s="110">
        <v>0.54714580252168243</v>
      </c>
      <c r="Y1451" s="106">
        <v>287.54459203036055</v>
      </c>
      <c r="Z1451" s="106">
        <v>9.5863377609108156</v>
      </c>
      <c r="AA1451" s="106">
        <v>176644.51811250483</v>
      </c>
      <c r="AB1451" s="106">
        <v>1185.5102082700969</v>
      </c>
      <c r="AC1451" s="106">
        <v>0.56610870843051042</v>
      </c>
      <c r="AD1451" s="106">
        <v>21.8568665377176</v>
      </c>
      <c r="AE1451" s="106">
        <v>149.00294985250738</v>
      </c>
      <c r="AF1451" s="106">
        <v>3.9086665251495185E-2</v>
      </c>
      <c r="AG1451" s="106">
        <v>44430</v>
      </c>
      <c r="AH1451" s="106">
        <v>27582.19239904988</v>
      </c>
      <c r="AI1451" s="106">
        <v>39586.545130641331</v>
      </c>
      <c r="AJ1451" s="106">
        <v>51163.906175771968</v>
      </c>
      <c r="AK1451" s="104">
        <v>36165.353919239904</v>
      </c>
      <c r="AM1451" s="118">
        <v>1560</v>
      </c>
      <c r="AN1451" s="118">
        <v>50512</v>
      </c>
      <c r="AO1451" s="118">
        <v>339</v>
      </c>
      <c r="AP1451" s="118">
        <f t="shared" si="22"/>
        <v>260</v>
      </c>
    </row>
    <row r="1452" spans="1:42" ht="12.75">
      <c r="A1452" s="106">
        <v>2018</v>
      </c>
      <c r="B1452" s="106">
        <v>-120290</v>
      </c>
      <c r="C1452" s="106">
        <v>0</v>
      </c>
      <c r="D1452" s="106">
        <v>120290</v>
      </c>
      <c r="E1452" s="106" t="s">
        <v>2350</v>
      </c>
      <c r="F1452" s="106" t="s">
        <v>1988</v>
      </c>
      <c r="G1452" s="106" t="s">
        <v>121</v>
      </c>
      <c r="H1452" s="106">
        <v>4</v>
      </c>
      <c r="I1452" s="106" t="s">
        <v>24</v>
      </c>
      <c r="J1452" s="106">
        <v>1162</v>
      </c>
      <c r="K1452" s="106">
        <v>12077</v>
      </c>
      <c r="L1452" s="106">
        <v>8386</v>
      </c>
      <c r="M1452" s="106">
        <v>0.25</v>
      </c>
      <c r="N1452" s="106">
        <v>0</v>
      </c>
      <c r="O1452" s="106">
        <v>0.05</v>
      </c>
      <c r="P1452" s="106">
        <v>1351</v>
      </c>
      <c r="Q1452" s="106">
        <v>9.9874112330535834</v>
      </c>
      <c r="R1452" s="106">
        <v>4.6079806036199928E-3</v>
      </c>
      <c r="S1452" s="106">
        <v>13325.201097482246</v>
      </c>
      <c r="T1452" s="106">
        <v>18863.170271142673</v>
      </c>
      <c r="U1452" s="106">
        <v>8713.9741689980074</v>
      </c>
      <c r="V1452" s="106">
        <v>0.24758263242614664</v>
      </c>
      <c r="W1452" s="106">
        <v>139170.67777777778</v>
      </c>
      <c r="X1452" s="110">
        <v>0.53583880544100149</v>
      </c>
      <c r="Y1452" s="106">
        <v>746.48192771084337</v>
      </c>
      <c r="Z1452" s="106">
        <v>24.883534136546185</v>
      </c>
      <c r="AA1452" s="106">
        <v>32941.906010440303</v>
      </c>
      <c r="AB1452" s="106">
        <v>290.47518184959517</v>
      </c>
      <c r="AC1452" s="106">
        <v>3.0356470560114808</v>
      </c>
      <c r="AD1452" s="106">
        <v>30.340614587189929</v>
      </c>
      <c r="AE1452" s="106">
        <v>113.40695546064674</v>
      </c>
      <c r="AF1452" s="106">
        <v>-0.20962888881069291</v>
      </c>
      <c r="AG1452" s="106">
        <v>1104</v>
      </c>
      <c r="AH1452" s="106">
        <v>12845.129438347321</v>
      </c>
      <c r="AI1452" s="106">
        <v>12845.129438347321</v>
      </c>
      <c r="AJ1452" s="106">
        <v>13601.557133634604</v>
      </c>
      <c r="AK1452" s="104">
        <v>10742.663976759199</v>
      </c>
      <c r="AL1452" s="118">
        <v>44482377</v>
      </c>
      <c r="AM1452" s="118">
        <v>9273</v>
      </c>
      <c r="AN1452" s="118">
        <v>185874</v>
      </c>
      <c r="AO1452" s="118">
        <v>1051</v>
      </c>
      <c r="AP1452" s="118">
        <f t="shared" si="22"/>
        <v>58</v>
      </c>
    </row>
    <row r="1453" spans="1:42" ht="12.75">
      <c r="A1453" s="106">
        <v>2018</v>
      </c>
      <c r="B1453" s="106">
        <v>-207403</v>
      </c>
      <c r="C1453" s="106">
        <v>0</v>
      </c>
      <c r="D1453" s="106">
        <v>207403</v>
      </c>
      <c r="E1453" s="106" t="s">
        <v>2351</v>
      </c>
      <c r="F1453" s="106" t="s">
        <v>2352</v>
      </c>
      <c r="G1453" s="106" t="s">
        <v>271</v>
      </c>
      <c r="H1453" s="106">
        <v>7</v>
      </c>
      <c r="I1453" s="106" t="s">
        <v>3641</v>
      </c>
      <c r="J1453" s="106">
        <v>26840</v>
      </c>
      <c r="K1453" s="106">
        <v>20015</v>
      </c>
      <c r="L1453" s="106">
        <v>16940</v>
      </c>
      <c r="M1453" s="106">
        <v>0.45</v>
      </c>
      <c r="N1453" s="106">
        <v>0.62</v>
      </c>
      <c r="O1453" s="106">
        <v>1</v>
      </c>
      <c r="P1453" s="106">
        <v>16233</v>
      </c>
      <c r="Q1453" s="106">
        <v>15543.644683026585</v>
      </c>
      <c r="R1453" s="106">
        <v>0.59287152550214606</v>
      </c>
      <c r="S1453" s="106">
        <v>20466.220858895704</v>
      </c>
      <c r="T1453" s="106">
        <v>23770.152351738241</v>
      </c>
      <c r="U1453" s="106">
        <v>19559.263004663295</v>
      </c>
      <c r="V1453" s="106">
        <v>0.54572174474976243</v>
      </c>
      <c r="W1453" s="106">
        <v>66342.884124087592</v>
      </c>
      <c r="X1453" s="110">
        <v>0.52129412610348191</v>
      </c>
      <c r="Y1453" s="106">
        <v>430.55555555555554</v>
      </c>
      <c r="Z1453" s="106">
        <v>14.488888888888889</v>
      </c>
      <c r="AA1453" s="106">
        <v>92187.755270172056</v>
      </c>
      <c r="AB1453" s="106">
        <v>658.20074730531451</v>
      </c>
      <c r="AC1453" s="106">
        <v>1.0847427590240462</v>
      </c>
      <c r="AD1453" s="106">
        <v>21.012658227848103</v>
      </c>
      <c r="AE1453" s="106">
        <v>140.06024096385542</v>
      </c>
      <c r="AF1453" s="106">
        <v>6.9433756951708947E-2</v>
      </c>
      <c r="AG1453" s="106">
        <v>23940</v>
      </c>
      <c r="AH1453" s="106">
        <v>17398.972903885482</v>
      </c>
      <c r="AI1453" s="106">
        <v>20466.220858895704</v>
      </c>
      <c r="AJ1453" s="106">
        <v>30674.404396728016</v>
      </c>
      <c r="AK1453" s="104">
        <v>19856.867586912067</v>
      </c>
      <c r="AL1453" s="118"/>
      <c r="AM1453" s="118">
        <v>1965</v>
      </c>
      <c r="AN1453" s="118">
        <v>58125</v>
      </c>
      <c r="AO1453" s="118">
        <v>366</v>
      </c>
      <c r="AP1453" s="118">
        <f t="shared" si="22"/>
        <v>2900</v>
      </c>
    </row>
    <row r="1454" spans="1:42" ht="12.75">
      <c r="A1454" s="106">
        <v>2018</v>
      </c>
      <c r="B1454" s="106">
        <v>2090</v>
      </c>
      <c r="C1454" s="106">
        <v>1</v>
      </c>
      <c r="D1454" s="106">
        <v>207324</v>
      </c>
      <c r="E1454" s="106" t="s">
        <v>3864</v>
      </c>
      <c r="F1454" s="106" t="s">
        <v>2353</v>
      </c>
      <c r="G1454" s="106" t="s">
        <v>271</v>
      </c>
      <c r="H1454" s="106">
        <v>6</v>
      </c>
      <c r="I1454" s="106" t="s">
        <v>3640</v>
      </c>
      <c r="J1454" s="106">
        <v>21670</v>
      </c>
      <c r="K1454" s="106">
        <v>20131</v>
      </c>
      <c r="L1454" s="106">
        <v>16485</v>
      </c>
      <c r="M1454" s="106">
        <v>0.28999999999999998</v>
      </c>
      <c r="N1454" s="106">
        <v>0.56999999999999995</v>
      </c>
      <c r="O1454" s="106">
        <v>0.98</v>
      </c>
      <c r="P1454" s="106">
        <v>12280</v>
      </c>
      <c r="Q1454" s="106">
        <v>9093.4562311341087</v>
      </c>
      <c r="R1454" s="106">
        <v>0.44460879713662121</v>
      </c>
      <c r="S1454" s="106">
        <v>21832.025873221217</v>
      </c>
      <c r="T1454" s="106">
        <v>20624.047865459248</v>
      </c>
      <c r="U1454" s="106">
        <v>15587.6670779082</v>
      </c>
      <c r="V1454" s="106">
        <v>0.72873361681106108</v>
      </c>
      <c r="W1454" s="106">
        <v>62773.209930313584</v>
      </c>
      <c r="X1454" s="110">
        <v>0.50225042599742531</v>
      </c>
      <c r="Y1454" s="106">
        <v>455.68707482993199</v>
      </c>
      <c r="Z1454" s="106">
        <v>15.775510204081632</v>
      </c>
      <c r="AA1454" s="106">
        <v>50698.176653112365</v>
      </c>
      <c r="AB1454" s="106">
        <v>539.63216125263659</v>
      </c>
      <c r="AC1454" s="106">
        <v>1.9724575241476854</v>
      </c>
      <c r="AD1454" s="106">
        <v>31.801962533452276</v>
      </c>
      <c r="AE1454" s="106">
        <v>93.949509116409544</v>
      </c>
      <c r="AF1454" s="106">
        <v>0.11428226254849884</v>
      </c>
      <c r="AG1454" s="106">
        <v>21600</v>
      </c>
      <c r="AH1454" s="106">
        <v>18253.402328589909</v>
      </c>
      <c r="AI1454" s="106">
        <v>21837.645536869339</v>
      </c>
      <c r="AJ1454" s="106">
        <v>22143.718844329451</v>
      </c>
      <c r="AK1454" s="104">
        <v>15636.81198792583</v>
      </c>
      <c r="AL1454" s="118"/>
      <c r="AM1454" s="118">
        <v>1972</v>
      </c>
      <c r="AN1454" s="118">
        <v>66986</v>
      </c>
      <c r="AO1454" s="118">
        <v>393</v>
      </c>
      <c r="AP1454" s="118">
        <f t="shared" si="22"/>
        <v>70</v>
      </c>
    </row>
    <row r="1455" spans="1:42" ht="12.75">
      <c r="A1455" s="106">
        <v>2018</v>
      </c>
      <c r="B1455" s="106">
        <v>-207449</v>
      </c>
      <c r="C1455" s="106">
        <v>0</v>
      </c>
      <c r="D1455" s="106">
        <v>207449</v>
      </c>
      <c r="E1455" s="106" t="s">
        <v>2354</v>
      </c>
      <c r="F1455" s="106" t="s">
        <v>1973</v>
      </c>
      <c r="G1455" s="106" t="s">
        <v>271</v>
      </c>
      <c r="H1455" s="106">
        <v>4</v>
      </c>
      <c r="I1455" s="106" t="s">
        <v>24</v>
      </c>
      <c r="J1455" s="106">
        <v>3909</v>
      </c>
      <c r="K1455" s="106">
        <v>7685</v>
      </c>
      <c r="L1455" s="106">
        <v>6436</v>
      </c>
      <c r="M1455" s="106">
        <v>0.48</v>
      </c>
      <c r="N1455" s="106">
        <v>0.22</v>
      </c>
      <c r="O1455" s="106">
        <v>0.05</v>
      </c>
      <c r="P1455" s="106">
        <v>1498</v>
      </c>
      <c r="Q1455" s="106"/>
      <c r="R1455" s="106"/>
      <c r="S1455" s="106">
        <v>10651.629025999224</v>
      </c>
      <c r="T1455" s="106">
        <v>9840.251972577933</v>
      </c>
      <c r="U1455" s="106">
        <v>7095.4249698808817</v>
      </c>
      <c r="V1455" s="106">
        <v>0.59569644653457154</v>
      </c>
      <c r="W1455" s="106">
        <v>87014.03395784543</v>
      </c>
      <c r="X1455" s="110">
        <v>0.65119944547345843</v>
      </c>
      <c r="Y1455" s="106">
        <v>768.8685082872928</v>
      </c>
      <c r="Z1455" s="106">
        <v>25.627624309392264</v>
      </c>
      <c r="AA1455" s="106">
        <v>28570.172105285987</v>
      </c>
      <c r="AB1455" s="106">
        <v>236.50192911223107</v>
      </c>
      <c r="AC1455" s="106">
        <v>3.5001539238714714</v>
      </c>
      <c r="AD1455" s="106">
        <v>27.172374752335127</v>
      </c>
      <c r="AE1455" s="106">
        <v>120.80312499999999</v>
      </c>
      <c r="AF1455" s="106">
        <v>0.17371295600641404</v>
      </c>
      <c r="AG1455" s="106">
        <v>2935</v>
      </c>
      <c r="AH1455" s="106">
        <v>10165.501616867159</v>
      </c>
      <c r="AI1455" s="106">
        <v>10165.501616867159</v>
      </c>
      <c r="AJ1455" s="106">
        <v>10677.778941922132</v>
      </c>
      <c r="AK1455" s="104">
        <v>8124.9305393868835</v>
      </c>
      <c r="AL1455" s="118">
        <v>30509696</v>
      </c>
      <c r="AM1455" s="118">
        <v>12342</v>
      </c>
      <c r="AN1455" s="118">
        <v>231942</v>
      </c>
      <c r="AO1455" s="118">
        <v>1641</v>
      </c>
      <c r="AP1455" s="118">
        <f t="shared" si="22"/>
        <v>974</v>
      </c>
    </row>
    <row r="1456" spans="1:42" ht="12.75">
      <c r="A1456" s="106">
        <v>2018</v>
      </c>
      <c r="B1456" s="106">
        <v>-207458</v>
      </c>
      <c r="C1456" s="106">
        <v>0</v>
      </c>
      <c r="D1456" s="106">
        <v>207458</v>
      </c>
      <c r="E1456" s="106" t="s">
        <v>2355</v>
      </c>
      <c r="F1456" s="106" t="s">
        <v>1973</v>
      </c>
      <c r="G1456" s="106" t="s">
        <v>271</v>
      </c>
      <c r="H1456" s="106">
        <v>6</v>
      </c>
      <c r="I1456" s="106" t="s">
        <v>3640</v>
      </c>
      <c r="J1456" s="106">
        <v>30726</v>
      </c>
      <c r="K1456" s="106">
        <v>26817</v>
      </c>
      <c r="L1456" s="106">
        <v>17897</v>
      </c>
      <c r="M1456" s="106">
        <v>0.22</v>
      </c>
      <c r="N1456" s="106">
        <v>0.41</v>
      </c>
      <c r="O1456" s="106">
        <v>0.98</v>
      </c>
      <c r="P1456" s="106">
        <v>16513</v>
      </c>
      <c r="Q1456" s="106">
        <v>10531.187344472093</v>
      </c>
      <c r="R1456" s="106">
        <v>0.37737071720235849</v>
      </c>
      <c r="S1456" s="106">
        <v>22672.966583718451</v>
      </c>
      <c r="T1456" s="106">
        <v>27425.198720227516</v>
      </c>
      <c r="U1456" s="106">
        <v>24421.934589406326</v>
      </c>
      <c r="V1456" s="106">
        <v>0.71147332165512633</v>
      </c>
      <c r="W1456" s="106">
        <v>72877.896193771623</v>
      </c>
      <c r="X1456" s="110">
        <v>0.54601446763691031</v>
      </c>
      <c r="Y1456" s="106">
        <v>272.90883977900552</v>
      </c>
      <c r="Z1456" s="106">
        <v>11.656077348066297</v>
      </c>
      <c r="AA1456" s="106">
        <v>68767.669669669674</v>
      </c>
      <c r="AB1456" s="106">
        <v>1043.0734262548965</v>
      </c>
      <c r="AC1456" s="106">
        <v>1.4541717129627485</v>
      </c>
      <c r="AD1456" s="106">
        <v>39.548693586698334</v>
      </c>
      <c r="AE1456" s="106">
        <v>65.927927927927925</v>
      </c>
      <c r="AF1456" s="106">
        <v>1.6524926519400376E-2</v>
      </c>
      <c r="AG1456" s="106">
        <v>27276</v>
      </c>
      <c r="AH1456" s="106">
        <v>20910.532883043015</v>
      </c>
      <c r="AI1456" s="106">
        <v>22709.767152506221</v>
      </c>
      <c r="AJ1456" s="106">
        <v>28582.344116601493</v>
      </c>
      <c r="AK1456" s="104">
        <v>24421.934589406326</v>
      </c>
      <c r="AL1456" s="118"/>
      <c r="AM1456" s="118">
        <v>1714</v>
      </c>
      <c r="AN1456" s="118">
        <v>65862</v>
      </c>
      <c r="AO1456" s="118">
        <v>562</v>
      </c>
      <c r="AP1456" s="118">
        <f t="shared" si="22"/>
        <v>3450</v>
      </c>
    </row>
    <row r="1457" spans="1:42" ht="12.75">
      <c r="A1457" s="106">
        <v>2018</v>
      </c>
      <c r="B1457" s="106">
        <v>-207351</v>
      </c>
      <c r="C1457" s="106">
        <v>0</v>
      </c>
      <c r="D1457" s="106">
        <v>207351</v>
      </c>
      <c r="E1457" s="106" t="s">
        <v>2356</v>
      </c>
      <c r="F1457" s="106" t="s">
        <v>2357</v>
      </c>
      <c r="G1457" s="106" t="s">
        <v>271</v>
      </c>
      <c r="H1457" s="106">
        <v>3</v>
      </c>
      <c r="I1457" s="104" t="s">
        <v>26</v>
      </c>
      <c r="J1457" s="106">
        <v>7428</v>
      </c>
      <c r="K1457" s="106">
        <v>8904</v>
      </c>
      <c r="L1457" s="106">
        <v>6790</v>
      </c>
      <c r="M1457" s="106">
        <v>0.59</v>
      </c>
      <c r="N1457" s="106">
        <v>0.8</v>
      </c>
      <c r="O1457" s="106">
        <v>0.78</v>
      </c>
      <c r="P1457" s="106">
        <v>2607</v>
      </c>
      <c r="Q1457" s="106">
        <v>5323.9746192893399</v>
      </c>
      <c r="R1457" s="106">
        <v>0.49481657040569255</v>
      </c>
      <c r="S1457" s="106">
        <v>18622.886294416243</v>
      </c>
      <c r="T1457" s="106">
        <v>21182.900507614213</v>
      </c>
      <c r="U1457" s="106">
        <v>13089.237200439091</v>
      </c>
      <c r="V1457" s="106">
        <v>0.41526612040361649</v>
      </c>
      <c r="W1457" s="106">
        <v>69293.225581395338</v>
      </c>
      <c r="X1457" s="110">
        <v>0.47601026917746175</v>
      </c>
      <c r="Y1457" s="106">
        <v>506.76</v>
      </c>
      <c r="Z1457" s="106">
        <v>16.885714285714286</v>
      </c>
      <c r="AA1457" s="106">
        <v>37588.625779686605</v>
      </c>
      <c r="AB1457" s="106">
        <v>436.1455513153312</v>
      </c>
      <c r="AC1457" s="106">
        <v>2.6603792483959694</v>
      </c>
      <c r="AD1457" s="106">
        <v>35.470527404343329</v>
      </c>
      <c r="AE1457" s="106">
        <v>86.183673469387756</v>
      </c>
      <c r="AF1457" s="106">
        <v>-8.1517701791962369E-2</v>
      </c>
      <c r="AG1457" s="106">
        <v>4928</v>
      </c>
      <c r="AH1457" s="106">
        <v>16695.680203045686</v>
      </c>
      <c r="AI1457" s="106">
        <v>17144.787817258883</v>
      </c>
      <c r="AJ1457" s="106">
        <v>18709.595939086295</v>
      </c>
      <c r="AK1457" s="104">
        <v>15498.279187817259</v>
      </c>
      <c r="AL1457" s="118">
        <v>5581936</v>
      </c>
      <c r="AM1457" s="118">
        <v>1138</v>
      </c>
      <c r="AN1457" s="118">
        <v>29561</v>
      </c>
      <c r="AO1457" s="118">
        <v>340</v>
      </c>
      <c r="AP1457" s="118">
        <f t="shared" si="22"/>
        <v>2500</v>
      </c>
    </row>
    <row r="1458" spans="1:42" ht="12.75">
      <c r="A1458" s="106">
        <v>2018</v>
      </c>
      <c r="B1458" s="106">
        <v>-207564</v>
      </c>
      <c r="C1458" s="106">
        <v>0</v>
      </c>
      <c r="D1458" s="106">
        <v>207564</v>
      </c>
      <c r="E1458" s="106" t="s">
        <v>2358</v>
      </c>
      <c r="F1458" s="106" t="s">
        <v>2359</v>
      </c>
      <c r="G1458" s="106" t="s">
        <v>271</v>
      </c>
      <c r="H1458" s="106">
        <v>3</v>
      </c>
      <c r="I1458" s="104" t="s">
        <v>26</v>
      </c>
      <c r="J1458" s="106">
        <v>5250</v>
      </c>
      <c r="K1458" s="106">
        <v>6707</v>
      </c>
      <c r="L1458" s="106">
        <v>3737</v>
      </c>
      <c r="M1458" s="106">
        <v>0.57999999999999996</v>
      </c>
      <c r="N1458" s="106">
        <v>0.59</v>
      </c>
      <c r="O1458" s="106">
        <v>0.86</v>
      </c>
      <c r="P1458" s="106">
        <v>1419</v>
      </c>
      <c r="Q1458" s="106">
        <v>857.09745939191998</v>
      </c>
      <c r="R1458" s="106">
        <v>0.1618766827649939</v>
      </c>
      <c r="S1458" s="106">
        <v>15845.925031236984</v>
      </c>
      <c r="T1458" s="106">
        <v>18005.61765930862</v>
      </c>
      <c r="U1458" s="106">
        <v>12353.416772822166</v>
      </c>
      <c r="V1458" s="106">
        <v>0.35922515533556559</v>
      </c>
      <c r="W1458" s="106">
        <v>62932.875722543351</v>
      </c>
      <c r="X1458" s="110">
        <v>0.50367859186341213</v>
      </c>
      <c r="Y1458" s="106">
        <v>555.60925449871468</v>
      </c>
      <c r="Z1458" s="106">
        <v>18.516709511568124</v>
      </c>
      <c r="AA1458" s="106">
        <v>45352.528549764553</v>
      </c>
      <c r="AB1458" s="106">
        <v>411.70053955285687</v>
      </c>
      <c r="AC1458" s="106">
        <v>2.2049487249706861</v>
      </c>
      <c r="AD1458" s="106">
        <v>32.106038291605302</v>
      </c>
      <c r="AE1458" s="106">
        <v>110.15902140672783</v>
      </c>
      <c r="AF1458" s="106">
        <v>-0.11474689497263429</v>
      </c>
      <c r="AG1458" s="106">
        <v>4050</v>
      </c>
      <c r="AH1458" s="106">
        <v>15217.814244064974</v>
      </c>
      <c r="AI1458" s="106">
        <v>15414.574344023324</v>
      </c>
      <c r="AJ1458" s="106">
        <v>15894.700124947938</v>
      </c>
      <c r="AK1458" s="104">
        <v>13745.35693461058</v>
      </c>
      <c r="AL1458" s="118">
        <v>12274854</v>
      </c>
      <c r="AM1458" s="118">
        <v>2496</v>
      </c>
      <c r="AN1458" s="118">
        <v>72044</v>
      </c>
      <c r="AO1458" s="118">
        <v>654</v>
      </c>
      <c r="AP1458" s="118">
        <f t="shared" si="22"/>
        <v>1200</v>
      </c>
    </row>
    <row r="1459" spans="1:42" ht="12.75">
      <c r="A1459" s="106">
        <v>2018</v>
      </c>
      <c r="B1459" s="106">
        <v>-207388</v>
      </c>
      <c r="C1459" s="106">
        <v>0</v>
      </c>
      <c r="D1459" s="106">
        <v>207388</v>
      </c>
      <c r="E1459" s="106" t="s">
        <v>2360</v>
      </c>
      <c r="F1459" s="106" t="s">
        <v>2361</v>
      </c>
      <c r="G1459" s="106" t="s">
        <v>271</v>
      </c>
      <c r="H1459" s="106">
        <v>1</v>
      </c>
      <c r="I1459" s="106" t="s">
        <v>23</v>
      </c>
      <c r="J1459" s="106">
        <v>8738</v>
      </c>
      <c r="K1459" s="106">
        <v>15009</v>
      </c>
      <c r="L1459" s="106">
        <v>9320</v>
      </c>
      <c r="M1459" s="106">
        <v>0.28000000000000003</v>
      </c>
      <c r="N1459" s="106">
        <v>0.48</v>
      </c>
      <c r="O1459" s="106">
        <v>0.79</v>
      </c>
      <c r="P1459" s="106">
        <v>7312</v>
      </c>
      <c r="Q1459" s="106">
        <v>4610.7599625568337</v>
      </c>
      <c r="R1459" s="106">
        <v>0.29870468898242841</v>
      </c>
      <c r="S1459" s="106">
        <v>36225.230097173931</v>
      </c>
      <c r="T1459" s="106">
        <v>37433.531158063655</v>
      </c>
      <c r="U1459" s="106">
        <v>13467.145643754233</v>
      </c>
      <c r="V1459" s="106">
        <v>0.8038145282726652</v>
      </c>
      <c r="W1459" s="106">
        <v>88367.9328153565</v>
      </c>
      <c r="X1459" s="110">
        <v>0.53721890394370753</v>
      </c>
      <c r="Y1459" s="106">
        <v>447.24953401677539</v>
      </c>
      <c r="Z1459" s="106">
        <v>15.680801491146317</v>
      </c>
      <c r="AA1459" s="106">
        <v>48588.283269858868</v>
      </c>
      <c r="AB1459" s="106">
        <v>472.16513697730375</v>
      </c>
      <c r="AC1459" s="106">
        <v>2.0581093479800665</v>
      </c>
      <c r="AD1459" s="106">
        <v>28.279061306167002</v>
      </c>
      <c r="AE1459" s="106">
        <v>102.90527500804117</v>
      </c>
      <c r="AF1459" s="106">
        <v>1.5339797762554105E-2</v>
      </c>
      <c r="AG1459" s="106">
        <v>5190</v>
      </c>
      <c r="AH1459" s="106">
        <v>33597.471204421861</v>
      </c>
      <c r="AI1459" s="106">
        <v>35248.155745743068</v>
      </c>
      <c r="AJ1459" s="106">
        <v>36256.272666488367</v>
      </c>
      <c r="AK1459" s="104">
        <v>26580.282473032006</v>
      </c>
      <c r="AL1459" s="119">
        <v>172070572</v>
      </c>
      <c r="AM1459" s="118">
        <v>20992</v>
      </c>
      <c r="AN1459" s="118">
        <v>639865</v>
      </c>
      <c r="AO1459" s="118">
        <v>4744</v>
      </c>
      <c r="AP1459" s="118">
        <f t="shared" si="22"/>
        <v>3548</v>
      </c>
    </row>
    <row r="1460" spans="1:42" ht="12.75">
      <c r="A1460" s="106">
        <v>2018</v>
      </c>
      <c r="B1460" s="106">
        <v>-207397</v>
      </c>
      <c r="C1460" s="106">
        <v>0</v>
      </c>
      <c r="D1460" s="106">
        <v>207397</v>
      </c>
      <c r="E1460" s="106" t="s">
        <v>2362</v>
      </c>
      <c r="F1460" s="106" t="s">
        <v>1973</v>
      </c>
      <c r="G1460" s="106" t="s">
        <v>271</v>
      </c>
      <c r="H1460" s="106">
        <v>4</v>
      </c>
      <c r="I1460" s="106" t="s">
        <v>24</v>
      </c>
      <c r="J1460" s="106">
        <v>3836</v>
      </c>
      <c r="K1460" s="106">
        <v>5678</v>
      </c>
      <c r="L1460" s="106">
        <v>6888</v>
      </c>
      <c r="M1460" s="106">
        <v>0.47</v>
      </c>
      <c r="N1460" s="106">
        <v>0.35</v>
      </c>
      <c r="O1460" s="106">
        <v>0.2</v>
      </c>
      <c r="P1460" s="106">
        <v>752</v>
      </c>
      <c r="Q1460" s="106">
        <v>459.56118029236598</v>
      </c>
      <c r="R1460" s="106">
        <v>0.13188151864654532</v>
      </c>
      <c r="S1460" s="106">
        <v>14830.209258256633</v>
      </c>
      <c r="T1460" s="106">
        <v>14692.691391445587</v>
      </c>
      <c r="U1460" s="106">
        <v>11730.046334547216</v>
      </c>
      <c r="V1460" s="106">
        <v>0.25789247555587641</v>
      </c>
      <c r="W1460" s="106">
        <v>57129.561497326205</v>
      </c>
      <c r="X1460" s="110">
        <v>0.3936717447628828</v>
      </c>
      <c r="Y1460" s="106">
        <v>699.8968421052632</v>
      </c>
      <c r="Z1460" s="106">
        <v>23.330526315789477</v>
      </c>
      <c r="AA1460" s="106">
        <v>46492.265192937142</v>
      </c>
      <c r="AB1460" s="106">
        <v>391.01212954526306</v>
      </c>
      <c r="AC1460" s="106">
        <v>2.1508954142159427</v>
      </c>
      <c r="AD1460" s="106">
        <v>27.516976675524063</v>
      </c>
      <c r="AE1460" s="106">
        <v>118.90236051502146</v>
      </c>
      <c r="AF1460" s="106">
        <v>5.0216123284148532E-2</v>
      </c>
      <c r="AG1460" s="106">
        <v>3055</v>
      </c>
      <c r="AH1460" s="106">
        <v>13148.950189496481</v>
      </c>
      <c r="AI1460" s="106">
        <v>13180.011369788846</v>
      </c>
      <c r="AJ1460" s="106">
        <v>14839.190308608555</v>
      </c>
      <c r="AK1460" s="104">
        <v>13784.339469409853</v>
      </c>
      <c r="AL1460" s="118">
        <v>9937756</v>
      </c>
      <c r="AM1460" s="118">
        <v>5839</v>
      </c>
      <c r="AN1460" s="118">
        <v>110817</v>
      </c>
      <c r="AO1460" s="118">
        <v>857</v>
      </c>
      <c r="AP1460" s="118">
        <f t="shared" si="22"/>
        <v>781</v>
      </c>
    </row>
    <row r="1461" spans="1:42" ht="12.75">
      <c r="A1461" s="106">
        <v>2018</v>
      </c>
      <c r="B1461" s="106">
        <v>-206835</v>
      </c>
      <c r="C1461" s="106">
        <v>0</v>
      </c>
      <c r="D1461" s="106">
        <v>206835</v>
      </c>
      <c r="E1461" s="106" t="s">
        <v>2363</v>
      </c>
      <c r="F1461" s="106" t="s">
        <v>2364</v>
      </c>
      <c r="G1461" s="106" t="s">
        <v>271</v>
      </c>
      <c r="H1461" s="106">
        <v>6</v>
      </c>
      <c r="I1461" s="106" t="s">
        <v>3640</v>
      </c>
      <c r="J1461" s="106">
        <v>26090</v>
      </c>
      <c r="K1461" s="106">
        <v>26061</v>
      </c>
      <c r="L1461" s="106">
        <v>24209</v>
      </c>
      <c r="M1461" s="106">
        <v>0.46</v>
      </c>
      <c r="N1461" s="106">
        <v>0.8</v>
      </c>
      <c r="O1461" s="106">
        <v>1</v>
      </c>
      <c r="P1461" s="106">
        <v>10179</v>
      </c>
      <c r="Q1461" s="106">
        <v>5972.1200369344415</v>
      </c>
      <c r="R1461" s="106">
        <v>0.32051902645719127</v>
      </c>
      <c r="S1461" s="106">
        <v>19082.312096029549</v>
      </c>
      <c r="T1461" s="106">
        <v>18504.986149584489</v>
      </c>
      <c r="U1461" s="106">
        <v>17220.739612188365</v>
      </c>
      <c r="V1461" s="106">
        <v>0.73519105379869798</v>
      </c>
      <c r="W1461" s="106">
        <v>49731.519524617994</v>
      </c>
      <c r="X1461" s="110">
        <v>0.48720142308978137</v>
      </c>
      <c r="Y1461" s="106">
        <v>394.07851239669424</v>
      </c>
      <c r="Z1461" s="106">
        <v>13.425619834710746</v>
      </c>
      <c r="AA1461" s="106">
        <v>55177.695266272189</v>
      </c>
      <c r="AB1461" s="106">
        <v>586.68284626757679</v>
      </c>
      <c r="AC1461" s="106">
        <v>1.8123265119615426</v>
      </c>
      <c r="AD1461" s="106">
        <v>39.578454332552695</v>
      </c>
      <c r="AE1461" s="106">
        <v>94.050295857988161</v>
      </c>
      <c r="AF1461" s="106">
        <v>3.3195821265298173E-2</v>
      </c>
      <c r="AG1461" s="106">
        <v>24710</v>
      </c>
      <c r="AH1461" s="106">
        <v>15841.107109879964</v>
      </c>
      <c r="AI1461" s="106">
        <v>19082.312096029549</v>
      </c>
      <c r="AJ1461" s="106">
        <v>19703.887349953831</v>
      </c>
      <c r="AK1461" s="104">
        <v>17220.739612188365</v>
      </c>
      <c r="AL1461" s="118"/>
      <c r="AM1461" s="118">
        <v>1006</v>
      </c>
      <c r="AN1461" s="118">
        <v>31789</v>
      </c>
      <c r="AO1461" s="118">
        <v>267</v>
      </c>
      <c r="AP1461" s="118">
        <f t="shared" si="22"/>
        <v>1380</v>
      </c>
    </row>
    <row r="1462" spans="1:42" ht="12.75">
      <c r="A1462" s="106">
        <v>2018</v>
      </c>
      <c r="B1462" s="106">
        <v>-232982</v>
      </c>
      <c r="C1462" s="106">
        <v>0</v>
      </c>
      <c r="D1462" s="106">
        <v>232982</v>
      </c>
      <c r="E1462" s="106" t="s">
        <v>2365</v>
      </c>
      <c r="F1462" s="106" t="s">
        <v>2185</v>
      </c>
      <c r="G1462" s="106" t="s">
        <v>261</v>
      </c>
      <c r="H1462" s="106">
        <v>1</v>
      </c>
      <c r="I1462" s="106" t="s">
        <v>23</v>
      </c>
      <c r="J1462" s="106">
        <v>10050</v>
      </c>
      <c r="K1462" s="106">
        <v>15917</v>
      </c>
      <c r="L1462" s="106">
        <v>11331</v>
      </c>
      <c r="M1462" s="106">
        <v>0.45</v>
      </c>
      <c r="N1462" s="106">
        <v>0.65</v>
      </c>
      <c r="O1462" s="106">
        <v>0.77</v>
      </c>
      <c r="P1462" s="106">
        <v>3825</v>
      </c>
      <c r="Q1462" s="106">
        <v>1211.6012584948401</v>
      </c>
      <c r="R1462" s="106">
        <v>0.13162305051908385</v>
      </c>
      <c r="S1462" s="106">
        <v>24585.422652907124</v>
      </c>
      <c r="T1462" s="106">
        <v>24508.837603825825</v>
      </c>
      <c r="U1462" s="106">
        <v>15950.908682088899</v>
      </c>
      <c r="V1462" s="106">
        <v>0.50113025338900374</v>
      </c>
      <c r="W1462" s="106">
        <v>94069.37553956834</v>
      </c>
      <c r="X1462" s="110">
        <v>0.5371329237270831</v>
      </c>
      <c r="Y1462" s="106">
        <v>530.11671826625388</v>
      </c>
      <c r="Z1462" s="106">
        <v>18.450464396284829</v>
      </c>
      <c r="AA1462" s="106">
        <v>59493.954369075473</v>
      </c>
      <c r="AB1462" s="106">
        <v>555.16391501438613</v>
      </c>
      <c r="AC1462" s="106">
        <v>1.6808430547353106</v>
      </c>
      <c r="AD1462" s="106">
        <v>27.112604357564653</v>
      </c>
      <c r="AE1462" s="106">
        <v>107.16466391288021</v>
      </c>
      <c r="AF1462" s="106">
        <v>6.1440051893401876E-2</v>
      </c>
      <c r="AG1462" s="106">
        <v>6630</v>
      </c>
      <c r="AH1462" s="106">
        <v>23859.235338535113</v>
      </c>
      <c r="AI1462" s="106">
        <v>24550.2787314372</v>
      </c>
      <c r="AJ1462" s="106">
        <v>25260.624062421342</v>
      </c>
      <c r="AK1462" s="104">
        <v>18567.421948150011</v>
      </c>
      <c r="AL1462" s="118">
        <v>151598437</v>
      </c>
      <c r="AM1462" s="118">
        <v>19540</v>
      </c>
      <c r="AN1462" s="118">
        <v>570759</v>
      </c>
      <c r="AO1462" s="118">
        <v>3934</v>
      </c>
      <c r="AP1462" s="118">
        <f t="shared" si="22"/>
        <v>3420</v>
      </c>
    </row>
    <row r="1463" spans="1:42" ht="12.75">
      <c r="A1463" s="106">
        <v>2018</v>
      </c>
      <c r="B1463" s="106">
        <v>-171599</v>
      </c>
      <c r="C1463" s="106">
        <v>0</v>
      </c>
      <c r="D1463" s="106">
        <v>171599</v>
      </c>
      <c r="E1463" s="106" t="s">
        <v>2366</v>
      </c>
      <c r="F1463" s="106" t="s">
        <v>2367</v>
      </c>
      <c r="G1463" s="106" t="s">
        <v>74</v>
      </c>
      <c r="H1463" s="106">
        <v>7</v>
      </c>
      <c r="I1463" s="106" t="s">
        <v>3641</v>
      </c>
      <c r="J1463" s="106">
        <v>26695</v>
      </c>
      <c r="K1463" s="106">
        <v>21979</v>
      </c>
      <c r="L1463" s="106">
        <v>19159</v>
      </c>
      <c r="M1463" s="106">
        <v>0.56000000000000005</v>
      </c>
      <c r="N1463" s="106">
        <v>0.88</v>
      </c>
      <c r="O1463" s="106">
        <v>1</v>
      </c>
      <c r="P1463" s="106">
        <v>13950</v>
      </c>
      <c r="Q1463" s="106">
        <v>13449.567464114833</v>
      </c>
      <c r="R1463" s="106">
        <v>0.52143768539036373</v>
      </c>
      <c r="S1463" s="106">
        <v>23410.032535885166</v>
      </c>
      <c r="T1463" s="106">
        <v>22488.195215311003</v>
      </c>
      <c r="U1463" s="106">
        <v>17628.306220095692</v>
      </c>
      <c r="V1463" s="106">
        <v>0.70021887373395764</v>
      </c>
      <c r="W1463" s="106">
        <v>63677.871886120993</v>
      </c>
      <c r="X1463" s="110">
        <v>0.50761296814779677</v>
      </c>
      <c r="Y1463" s="106">
        <v>487.390625</v>
      </c>
      <c r="Z1463" s="106">
        <v>16.328125</v>
      </c>
      <c r="AA1463" s="106">
        <v>94956.597938144332</v>
      </c>
      <c r="AB1463" s="106">
        <v>590.56775558618926</v>
      </c>
      <c r="AC1463" s="106">
        <v>1.053112708030473</v>
      </c>
      <c r="AD1463" s="106">
        <v>17.524841915085819</v>
      </c>
      <c r="AE1463" s="106">
        <v>160.78865979381445</v>
      </c>
      <c r="AF1463" s="106">
        <v>5.4544715056785285E-2</v>
      </c>
      <c r="AG1463" s="106">
        <v>25780</v>
      </c>
      <c r="AH1463" s="106">
        <v>19451.946411483255</v>
      </c>
      <c r="AI1463" s="106">
        <v>23410.031578947368</v>
      </c>
      <c r="AJ1463" s="106">
        <v>24798.209569377992</v>
      </c>
      <c r="AK1463" s="104">
        <v>17628.306220095692</v>
      </c>
      <c r="AL1463" s="118"/>
      <c r="AM1463" s="118">
        <v>1177</v>
      </c>
      <c r="AN1463" s="118">
        <v>31193</v>
      </c>
      <c r="AO1463" s="118">
        <v>181</v>
      </c>
      <c r="AP1463" s="118">
        <f t="shared" si="22"/>
        <v>915</v>
      </c>
    </row>
    <row r="1464" spans="1:42" ht="12.75">
      <c r="A1464" s="106">
        <v>2018</v>
      </c>
      <c r="B1464" s="106">
        <v>-147828</v>
      </c>
      <c r="C1464" s="106">
        <v>0</v>
      </c>
      <c r="D1464" s="106">
        <v>147828</v>
      </c>
      <c r="E1464" s="106" t="s">
        <v>2368</v>
      </c>
      <c r="F1464" s="106" t="s">
        <v>2369</v>
      </c>
      <c r="G1464" s="106" t="s">
        <v>243</v>
      </c>
      <c r="H1464" s="106">
        <v>6</v>
      </c>
      <c r="I1464" s="106" t="s">
        <v>3640</v>
      </c>
      <c r="J1464" s="106">
        <v>34940</v>
      </c>
      <c r="K1464" s="106">
        <v>20741</v>
      </c>
      <c r="L1464" s="106">
        <v>16713</v>
      </c>
      <c r="M1464" s="106">
        <v>0.38</v>
      </c>
      <c r="N1464" s="106">
        <v>0.77</v>
      </c>
      <c r="O1464" s="106">
        <v>1</v>
      </c>
      <c r="P1464" s="106">
        <v>22361</v>
      </c>
      <c r="Q1464" s="106">
        <v>13262.489306545691</v>
      </c>
      <c r="R1464" s="106">
        <v>0.50259576792398986</v>
      </c>
      <c r="S1464" s="106">
        <v>20778.015986174119</v>
      </c>
      <c r="T1464" s="106">
        <v>20018.621300496867</v>
      </c>
      <c r="U1464" s="106">
        <v>16779.334035993903</v>
      </c>
      <c r="V1464" s="106">
        <v>0.78224172134501979</v>
      </c>
      <c r="W1464" s="106">
        <v>75881.175560298827</v>
      </c>
      <c r="X1464" s="110">
        <v>0.51151813739029195</v>
      </c>
      <c r="Y1464" s="106">
        <v>559.46590909090901</v>
      </c>
      <c r="Z1464" s="106">
        <v>19.72585227272727</v>
      </c>
      <c r="AA1464" s="106">
        <v>49409.374842630903</v>
      </c>
      <c r="AB1464" s="106">
        <v>591.61185525421809</v>
      </c>
      <c r="AC1464" s="106">
        <v>2.0239074126823198</v>
      </c>
      <c r="AD1464" s="106">
        <v>35.533453887884271</v>
      </c>
      <c r="AE1464" s="106">
        <v>83.516539440203559</v>
      </c>
      <c r="AF1464" s="106">
        <v>5.4201882444631762E-2</v>
      </c>
      <c r="AG1464" s="106">
        <v>33950</v>
      </c>
      <c r="AH1464" s="106">
        <v>17942.553899330309</v>
      </c>
      <c r="AI1464" s="106">
        <v>20836.364225534671</v>
      </c>
      <c r="AJ1464" s="106">
        <v>21591.009505292721</v>
      </c>
      <c r="AK1464" s="104">
        <v>17126.57723050335</v>
      </c>
      <c r="AL1464" s="118"/>
      <c r="AM1464" s="118">
        <v>3371</v>
      </c>
      <c r="AN1464" s="118">
        <v>131288</v>
      </c>
      <c r="AO1464" s="118">
        <v>756</v>
      </c>
      <c r="AP1464" s="118">
        <f t="shared" si="22"/>
        <v>990</v>
      </c>
    </row>
    <row r="1465" spans="1:42" ht="12.75">
      <c r="A1465" s="106">
        <v>2018</v>
      </c>
      <c r="B1465" s="106">
        <v>-145707</v>
      </c>
      <c r="C1465" s="106">
        <v>0</v>
      </c>
      <c r="D1465" s="106">
        <v>145707</v>
      </c>
      <c r="E1465" s="106" t="s">
        <v>2370</v>
      </c>
      <c r="F1465" s="106" t="s">
        <v>2371</v>
      </c>
      <c r="G1465" s="106" t="s">
        <v>243</v>
      </c>
      <c r="H1465" s="106">
        <v>4</v>
      </c>
      <c r="I1465" s="106" t="s">
        <v>24</v>
      </c>
      <c r="J1465" s="106">
        <v>3810</v>
      </c>
      <c r="K1465" s="106">
        <v>2522</v>
      </c>
      <c r="L1465" s="106">
        <v>1219</v>
      </c>
      <c r="M1465" s="106">
        <v>0.48</v>
      </c>
      <c r="N1465" s="106">
        <v>0.15</v>
      </c>
      <c r="O1465" s="106">
        <v>0.71</v>
      </c>
      <c r="P1465" s="106">
        <v>2069</v>
      </c>
      <c r="Q1465" s="106">
        <v>1906.4923857868021</v>
      </c>
      <c r="R1465" s="106">
        <v>0.46262687229010635</v>
      </c>
      <c r="S1465" s="106">
        <v>13510.163451776651</v>
      </c>
      <c r="T1465" s="106">
        <v>12674.032487309645</v>
      </c>
      <c r="U1465" s="106">
        <v>8090.4214023361619</v>
      </c>
      <c r="V1465" s="106">
        <v>0.27372156931159802</v>
      </c>
      <c r="W1465" s="106">
        <v>82585.79016393442</v>
      </c>
      <c r="X1465" s="110">
        <v>0.67256283722375065</v>
      </c>
      <c r="Y1465" s="106">
        <v>547.22222222222217</v>
      </c>
      <c r="Z1465" s="106">
        <v>18.24074074074074</v>
      </c>
      <c r="AA1465" s="106">
        <v>15384.295523747334</v>
      </c>
      <c r="AB1465" s="106">
        <v>269.68071341120537</v>
      </c>
      <c r="AC1465" s="106">
        <v>6.5001351440265243</v>
      </c>
      <c r="AD1465" s="106">
        <v>70.958904109589042</v>
      </c>
      <c r="AE1465" s="106">
        <v>57.046332046332047</v>
      </c>
      <c r="AF1465" s="106"/>
      <c r="AG1465" s="106">
        <v>2656</v>
      </c>
      <c r="AH1465" s="106">
        <v>12374.422335025381</v>
      </c>
      <c r="AI1465" s="106">
        <v>12489.032487309645</v>
      </c>
      <c r="AJ1465" s="106">
        <v>13594.389847715736</v>
      </c>
      <c r="AK1465" s="104">
        <v>9317.8609137055846</v>
      </c>
      <c r="AL1465" s="118">
        <v>8737839</v>
      </c>
      <c r="AM1465" s="118">
        <v>1142</v>
      </c>
      <c r="AN1465" s="118">
        <v>29550</v>
      </c>
      <c r="AO1465" s="118">
        <v>294</v>
      </c>
      <c r="AP1465" s="118">
        <f t="shared" si="22"/>
        <v>1154</v>
      </c>
    </row>
    <row r="1466" spans="1:42" ht="12.75">
      <c r="A1466" s="106">
        <v>2018</v>
      </c>
      <c r="B1466" s="106">
        <v>-236188</v>
      </c>
      <c r="C1466" s="106">
        <v>0</v>
      </c>
      <c r="D1466" s="106">
        <v>236188</v>
      </c>
      <c r="E1466" s="106" t="s">
        <v>2372</v>
      </c>
      <c r="F1466" s="106" t="s">
        <v>2373</v>
      </c>
      <c r="G1466" s="106" t="s">
        <v>182</v>
      </c>
      <c r="H1466" s="106">
        <v>4</v>
      </c>
      <c r="I1466" s="106" t="s">
        <v>24</v>
      </c>
      <c r="J1466" s="106">
        <v>3693</v>
      </c>
      <c r="K1466" s="106">
        <v>5626</v>
      </c>
      <c r="L1466" s="106">
        <v>4219</v>
      </c>
      <c r="M1466" s="106">
        <v>0.3</v>
      </c>
      <c r="N1466" s="106">
        <v>7.0000000000000007E-2</v>
      </c>
      <c r="O1466" s="106">
        <v>0.06</v>
      </c>
      <c r="P1466" s="106">
        <v>2683</v>
      </c>
      <c r="Q1466" s="106">
        <v>344.46788163118009</v>
      </c>
      <c r="R1466" s="106">
        <v>8.7695803434790318E-2</v>
      </c>
      <c r="S1466" s="106">
        <v>12700.7840129917</v>
      </c>
      <c r="T1466" s="106">
        <v>13101.101226993866</v>
      </c>
      <c r="U1466" s="106">
        <v>8892.0936485023449</v>
      </c>
      <c r="V1466" s="106">
        <v>0.40300048398961502</v>
      </c>
      <c r="W1466" s="106">
        <v>93410.755868544598</v>
      </c>
      <c r="X1466" s="110">
        <v>0.54806511770748056</v>
      </c>
      <c r="Y1466" s="106">
        <v>1270.2275042444824</v>
      </c>
      <c r="Z1466" s="106">
        <v>28.227504244482176</v>
      </c>
      <c r="AA1466" s="106">
        <v>19830.979074446681</v>
      </c>
      <c r="AB1466" s="106">
        <v>197.6036657738143</v>
      </c>
      <c r="AC1466" s="106">
        <v>5.0426153759022201</v>
      </c>
      <c r="AD1466" s="106">
        <v>49.052506908803792</v>
      </c>
      <c r="AE1466" s="106">
        <v>100.35734406438631</v>
      </c>
      <c r="AF1466" s="106">
        <v>6.9195116003321733E-2</v>
      </c>
      <c r="AG1466" s="106">
        <v>3468</v>
      </c>
      <c r="AH1466" s="106">
        <v>11219.736918080116</v>
      </c>
      <c r="AI1466" s="106">
        <v>11219.736918080116</v>
      </c>
      <c r="AJ1466" s="106">
        <v>12744.292132804041</v>
      </c>
      <c r="AK1466" s="104">
        <v>11181.942259112235</v>
      </c>
      <c r="AL1466" s="119">
        <v>24855043</v>
      </c>
      <c r="AM1466" s="118">
        <v>6476</v>
      </c>
      <c r="AN1466" s="118">
        <v>249388</v>
      </c>
      <c r="AO1466" s="118">
        <v>1435</v>
      </c>
      <c r="AP1466" s="118">
        <f t="shared" si="22"/>
        <v>225</v>
      </c>
    </row>
    <row r="1467" spans="1:42" ht="12.75">
      <c r="A1467" s="106">
        <v>2018</v>
      </c>
      <c r="B1467" s="106">
        <v>-194222</v>
      </c>
      <c r="C1467" s="106">
        <v>0</v>
      </c>
      <c r="D1467" s="106">
        <v>194222</v>
      </c>
      <c r="E1467" s="106" t="s">
        <v>2374</v>
      </c>
      <c r="F1467" s="106" t="s">
        <v>1772</v>
      </c>
      <c r="G1467" s="106" t="s">
        <v>69</v>
      </c>
      <c r="H1467" s="106">
        <v>4</v>
      </c>
      <c r="I1467" s="106" t="s">
        <v>24</v>
      </c>
      <c r="J1467" s="106">
        <v>5154</v>
      </c>
      <c r="K1467" s="106">
        <v>6992</v>
      </c>
      <c r="L1467" s="106">
        <v>5276</v>
      </c>
      <c r="M1467" s="106">
        <v>0.64</v>
      </c>
      <c r="N1467" s="106">
        <v>0.46</v>
      </c>
      <c r="O1467" s="106">
        <v>0.13</v>
      </c>
      <c r="P1467" s="106">
        <v>772</v>
      </c>
      <c r="Q1467" s="106"/>
      <c r="R1467" s="106"/>
      <c r="S1467" s="106">
        <v>14463.169367166005</v>
      </c>
      <c r="T1467" s="106">
        <v>16430.556557627639</v>
      </c>
      <c r="U1467" s="106">
        <v>12174.77759095078</v>
      </c>
      <c r="V1467" s="106">
        <v>0.41156337881483757</v>
      </c>
      <c r="W1467" s="106">
        <v>89019.48745519713</v>
      </c>
      <c r="X1467" s="110">
        <v>0.6931827281083246</v>
      </c>
      <c r="Y1467" s="106">
        <v>607.62538699690401</v>
      </c>
      <c r="Z1467" s="106">
        <v>20.253869969040249</v>
      </c>
      <c r="AA1467" s="106">
        <v>65715.67244224422</v>
      </c>
      <c r="AB1467" s="106">
        <v>405.81971640095179</v>
      </c>
      <c r="AC1467" s="106">
        <v>1.5217070187920145</v>
      </c>
      <c r="AD1467" s="106">
        <v>17.368873602751506</v>
      </c>
      <c r="AE1467" s="106">
        <v>161.93316831683168</v>
      </c>
      <c r="AF1467" s="106">
        <v>-0.10352593274349914</v>
      </c>
      <c r="AG1467" s="106">
        <v>4570</v>
      </c>
      <c r="AH1467" s="106">
        <v>14485.679761540814</v>
      </c>
      <c r="AI1467" s="106">
        <v>14485.679761540814</v>
      </c>
      <c r="AJ1467" s="106">
        <v>14474.185417303577</v>
      </c>
      <c r="AK1467" s="104">
        <v>13364.69749312137</v>
      </c>
      <c r="AL1467" s="119">
        <v>33819429</v>
      </c>
      <c r="AM1467" s="118">
        <v>10659</v>
      </c>
      <c r="AN1467" s="118">
        <v>196263</v>
      </c>
      <c r="AO1467" s="118">
        <v>1175</v>
      </c>
      <c r="AP1467" s="118">
        <f t="shared" si="22"/>
        <v>584</v>
      </c>
    </row>
    <row r="1468" spans="1:42" ht="12.75">
      <c r="A1468" s="106">
        <v>2018</v>
      </c>
      <c r="B1468" s="106">
        <v>-207582</v>
      </c>
      <c r="C1468" s="106">
        <v>0</v>
      </c>
      <c r="D1468" s="106">
        <v>207582</v>
      </c>
      <c r="E1468" s="106" t="s">
        <v>2375</v>
      </c>
      <c r="F1468" s="106" t="s">
        <v>2376</v>
      </c>
      <c r="G1468" s="106" t="s">
        <v>271</v>
      </c>
      <c r="H1468" s="106">
        <v>6</v>
      </c>
      <c r="I1468" s="106" t="s">
        <v>3640</v>
      </c>
      <c r="J1468" s="106">
        <v>26792</v>
      </c>
      <c r="K1468" s="106">
        <v>22044</v>
      </c>
      <c r="L1468" s="106">
        <v>19998</v>
      </c>
      <c r="M1468" s="106">
        <v>0.38</v>
      </c>
      <c r="N1468" s="106">
        <v>0.63</v>
      </c>
      <c r="O1468" s="106">
        <v>0.88</v>
      </c>
      <c r="P1468" s="106">
        <v>16171</v>
      </c>
      <c r="Q1468" s="106">
        <v>11956.011117788461</v>
      </c>
      <c r="R1468" s="106">
        <v>0.49154090957466096</v>
      </c>
      <c r="S1468" s="106">
        <v>30462.345252403848</v>
      </c>
      <c r="T1468" s="106">
        <v>31265.251502403848</v>
      </c>
      <c r="U1468" s="106">
        <v>18650.700592021931</v>
      </c>
      <c r="V1468" s="106">
        <v>0.66311294702485368</v>
      </c>
      <c r="W1468" s="106">
        <v>73566.839518555673</v>
      </c>
      <c r="X1468" s="110">
        <v>0.46993820525496033</v>
      </c>
      <c r="Y1468" s="106">
        <v>450.29907975460122</v>
      </c>
      <c r="Z1468" s="106">
        <v>15.312883435582821</v>
      </c>
      <c r="AA1468" s="106">
        <v>103969.06460678222</v>
      </c>
      <c r="AB1468" s="106">
        <v>634.23625985029366</v>
      </c>
      <c r="AC1468" s="106">
        <v>0.96182456174061493</v>
      </c>
      <c r="AD1468" s="106">
        <v>17.091325508159176</v>
      </c>
      <c r="AE1468" s="106">
        <v>163.92797319932998</v>
      </c>
      <c r="AF1468" s="106">
        <v>3.6521348788634937E-3</v>
      </c>
      <c r="AG1468" s="106">
        <v>25800</v>
      </c>
      <c r="AH1468" s="106">
        <v>22680.311298076922</v>
      </c>
      <c r="AI1468" s="106">
        <v>30508.432692307691</v>
      </c>
      <c r="AJ1468" s="106">
        <v>31450.50420673077</v>
      </c>
      <c r="AK1468" s="104">
        <v>20697.515024038461</v>
      </c>
      <c r="AL1468" s="118"/>
      <c r="AM1468" s="118">
        <v>3381</v>
      </c>
      <c r="AN1468" s="118">
        <v>97865</v>
      </c>
      <c r="AO1468" s="118">
        <v>500</v>
      </c>
      <c r="AP1468" s="118">
        <f t="shared" si="22"/>
        <v>992</v>
      </c>
    </row>
    <row r="1469" spans="1:42" ht="12.75">
      <c r="A1469" s="106">
        <v>2018</v>
      </c>
      <c r="B1469" s="106">
        <v>-120342</v>
      </c>
      <c r="C1469" s="106">
        <v>0</v>
      </c>
      <c r="D1469" s="106">
        <v>120342</v>
      </c>
      <c r="E1469" s="106" t="s">
        <v>2377</v>
      </c>
      <c r="F1469" s="106" t="s">
        <v>2378</v>
      </c>
      <c r="G1469" s="106" t="s">
        <v>121</v>
      </c>
      <c r="H1469" s="106">
        <v>4</v>
      </c>
      <c r="I1469" s="106" t="s">
        <v>24</v>
      </c>
      <c r="J1469" s="106">
        <v>1186</v>
      </c>
      <c r="K1469" s="106">
        <v>6142</v>
      </c>
      <c r="L1469" s="106">
        <v>3574</v>
      </c>
      <c r="M1469" s="106">
        <v>0.34</v>
      </c>
      <c r="N1469" s="106">
        <v>0.01</v>
      </c>
      <c r="O1469" s="106">
        <v>0</v>
      </c>
      <c r="P1469" s="106"/>
      <c r="Q1469" s="106"/>
      <c r="R1469" s="106"/>
      <c r="S1469" s="106">
        <v>10286.717148116681</v>
      </c>
      <c r="T1469" s="106">
        <v>12952.438685924668</v>
      </c>
      <c r="U1469" s="106">
        <v>7731.1333899745114</v>
      </c>
      <c r="V1469" s="106">
        <v>0.25454027330014195</v>
      </c>
      <c r="W1469" s="106">
        <v>134347.03334688899</v>
      </c>
      <c r="X1469" s="110">
        <v>0.60194401511785456</v>
      </c>
      <c r="Y1469" s="106">
        <v>917.81155234657047</v>
      </c>
      <c r="Z1469" s="106">
        <v>30.593501805054153</v>
      </c>
      <c r="AA1469" s="106">
        <v>21023.205236811707</v>
      </c>
      <c r="AB1469" s="106">
        <v>257.70262175997055</v>
      </c>
      <c r="AC1469" s="106">
        <v>4.7566486115494726</v>
      </c>
      <c r="AD1469" s="106">
        <v>39.947700353791724</v>
      </c>
      <c r="AE1469" s="106">
        <v>81.579322294955716</v>
      </c>
      <c r="AF1469" s="106">
        <v>0.5277308631389227</v>
      </c>
      <c r="AG1469" s="106">
        <v>1104</v>
      </c>
      <c r="AH1469" s="106">
        <v>9695.4025063721328</v>
      </c>
      <c r="AI1469" s="106">
        <v>9695.4025063721328</v>
      </c>
      <c r="AJ1469" s="106">
        <v>10324.141248937978</v>
      </c>
      <c r="AK1469" s="104">
        <v>9427.5738459359964</v>
      </c>
      <c r="AL1469" s="119">
        <v>70338517</v>
      </c>
      <c r="AM1469" s="118">
        <v>22156</v>
      </c>
      <c r="AN1469" s="118">
        <v>423723</v>
      </c>
      <c r="AO1469" s="118">
        <v>2324</v>
      </c>
      <c r="AP1469" s="118">
        <f t="shared" si="22"/>
        <v>82</v>
      </c>
    </row>
    <row r="1470" spans="1:42" ht="12.75">
      <c r="A1470" s="106">
        <v>2018</v>
      </c>
      <c r="B1470" s="106">
        <v>-194240</v>
      </c>
      <c r="C1470" s="106">
        <v>0</v>
      </c>
      <c r="D1470" s="106">
        <v>194240</v>
      </c>
      <c r="E1470" s="106" t="s">
        <v>2379</v>
      </c>
      <c r="F1470" s="106" t="s">
        <v>1827</v>
      </c>
      <c r="G1470" s="106" t="s">
        <v>69</v>
      </c>
      <c r="H1470" s="106">
        <v>4</v>
      </c>
      <c r="I1470" s="106" t="s">
        <v>24</v>
      </c>
      <c r="J1470" s="106">
        <v>5398</v>
      </c>
      <c r="K1470" s="106">
        <v>4448</v>
      </c>
      <c r="L1470" s="106">
        <v>1709</v>
      </c>
      <c r="M1470" s="106">
        <v>0.51</v>
      </c>
      <c r="N1470" s="106">
        <v>0.33</v>
      </c>
      <c r="O1470" s="106">
        <v>0.06</v>
      </c>
      <c r="P1470" s="106">
        <v>2119</v>
      </c>
      <c r="Q1470" s="106"/>
      <c r="R1470" s="106"/>
      <c r="S1470" s="106">
        <v>17287.97880633374</v>
      </c>
      <c r="T1470" s="106">
        <v>20011.188063337395</v>
      </c>
      <c r="U1470" s="106">
        <v>18474.717661388549</v>
      </c>
      <c r="V1470" s="106">
        <v>0.32937482749576086</v>
      </c>
      <c r="W1470" s="106">
        <v>89559.260107160269</v>
      </c>
      <c r="X1470" s="110">
        <v>0.74609161084760778</v>
      </c>
      <c r="Y1470" s="106">
        <v>509.55724137931031</v>
      </c>
      <c r="Z1470" s="106">
        <v>16.986206896551725</v>
      </c>
      <c r="AA1470" s="106">
        <v>91482.166465621223</v>
      </c>
      <c r="AB1470" s="106">
        <v>615.85892823790232</v>
      </c>
      <c r="AC1470" s="106">
        <v>1.093109224053846</v>
      </c>
      <c r="AD1470" s="106">
        <v>19.663187855787477</v>
      </c>
      <c r="AE1470" s="106">
        <v>148.54402895054281</v>
      </c>
      <c r="AF1470" s="106">
        <v>-0.1388949422221267</v>
      </c>
      <c r="AG1470" s="106">
        <v>4776</v>
      </c>
      <c r="AH1470" s="106">
        <v>16563.371010962241</v>
      </c>
      <c r="AI1470" s="106">
        <v>16563.371010962241</v>
      </c>
      <c r="AJ1470" s="106">
        <v>17287.97880633374</v>
      </c>
      <c r="AK1470" s="104">
        <v>20011.188063337395</v>
      </c>
      <c r="AL1470" s="118">
        <v>30897656</v>
      </c>
      <c r="AM1470" s="118">
        <v>6601</v>
      </c>
      <c r="AN1470" s="118">
        <v>123143</v>
      </c>
      <c r="AO1470" s="118">
        <v>827</v>
      </c>
      <c r="AP1470" s="118">
        <f t="shared" si="22"/>
        <v>622</v>
      </c>
    </row>
    <row r="1471" spans="1:42" ht="12.75">
      <c r="A1471" s="106">
        <v>2018</v>
      </c>
      <c r="B1471" s="106">
        <v>-218487</v>
      </c>
      <c r="C1471" s="106">
        <v>0</v>
      </c>
      <c r="D1471" s="106">
        <v>218487</v>
      </c>
      <c r="E1471" s="106" t="s">
        <v>2380</v>
      </c>
      <c r="F1471" s="106" t="s">
        <v>749</v>
      </c>
      <c r="G1471" s="106" t="s">
        <v>79</v>
      </c>
      <c r="H1471" s="106">
        <v>4</v>
      </c>
      <c r="I1471" s="106" t="s">
        <v>24</v>
      </c>
      <c r="J1471" s="106">
        <v>4250</v>
      </c>
      <c r="K1471" s="106">
        <v>7565</v>
      </c>
      <c r="L1471" s="106">
        <v>7187</v>
      </c>
      <c r="M1471" s="106">
        <v>0.7</v>
      </c>
      <c r="N1471" s="106">
        <v>0.14000000000000001</v>
      </c>
      <c r="O1471" s="106">
        <v>0.09</v>
      </c>
      <c r="P1471" s="106">
        <v>617</v>
      </c>
      <c r="Q1471" s="106">
        <v>298.03185840707965</v>
      </c>
      <c r="R1471" s="106">
        <v>4.949265434343688E-2</v>
      </c>
      <c r="S1471" s="106">
        <v>13096.985840707965</v>
      </c>
      <c r="T1471" s="106">
        <v>13653.278466076696</v>
      </c>
      <c r="U1471" s="106">
        <v>12458.090265486726</v>
      </c>
      <c r="V1471" s="106">
        <v>0.45943698052083815</v>
      </c>
      <c r="W1471" s="106">
        <v>60949.355140186919</v>
      </c>
      <c r="X1471" s="110">
        <v>0.56360681759169473</v>
      </c>
      <c r="Y1471" s="106">
        <v>501.9276315789474</v>
      </c>
      <c r="Z1471" s="106">
        <v>16.726973684210527</v>
      </c>
      <c r="AA1471" s="106">
        <v>29867.698727015559</v>
      </c>
      <c r="AB1471" s="106">
        <v>415.17169989383035</v>
      </c>
      <c r="AC1471" s="106">
        <v>3.3480985901852973</v>
      </c>
      <c r="AD1471" s="106">
        <v>49.544498948843732</v>
      </c>
      <c r="AE1471" s="106">
        <v>71.940594059405939</v>
      </c>
      <c r="AF1471" s="106">
        <v>1.207044404788143</v>
      </c>
      <c r="AG1471" s="106">
        <v>4080</v>
      </c>
      <c r="AH1471" s="106">
        <v>13678.679056047198</v>
      </c>
      <c r="AI1471" s="106">
        <v>13752.53156342183</v>
      </c>
      <c r="AJ1471" s="106">
        <v>13096.985840707965</v>
      </c>
      <c r="AK1471" s="104">
        <v>13682.310324483777</v>
      </c>
      <c r="AL1471" s="118">
        <v>6929268</v>
      </c>
      <c r="AM1471" s="118">
        <v>2479</v>
      </c>
      <c r="AN1471" s="118">
        <v>50862</v>
      </c>
      <c r="AO1471" s="118">
        <v>222</v>
      </c>
      <c r="AP1471" s="118">
        <f t="shared" si="22"/>
        <v>170</v>
      </c>
    </row>
    <row r="1472" spans="1:42" ht="12.75">
      <c r="A1472" s="106">
        <v>2018</v>
      </c>
      <c r="B1472" s="106">
        <v>-423652</v>
      </c>
      <c r="C1472" s="106">
        <v>0</v>
      </c>
      <c r="D1472" s="106">
        <v>423652</v>
      </c>
      <c r="E1472" s="106" t="s">
        <v>2381</v>
      </c>
      <c r="F1472" s="106" t="s">
        <v>212</v>
      </c>
      <c r="G1472" s="106" t="s">
        <v>405</v>
      </c>
      <c r="H1472" s="106">
        <v>4</v>
      </c>
      <c r="I1472" s="106" t="s">
        <v>24</v>
      </c>
      <c r="J1472" s="106">
        <v>4140</v>
      </c>
      <c r="K1472" s="106">
        <v>11216</v>
      </c>
      <c r="L1472" s="106">
        <v>12030</v>
      </c>
      <c r="M1472" s="106">
        <v>0.52</v>
      </c>
      <c r="N1472" s="106">
        <v>0.3</v>
      </c>
      <c r="O1472" s="106">
        <v>0.3</v>
      </c>
      <c r="P1472" s="106">
        <v>4638</v>
      </c>
      <c r="Q1472" s="106">
        <v>1328.7759197324415</v>
      </c>
      <c r="R1472" s="106">
        <v>0.22896568257941968</v>
      </c>
      <c r="S1472" s="106">
        <v>27492.535117056857</v>
      </c>
      <c r="T1472" s="106">
        <v>29121.966555183946</v>
      </c>
      <c r="U1472" s="106">
        <v>23859.030100334447</v>
      </c>
      <c r="V1472" s="106">
        <v>0.18754361249535664</v>
      </c>
      <c r="W1472" s="106">
        <v>72898.309090909097</v>
      </c>
      <c r="X1472" s="110">
        <v>0.46045612800414543</v>
      </c>
      <c r="Y1472" s="106">
        <v>511.51898734177212</v>
      </c>
      <c r="Z1472" s="106">
        <v>11.354430379746834</v>
      </c>
      <c r="AA1472" s="106">
        <v>65448.165137614676</v>
      </c>
      <c r="AB1472" s="106">
        <v>529.61024498886411</v>
      </c>
      <c r="AC1472" s="106">
        <v>1.5279267155883571</v>
      </c>
      <c r="AD1472" s="106">
        <v>39.068100358422939</v>
      </c>
      <c r="AE1472" s="106">
        <v>123.57798165137615</v>
      </c>
      <c r="AF1472" s="106">
        <v>-2.842710026801543E-2</v>
      </c>
      <c r="AG1472" s="106">
        <v>3564</v>
      </c>
      <c r="AH1472" s="106">
        <v>24054.628762541804</v>
      </c>
      <c r="AI1472" s="106">
        <v>24054.628762541804</v>
      </c>
      <c r="AJ1472" s="106">
        <v>26091.15050167224</v>
      </c>
      <c r="AK1472" s="104">
        <v>28345.969899665553</v>
      </c>
      <c r="AL1472" s="118">
        <v>5389244</v>
      </c>
      <c r="AM1472" s="118">
        <v>420</v>
      </c>
      <c r="AN1472" s="118">
        <v>13470</v>
      </c>
      <c r="AO1472" s="118">
        <v>63</v>
      </c>
      <c r="AP1472" s="118">
        <f t="shared" si="22"/>
        <v>576</v>
      </c>
    </row>
    <row r="1473" spans="1:42" ht="12.75">
      <c r="A1473" s="106">
        <v>2018</v>
      </c>
      <c r="B1473" s="106">
        <v>-209506</v>
      </c>
      <c r="C1473" s="106">
        <v>0</v>
      </c>
      <c r="D1473" s="106">
        <v>209506</v>
      </c>
      <c r="E1473" s="106" t="s">
        <v>2382</v>
      </c>
      <c r="F1473" s="106" t="s">
        <v>1696</v>
      </c>
      <c r="G1473" s="106" t="s">
        <v>405</v>
      </c>
      <c r="H1473" s="106">
        <v>3</v>
      </c>
      <c r="I1473" s="104" t="s">
        <v>26</v>
      </c>
      <c r="J1473" s="106">
        <v>9982</v>
      </c>
      <c r="K1473" s="106">
        <v>16670</v>
      </c>
      <c r="L1473" s="106">
        <v>12641</v>
      </c>
      <c r="M1473" s="106">
        <v>0.32</v>
      </c>
      <c r="N1473" s="106">
        <v>0.54</v>
      </c>
      <c r="O1473" s="106">
        <v>0.65</v>
      </c>
      <c r="P1473" s="106">
        <v>4163</v>
      </c>
      <c r="Q1473" s="106">
        <v>1925.9969915764138</v>
      </c>
      <c r="R1473" s="106">
        <v>0.19087980549742178</v>
      </c>
      <c r="S1473" s="106">
        <v>23211.739771359807</v>
      </c>
      <c r="T1473" s="106">
        <v>25252.04302045728</v>
      </c>
      <c r="U1473" s="106">
        <v>16165.018969904237</v>
      </c>
      <c r="V1473" s="106">
        <v>0.50504775239637789</v>
      </c>
      <c r="W1473" s="106">
        <v>111011.35790980673</v>
      </c>
      <c r="X1473" s="110">
        <v>0.61586430121802949</v>
      </c>
      <c r="Y1473" s="106">
        <v>686.77880184331798</v>
      </c>
      <c r="Z1473" s="106">
        <v>15.317972350230415</v>
      </c>
      <c r="AA1473" s="106">
        <v>72318.335203178576</v>
      </c>
      <c r="AB1473" s="106">
        <v>360.54594719193778</v>
      </c>
      <c r="AC1473" s="106">
        <v>1.3827751941336828</v>
      </c>
      <c r="AD1473" s="106">
        <v>20.673344462993878</v>
      </c>
      <c r="AE1473" s="106">
        <v>200.58008075370122</v>
      </c>
      <c r="AF1473" s="106">
        <v>5.1726613038920052E-2</v>
      </c>
      <c r="AG1473" s="106">
        <v>8422</v>
      </c>
      <c r="AH1473" s="106">
        <v>21128.335740072202</v>
      </c>
      <c r="AI1473" s="106">
        <v>22106.933212996391</v>
      </c>
      <c r="AJ1473" s="106">
        <v>23264.954873646209</v>
      </c>
      <c r="AK1473" s="104">
        <v>19106.396209386283</v>
      </c>
      <c r="AL1473" s="118">
        <v>27957053</v>
      </c>
      <c r="AM1473" s="118">
        <v>5380</v>
      </c>
      <c r="AN1473" s="118">
        <v>149031</v>
      </c>
      <c r="AO1473" s="118">
        <v>710</v>
      </c>
      <c r="AP1473" s="118">
        <f t="shared" si="22"/>
        <v>1560</v>
      </c>
    </row>
    <row r="1474" spans="1:42" ht="12.75">
      <c r="A1474" s="106">
        <v>2018</v>
      </c>
      <c r="B1474" s="106">
        <v>1769</v>
      </c>
      <c r="C1474" s="106">
        <v>1</v>
      </c>
      <c r="D1474" s="106">
        <v>209542</v>
      </c>
      <c r="E1474" s="106" t="s">
        <v>3865</v>
      </c>
      <c r="F1474" s="106" t="s">
        <v>2383</v>
      </c>
      <c r="G1474" s="106" t="s">
        <v>405</v>
      </c>
      <c r="H1474" s="106">
        <v>1</v>
      </c>
      <c r="I1474" s="106" t="s">
        <v>23</v>
      </c>
      <c r="J1474" s="106">
        <v>10797</v>
      </c>
      <c r="K1474" s="106">
        <v>18625</v>
      </c>
      <c r="L1474" s="106">
        <v>14599</v>
      </c>
      <c r="M1474" s="106">
        <v>0.25</v>
      </c>
      <c r="N1474" s="106">
        <v>0.51</v>
      </c>
      <c r="O1474" s="106">
        <v>0.68</v>
      </c>
      <c r="P1474" s="106">
        <v>6234</v>
      </c>
      <c r="Q1474" s="106">
        <v>2211.6527051236117</v>
      </c>
      <c r="R1474" s="106">
        <v>0.15373677951245662</v>
      </c>
      <c r="S1474" s="106">
        <v>40648.418882121106</v>
      </c>
      <c r="T1474" s="106">
        <v>43499.783088498749</v>
      </c>
      <c r="U1474" s="106">
        <v>15718.280538928906</v>
      </c>
      <c r="V1474" s="106">
        <v>0.77453238675203551</v>
      </c>
      <c r="W1474" s="106">
        <v>134894.41004929619</v>
      </c>
      <c r="X1474" s="110">
        <v>0.62357756593532099</v>
      </c>
      <c r="Y1474" s="106">
        <v>519.24930504754934</v>
      </c>
      <c r="Z1474" s="106">
        <v>12.250182882223847</v>
      </c>
      <c r="AA1474" s="106">
        <v>57814.603300145725</v>
      </c>
      <c r="AB1474" s="106">
        <v>370.82728724759011</v>
      </c>
      <c r="AC1474" s="106">
        <v>1.7296668020162294</v>
      </c>
      <c r="AD1474" s="106">
        <v>28.585420983236016</v>
      </c>
      <c r="AE1474" s="106">
        <v>155.90709014232999</v>
      </c>
      <c r="AF1474" s="106">
        <v>-2.0038866951565246E-2</v>
      </c>
      <c r="AG1474" s="106">
        <v>9075</v>
      </c>
      <c r="AH1474" s="106">
        <v>37875.941203869581</v>
      </c>
      <c r="AI1474" s="106">
        <v>39899.39544965962</v>
      </c>
      <c r="AJ1474" s="106">
        <v>41088.839985668223</v>
      </c>
      <c r="AK1474" s="104">
        <v>32803.340415621642</v>
      </c>
      <c r="AL1474" s="118">
        <v>214859151</v>
      </c>
      <c r="AM1474" s="118">
        <v>26793</v>
      </c>
      <c r="AN1474" s="118">
        <v>1183023</v>
      </c>
      <c r="AO1474" s="118">
        <v>5809</v>
      </c>
      <c r="AP1474" s="118">
        <f t="shared" si="22"/>
        <v>1722</v>
      </c>
    </row>
    <row r="1475" spans="1:42" ht="12.75">
      <c r="A1475" s="106">
        <v>2018</v>
      </c>
      <c r="B1475" s="106">
        <v>-127778</v>
      </c>
      <c r="C1475" s="106">
        <v>0</v>
      </c>
      <c r="D1475" s="106">
        <v>127778</v>
      </c>
      <c r="E1475" s="106" t="s">
        <v>2384</v>
      </c>
      <c r="F1475" s="106" t="s">
        <v>2385</v>
      </c>
      <c r="G1475" s="106" t="s">
        <v>66</v>
      </c>
      <c r="H1475" s="106">
        <v>4</v>
      </c>
      <c r="I1475" s="106" t="s">
        <v>24</v>
      </c>
      <c r="J1475" s="106">
        <v>3856</v>
      </c>
      <c r="K1475" s="106">
        <v>11506</v>
      </c>
      <c r="L1475" s="106">
        <v>9285</v>
      </c>
      <c r="M1475" s="106">
        <v>0.53</v>
      </c>
      <c r="N1475" s="106">
        <v>0.39</v>
      </c>
      <c r="O1475" s="106">
        <v>0.88</v>
      </c>
      <c r="P1475" s="106">
        <v>3669</v>
      </c>
      <c r="Q1475" s="106">
        <v>1438.9620958751393</v>
      </c>
      <c r="R1475" s="106">
        <v>0.19648050362372282</v>
      </c>
      <c r="S1475" s="106">
        <v>23947.435897435898</v>
      </c>
      <c r="T1475" s="106">
        <v>27002.426978818283</v>
      </c>
      <c r="U1475" s="106">
        <v>13696.715973931754</v>
      </c>
      <c r="V1475" s="106">
        <v>0.42964509730183914</v>
      </c>
      <c r="W1475" s="106">
        <v>53864.518248175184</v>
      </c>
      <c r="X1475" s="110">
        <v>0.60933777082756957</v>
      </c>
      <c r="Y1475" s="106">
        <v>534.89403973509934</v>
      </c>
      <c r="Z1475" s="106">
        <v>17.821192052980134</v>
      </c>
      <c r="AA1475" s="106">
        <v>31421.877822549319</v>
      </c>
      <c r="AB1475" s="106">
        <v>456.33674659647079</v>
      </c>
      <c r="AC1475" s="106">
        <v>3.1824959846364398</v>
      </c>
      <c r="AD1475" s="106">
        <v>45.730994152046783</v>
      </c>
      <c r="AE1475" s="106">
        <v>68.856777493606131</v>
      </c>
      <c r="AF1475" s="106">
        <v>4.3321758166596717E-2</v>
      </c>
      <c r="AG1475" s="106">
        <v>3469</v>
      </c>
      <c r="AH1475" s="106">
        <v>24624.490523968783</v>
      </c>
      <c r="AI1475" s="106">
        <v>24696.954292084727</v>
      </c>
      <c r="AJ1475" s="106">
        <v>24170.790412486065</v>
      </c>
      <c r="AK1475" s="104">
        <v>14504.089186176143</v>
      </c>
      <c r="AL1475" s="118"/>
      <c r="AM1475" s="118">
        <v>1330</v>
      </c>
      <c r="AN1475" s="118">
        <v>26923</v>
      </c>
      <c r="AO1475" s="118">
        <v>169</v>
      </c>
      <c r="AP1475" s="118">
        <f t="shared" si="22"/>
        <v>387</v>
      </c>
    </row>
    <row r="1476" spans="1:42" ht="12.75">
      <c r="A1476" s="106">
        <v>2018</v>
      </c>
      <c r="B1476" s="106">
        <v>1543</v>
      </c>
      <c r="C1476" s="106">
        <v>1</v>
      </c>
      <c r="D1476" s="106">
        <v>155627</v>
      </c>
      <c r="E1476" s="106" t="s">
        <v>4252</v>
      </c>
      <c r="F1476" s="106" t="s">
        <v>2386</v>
      </c>
      <c r="G1476" s="106" t="s">
        <v>129</v>
      </c>
      <c r="H1476" s="106">
        <v>7</v>
      </c>
      <c r="I1476" s="106" t="s">
        <v>3641</v>
      </c>
      <c r="J1476" s="106">
        <v>28550</v>
      </c>
      <c r="K1476" s="106">
        <v>25583</v>
      </c>
      <c r="L1476" s="106">
        <v>22348</v>
      </c>
      <c r="M1476" s="106">
        <v>0.5</v>
      </c>
      <c r="N1476" s="106">
        <v>0.86</v>
      </c>
      <c r="O1476" s="106">
        <v>1</v>
      </c>
      <c r="P1476" s="106">
        <v>12847</v>
      </c>
      <c r="Q1476" s="106">
        <v>6243.780198776758</v>
      </c>
      <c r="R1476" s="106">
        <v>0.32281715389564097</v>
      </c>
      <c r="S1476" s="106">
        <v>20119.093272171252</v>
      </c>
      <c r="T1476" s="106">
        <v>19439.147935779816</v>
      </c>
      <c r="U1476" s="106">
        <v>16948.487767584098</v>
      </c>
      <c r="V1476" s="106">
        <v>0.77279801153179484</v>
      </c>
      <c r="W1476" s="106">
        <v>71274.442043222007</v>
      </c>
      <c r="X1476" s="110">
        <v>0.47560387566382517</v>
      </c>
      <c r="Y1476" s="106">
        <v>513.7534246575342</v>
      </c>
      <c r="Z1476" s="106">
        <v>17.917808219178081</v>
      </c>
      <c r="AA1476" s="106">
        <v>57655.713914174252</v>
      </c>
      <c r="AB1476" s="106">
        <v>591.10020264505124</v>
      </c>
      <c r="AC1476" s="106">
        <v>1.7344334708760878</v>
      </c>
      <c r="AD1476" s="106">
        <v>44.271732872769142</v>
      </c>
      <c r="AE1476" s="106">
        <v>97.539661898569577</v>
      </c>
      <c r="AF1476" s="106">
        <v>0.13442511934425486</v>
      </c>
      <c r="AG1476" s="106">
        <v>27370</v>
      </c>
      <c r="AH1476" s="106">
        <v>16101.793577981651</v>
      </c>
      <c r="AI1476" s="106">
        <v>20119.093272171252</v>
      </c>
      <c r="AJ1476" s="106">
        <v>20278.37767584098</v>
      </c>
      <c r="AK1476" s="104">
        <v>16948.487767584098</v>
      </c>
      <c r="AM1476" s="118">
        <v>1754</v>
      </c>
      <c r="AN1476" s="118">
        <v>75008</v>
      </c>
      <c r="AO1476" s="118">
        <v>564</v>
      </c>
      <c r="AP1476" s="118">
        <f t="shared" si="22"/>
        <v>1180</v>
      </c>
    </row>
    <row r="1477" spans="1:42" ht="12.75">
      <c r="A1477" s="106">
        <v>2018</v>
      </c>
      <c r="B1477" s="106">
        <v>-204936</v>
      </c>
      <c r="C1477" s="106">
        <v>0</v>
      </c>
      <c r="D1477" s="106">
        <v>204936</v>
      </c>
      <c r="E1477" s="106" t="s">
        <v>2387</v>
      </c>
      <c r="F1477" s="106" t="s">
        <v>2388</v>
      </c>
      <c r="G1477" s="106" t="s">
        <v>82</v>
      </c>
      <c r="H1477" s="106">
        <v>6</v>
      </c>
      <c r="I1477" s="106" t="s">
        <v>3640</v>
      </c>
      <c r="J1477" s="106">
        <v>31874</v>
      </c>
      <c r="K1477" s="106">
        <v>24255</v>
      </c>
      <c r="L1477" s="106">
        <v>17489</v>
      </c>
      <c r="M1477" s="106">
        <v>0.32</v>
      </c>
      <c r="N1477" s="106">
        <v>0.92</v>
      </c>
      <c r="O1477" s="106">
        <v>1</v>
      </c>
      <c r="P1477" s="106">
        <v>17936</v>
      </c>
      <c r="Q1477" s="106">
        <v>13481.506874095514</v>
      </c>
      <c r="R1477" s="106">
        <v>0.47344297284733977</v>
      </c>
      <c r="S1477" s="106">
        <v>23056.56005788712</v>
      </c>
      <c r="T1477" s="106">
        <v>24056.922575976845</v>
      </c>
      <c r="U1477" s="106">
        <v>21069.849378790546</v>
      </c>
      <c r="V1477" s="106">
        <v>0.71163081342155721</v>
      </c>
      <c r="W1477" s="106">
        <v>81868.330872483217</v>
      </c>
      <c r="X1477" s="110">
        <v>0.61150898223873085</v>
      </c>
      <c r="Y1477" s="106">
        <v>357.81737849779086</v>
      </c>
      <c r="Z1477" s="106">
        <v>12.212076583210603</v>
      </c>
      <c r="AA1477" s="106">
        <v>95784.644215422813</v>
      </c>
      <c r="AB1477" s="106">
        <v>719.10038380679464</v>
      </c>
      <c r="AC1477" s="106">
        <v>1.0440086802963606</v>
      </c>
      <c r="AD1477" s="106">
        <v>23.639191290824261</v>
      </c>
      <c r="AE1477" s="106">
        <v>133.20065789473685</v>
      </c>
      <c r="AF1477" s="106">
        <v>3.7573995570970707E-2</v>
      </c>
      <c r="AG1477" s="106">
        <v>31424</v>
      </c>
      <c r="AH1477" s="106">
        <v>20789.412445730824</v>
      </c>
      <c r="AI1477" s="106">
        <v>23056.56005788712</v>
      </c>
      <c r="AJ1477" s="106">
        <v>26428.143994211288</v>
      </c>
      <c r="AK1477" s="104">
        <v>21338.216353111431</v>
      </c>
      <c r="AL1477" s="118"/>
      <c r="AM1477" s="118">
        <v>2480</v>
      </c>
      <c r="AN1477" s="118">
        <v>80986</v>
      </c>
      <c r="AO1477" s="118">
        <v>459</v>
      </c>
      <c r="AP1477" s="118">
        <f t="shared" si="22"/>
        <v>450</v>
      </c>
    </row>
    <row r="1478" spans="1:42" ht="12.75">
      <c r="A1478" s="106">
        <v>2018</v>
      </c>
      <c r="B1478" s="106">
        <v>-107512</v>
      </c>
      <c r="C1478" s="106">
        <v>0</v>
      </c>
      <c r="D1478" s="106">
        <v>107512</v>
      </c>
      <c r="E1478" s="106" t="s">
        <v>2389</v>
      </c>
      <c r="F1478" s="106" t="s">
        <v>1457</v>
      </c>
      <c r="G1478" s="106" t="s">
        <v>200</v>
      </c>
      <c r="H1478" s="106">
        <v>7</v>
      </c>
      <c r="I1478" s="106" t="s">
        <v>3641</v>
      </c>
      <c r="J1478" s="106">
        <v>25870</v>
      </c>
      <c r="K1478" s="106">
        <v>18679</v>
      </c>
      <c r="L1478" s="106">
        <v>15847</v>
      </c>
      <c r="M1478" s="106">
        <v>0.31</v>
      </c>
      <c r="N1478" s="106">
        <v>0.74</v>
      </c>
      <c r="O1478" s="106">
        <v>0.95</v>
      </c>
      <c r="P1478" s="106">
        <v>16778</v>
      </c>
      <c r="Q1478" s="106">
        <v>14904.220717670954</v>
      </c>
      <c r="R1478" s="106">
        <v>0.58704887929399252</v>
      </c>
      <c r="S1478" s="106">
        <v>28437.458361543671</v>
      </c>
      <c r="T1478" s="106">
        <v>27945.549085985105</v>
      </c>
      <c r="U1478" s="106">
        <v>20427.364859312911</v>
      </c>
      <c r="V1478" s="106">
        <v>0.51324096537165043</v>
      </c>
      <c r="W1478" s="106">
        <v>57745.486394557825</v>
      </c>
      <c r="X1478" s="110">
        <v>0.41131280639184781</v>
      </c>
      <c r="Y1478" s="106">
        <v>404.10638297872339</v>
      </c>
      <c r="Z1478" s="106">
        <v>13.468085106382977</v>
      </c>
      <c r="AA1478" s="106">
        <v>91427.933021833844</v>
      </c>
      <c r="AB1478" s="106">
        <v>680.80460990602182</v>
      </c>
      <c r="AC1478" s="106">
        <v>1.0937576372433035</v>
      </c>
      <c r="AD1478" s="106">
        <v>21.739130434782609</v>
      </c>
      <c r="AE1478" s="106">
        <v>134.29393939393938</v>
      </c>
      <c r="AF1478" s="106">
        <v>9.0173621108779314E-2</v>
      </c>
      <c r="AG1478" s="106">
        <v>25300</v>
      </c>
      <c r="AH1478" s="106">
        <v>20277.683818551119</v>
      </c>
      <c r="AI1478" s="106">
        <v>28515.062965470548</v>
      </c>
      <c r="AJ1478" s="106">
        <v>35868.665538253219</v>
      </c>
      <c r="AK1478" s="104">
        <v>21925.624238320921</v>
      </c>
      <c r="AM1478" s="118">
        <v>1545</v>
      </c>
      <c r="AN1478" s="118">
        <v>44317</v>
      </c>
      <c r="AO1478" s="118">
        <v>330</v>
      </c>
      <c r="AP1478" s="118">
        <f t="shared" ref="AP1478:AP1541" si="23">J1478-AG1478</f>
        <v>570</v>
      </c>
    </row>
    <row r="1479" spans="1:42" ht="12.75">
      <c r="A1479" s="106">
        <v>2018</v>
      </c>
      <c r="B1479" s="106">
        <v>-227331</v>
      </c>
      <c r="C1479" s="106">
        <v>0</v>
      </c>
      <c r="D1479" s="106">
        <v>227331</v>
      </c>
      <c r="E1479" s="106" t="s">
        <v>2390</v>
      </c>
      <c r="F1479" s="106" t="s">
        <v>2291</v>
      </c>
      <c r="G1479" s="106" t="s">
        <v>60</v>
      </c>
      <c r="H1479" s="106">
        <v>6</v>
      </c>
      <c r="I1479" s="106" t="s">
        <v>3640</v>
      </c>
      <c r="J1479" s="106">
        <v>28192</v>
      </c>
      <c r="K1479" s="106">
        <v>18021</v>
      </c>
      <c r="L1479" s="106">
        <v>16229</v>
      </c>
      <c r="M1479" s="106">
        <v>0.65</v>
      </c>
      <c r="N1479" s="106">
        <v>0.77</v>
      </c>
      <c r="O1479" s="106">
        <v>0.99</v>
      </c>
      <c r="P1479" s="106">
        <v>14336</v>
      </c>
      <c r="Q1479" s="106">
        <v>5925.5130168453288</v>
      </c>
      <c r="R1479" s="106">
        <v>0.23341098950702879</v>
      </c>
      <c r="S1479" s="106">
        <v>22698.485834609495</v>
      </c>
      <c r="T1479" s="106">
        <v>23466.314318529861</v>
      </c>
      <c r="U1479" s="106">
        <v>22700.609375548556</v>
      </c>
      <c r="V1479" s="106">
        <v>0.85729389356473062</v>
      </c>
      <c r="W1479" s="106">
        <v>67769.277432712217</v>
      </c>
      <c r="X1479" s="110">
        <v>0.53402541941575921</v>
      </c>
      <c r="Y1479" s="106">
        <v>404.49023437499994</v>
      </c>
      <c r="Z1479" s="106">
        <v>15.304687499999998</v>
      </c>
      <c r="AA1479" s="106">
        <v>68547.967270442576</v>
      </c>
      <c r="AB1479" s="106">
        <v>858.92242389774208</v>
      </c>
      <c r="AC1479" s="106">
        <v>1.4588324640681114</v>
      </c>
      <c r="AD1479" s="106">
        <v>28.978224455611389</v>
      </c>
      <c r="AE1479" s="106">
        <v>79.806936416184968</v>
      </c>
      <c r="AF1479" s="106">
        <v>1.4660501012784965E-2</v>
      </c>
      <c r="AG1479" s="106">
        <v>27364</v>
      </c>
      <c r="AH1479" s="106">
        <v>21875.636294027565</v>
      </c>
      <c r="AI1479" s="106">
        <v>22698.485834609495</v>
      </c>
      <c r="AJ1479" s="106">
        <v>23890.017228177643</v>
      </c>
      <c r="AK1479" s="104">
        <v>22711.174578866769</v>
      </c>
      <c r="AM1479" s="118">
        <v>1342</v>
      </c>
      <c r="AN1479" s="118">
        <v>69033</v>
      </c>
      <c r="AO1479" s="118">
        <v>289</v>
      </c>
      <c r="AP1479" s="118">
        <f t="shared" si="23"/>
        <v>828</v>
      </c>
    </row>
    <row r="1480" spans="1:42" ht="12.75">
      <c r="A1480" s="106">
        <v>2018</v>
      </c>
      <c r="B1480" s="106">
        <v>-204945</v>
      </c>
      <c r="C1480" s="106">
        <v>0</v>
      </c>
      <c r="D1480" s="106">
        <v>204945</v>
      </c>
      <c r="E1480" s="106" t="s">
        <v>2391</v>
      </c>
      <c r="F1480" s="106" t="s">
        <v>2392</v>
      </c>
      <c r="G1480" s="106" t="s">
        <v>82</v>
      </c>
      <c r="H1480" s="106">
        <v>4</v>
      </c>
      <c r="I1480" s="106" t="s">
        <v>24</v>
      </c>
      <c r="J1480" s="106">
        <v>4682</v>
      </c>
      <c r="K1480" s="106">
        <v>6791</v>
      </c>
      <c r="L1480" s="106">
        <v>6096</v>
      </c>
      <c r="M1480" s="106">
        <v>0.54</v>
      </c>
      <c r="N1480" s="106">
        <v>0.56999999999999995</v>
      </c>
      <c r="O1480" s="106">
        <v>0.11</v>
      </c>
      <c r="P1480" s="106">
        <v>2223</v>
      </c>
      <c r="Q1480" s="106">
        <v>82.35168383822851</v>
      </c>
      <c r="R1480" s="106">
        <v>1.408434109504093E-2</v>
      </c>
      <c r="S1480" s="106">
        <v>11259.291250192218</v>
      </c>
      <c r="T1480" s="106">
        <v>6041.4353375365217</v>
      </c>
      <c r="U1480" s="106">
        <v>5358.7517367820201</v>
      </c>
      <c r="V1480" s="106">
        <v>1.0757517875643723</v>
      </c>
      <c r="W1480" s="106">
        <v>20992.440482169764</v>
      </c>
      <c r="X1480" s="110">
        <v>0.35461659083329755</v>
      </c>
      <c r="Y1480" s="106">
        <v>602.1358024691358</v>
      </c>
      <c r="Z1480" s="106">
        <v>20.070987654320987</v>
      </c>
      <c r="AA1480" s="106">
        <v>25252.146771227159</v>
      </c>
      <c r="AB1480" s="106">
        <v>178.62322670480327</v>
      </c>
      <c r="AC1480" s="106">
        <v>3.9600593528128134</v>
      </c>
      <c r="AD1480" s="106">
        <v>26.905829596412556</v>
      </c>
      <c r="AE1480" s="106">
        <v>141.37101449275363</v>
      </c>
      <c r="AF1480" s="106">
        <v>-13.548016199723531</v>
      </c>
      <c r="AG1480" s="106">
        <v>3672</v>
      </c>
      <c r="AH1480" s="106">
        <v>11242.174381054898</v>
      </c>
      <c r="AI1480" s="106">
        <v>11242.174381054898</v>
      </c>
      <c r="AJ1480" s="106">
        <v>11347.191757650315</v>
      </c>
      <c r="AK1480" s="104">
        <v>5902.6607719514068</v>
      </c>
      <c r="AL1480" s="119">
        <v>30082339</v>
      </c>
      <c r="AM1480" s="118">
        <v>10038</v>
      </c>
      <c r="AN1480" s="118">
        <v>195092</v>
      </c>
      <c r="AO1480" s="118">
        <v>1015</v>
      </c>
      <c r="AP1480" s="118">
        <f t="shared" si="23"/>
        <v>1010</v>
      </c>
    </row>
    <row r="1481" spans="1:42" ht="12.75">
      <c r="A1481" s="106">
        <v>2018</v>
      </c>
      <c r="B1481" s="106">
        <v>-247940</v>
      </c>
      <c r="C1481" s="106">
        <v>0</v>
      </c>
      <c r="D1481" s="106">
        <v>247940</v>
      </c>
      <c r="E1481" s="106" t="s">
        <v>4173</v>
      </c>
      <c r="F1481" s="106" t="s">
        <v>440</v>
      </c>
      <c r="G1481" s="106" t="s">
        <v>118</v>
      </c>
      <c r="H1481" s="106">
        <v>4</v>
      </c>
      <c r="I1481" s="106" t="s">
        <v>24</v>
      </c>
      <c r="J1481" s="106">
        <v>4080</v>
      </c>
      <c r="K1481" s="106">
        <v>5883</v>
      </c>
      <c r="L1481" s="106">
        <v>4044</v>
      </c>
      <c r="M1481" s="106">
        <v>0.59</v>
      </c>
      <c r="N1481" s="106">
        <v>0.17</v>
      </c>
      <c r="O1481" s="106">
        <v>0.08</v>
      </c>
      <c r="P1481" s="106">
        <v>2246</v>
      </c>
      <c r="Q1481" s="106">
        <v>3287.9614325068869</v>
      </c>
      <c r="R1481" s="106">
        <v>0.61055593211668568</v>
      </c>
      <c r="S1481" s="106">
        <v>11099.029384756657</v>
      </c>
      <c r="T1481" s="106">
        <v>10298.44214876033</v>
      </c>
      <c r="U1481" s="106">
        <v>8242.5762726378416</v>
      </c>
      <c r="V1481" s="106">
        <v>0.25443882295886938</v>
      </c>
      <c r="W1481" s="106">
        <v>55713.398044692738</v>
      </c>
      <c r="X1481" s="110">
        <v>0.59281885199590001</v>
      </c>
      <c r="Y1481" s="106">
        <v>576.57352941176464</v>
      </c>
      <c r="Z1481" s="106">
        <v>19.217647058823527</v>
      </c>
      <c r="AA1481" s="106">
        <v>9453.5708908926918</v>
      </c>
      <c r="AB1481" s="106">
        <v>274.73151919512162</v>
      </c>
      <c r="AC1481" s="106">
        <v>10.578013446362077</v>
      </c>
      <c r="AD1481" s="106">
        <v>83.362598770851619</v>
      </c>
      <c r="AE1481" s="106">
        <v>34.410215903106895</v>
      </c>
      <c r="AF1481" s="106"/>
      <c r="AG1481" s="106">
        <v>3888</v>
      </c>
      <c r="AH1481" s="106">
        <v>10469.217630853995</v>
      </c>
      <c r="AI1481" s="106">
        <v>10478.422865013774</v>
      </c>
      <c r="AJ1481" s="106">
        <v>11120.401744719926</v>
      </c>
      <c r="AK1481" s="104">
        <v>9793.578053259871</v>
      </c>
      <c r="AL1481" s="118">
        <v>8193500</v>
      </c>
      <c r="AM1481" s="118">
        <v>3787</v>
      </c>
      <c r="AN1481" s="118">
        <v>65345</v>
      </c>
      <c r="AO1481" s="118">
        <v>607</v>
      </c>
      <c r="AP1481" s="118">
        <f t="shared" si="23"/>
        <v>192</v>
      </c>
    </row>
    <row r="1482" spans="1:42" ht="12.75">
      <c r="A1482" s="106">
        <v>2018</v>
      </c>
      <c r="B1482" s="106">
        <v>-120421</v>
      </c>
      <c r="C1482" s="106">
        <v>0</v>
      </c>
      <c r="D1482" s="106">
        <v>120421</v>
      </c>
      <c r="E1482" s="106" t="s">
        <v>4174</v>
      </c>
      <c r="F1482" s="106" t="s">
        <v>4175</v>
      </c>
      <c r="G1482" s="106" t="s">
        <v>121</v>
      </c>
      <c r="H1482" s="106">
        <v>4</v>
      </c>
      <c r="I1482" s="106" t="s">
        <v>24</v>
      </c>
      <c r="J1482" s="106">
        <v>1388</v>
      </c>
      <c r="K1482" s="106">
        <v>2888</v>
      </c>
      <c r="L1482" s="106">
        <v>521</v>
      </c>
      <c r="M1482" s="106">
        <v>0.64</v>
      </c>
      <c r="N1482" s="106">
        <v>0</v>
      </c>
      <c r="O1482" s="106">
        <v>0</v>
      </c>
      <c r="P1482" s="106"/>
      <c r="Q1482" s="106">
        <v>60.089988221436982</v>
      </c>
      <c r="R1482" s="106">
        <v>6.1541898611071906E-2</v>
      </c>
      <c r="S1482" s="106">
        <v>13318.858186101295</v>
      </c>
      <c r="T1482" s="106">
        <v>12802.100117785631</v>
      </c>
      <c r="U1482" s="106">
        <v>8704.7764202472663</v>
      </c>
      <c r="V1482" s="106">
        <v>0.10526609086694087</v>
      </c>
      <c r="W1482" s="106">
        <v>120385.09693251533</v>
      </c>
      <c r="X1482" s="110">
        <v>0.60179720586553498</v>
      </c>
      <c r="Y1482" s="106">
        <v>870.33485193621857</v>
      </c>
      <c r="Z1482" s="106">
        <v>29.009111617312072</v>
      </c>
      <c r="AA1482" s="106">
        <v>19728.657717004618</v>
      </c>
      <c r="AB1482" s="106">
        <v>290.13870950580366</v>
      </c>
      <c r="AC1482" s="106">
        <v>5.0687685616750056</v>
      </c>
      <c r="AD1482" s="106">
        <v>48.025641025641022</v>
      </c>
      <c r="AE1482" s="106">
        <v>67.997330485851577</v>
      </c>
      <c r="AF1482" s="106"/>
      <c r="AG1482" s="106">
        <v>1338</v>
      </c>
      <c r="AH1482" s="106">
        <v>11337.782803297998</v>
      </c>
      <c r="AI1482" s="106">
        <v>11338.960659599528</v>
      </c>
      <c r="AJ1482" s="106">
        <v>13318.858186101295</v>
      </c>
      <c r="AK1482" s="104">
        <v>11268.941813898704</v>
      </c>
      <c r="AL1482" s="118">
        <v>31381817</v>
      </c>
      <c r="AM1482" s="118">
        <v>7451</v>
      </c>
      <c r="AN1482" s="118">
        <v>127359</v>
      </c>
      <c r="AO1482" s="118">
        <v>992</v>
      </c>
      <c r="AP1482" s="118">
        <f t="shared" si="23"/>
        <v>50</v>
      </c>
    </row>
    <row r="1483" spans="1:42" ht="12.75">
      <c r="A1483" s="106">
        <v>2018</v>
      </c>
      <c r="B1483" s="106">
        <v>-107549</v>
      </c>
      <c r="C1483" s="106">
        <v>0</v>
      </c>
      <c r="D1483" s="106">
        <v>107549</v>
      </c>
      <c r="E1483" s="106" t="s">
        <v>2393</v>
      </c>
      <c r="F1483" s="106" t="s">
        <v>1197</v>
      </c>
      <c r="G1483" s="106" t="s">
        <v>200</v>
      </c>
      <c r="H1483" s="106">
        <v>4</v>
      </c>
      <c r="I1483" s="106" t="s">
        <v>24</v>
      </c>
      <c r="J1483" s="106">
        <v>2932</v>
      </c>
      <c r="K1483" s="106">
        <v>7049</v>
      </c>
      <c r="L1483" s="106">
        <v>8203</v>
      </c>
      <c r="M1483" s="106">
        <v>0.81</v>
      </c>
      <c r="N1483" s="106">
        <v>0.2</v>
      </c>
      <c r="O1483" s="106">
        <v>0.24</v>
      </c>
      <c r="P1483" s="106">
        <v>2129</v>
      </c>
      <c r="Q1483" s="106">
        <v>777.606783919598</v>
      </c>
      <c r="R1483" s="106">
        <v>0.17229285401139852</v>
      </c>
      <c r="S1483" s="106">
        <v>12831.442211055277</v>
      </c>
      <c r="T1483" s="106">
        <v>12829.889447236181</v>
      </c>
      <c r="U1483" s="106">
        <v>8592.4858183300257</v>
      </c>
      <c r="V1483" s="106">
        <v>0.43476107740447095</v>
      </c>
      <c r="W1483" s="106">
        <v>53204.239436619719</v>
      </c>
      <c r="X1483" s="110">
        <v>0.61647767775311102</v>
      </c>
      <c r="Y1483" s="106">
        <v>500.68531468531461</v>
      </c>
      <c r="Z1483" s="106">
        <v>16.699300699300696</v>
      </c>
      <c r="AA1483" s="106">
        <v>14429.57534048671</v>
      </c>
      <c r="AB1483" s="106">
        <v>286.58420813670915</v>
      </c>
      <c r="AC1483" s="106">
        <v>6.9302108787234076</v>
      </c>
      <c r="AD1483" s="106">
        <v>60.2287166454892</v>
      </c>
      <c r="AE1483" s="106">
        <v>50.350210970464133</v>
      </c>
      <c r="AF1483" s="106">
        <v>7.3538653415128427E-2</v>
      </c>
      <c r="AG1483" s="106">
        <v>2160</v>
      </c>
      <c r="AH1483" s="106">
        <v>11475.924623115578</v>
      </c>
      <c r="AI1483" s="106">
        <v>11506.278894472362</v>
      </c>
      <c r="AJ1483" s="106">
        <v>12848.22864321608</v>
      </c>
      <c r="AK1483" s="104">
        <v>10654.36432160804</v>
      </c>
      <c r="AL1483" s="119">
        <v>4849794</v>
      </c>
      <c r="AM1483" s="118">
        <v>1186</v>
      </c>
      <c r="AN1483" s="118">
        <v>23866</v>
      </c>
      <c r="AO1483" s="118">
        <v>153</v>
      </c>
      <c r="AP1483" s="118">
        <f t="shared" si="23"/>
        <v>772</v>
      </c>
    </row>
    <row r="1484" spans="1:42" ht="12.75">
      <c r="A1484" s="106">
        <v>2018</v>
      </c>
      <c r="B1484" s="106">
        <v>-177472</v>
      </c>
      <c r="C1484" s="106">
        <v>0</v>
      </c>
      <c r="D1484" s="106">
        <v>177472</v>
      </c>
      <c r="E1484" s="106" t="s">
        <v>2394</v>
      </c>
      <c r="F1484" s="106" t="s">
        <v>149</v>
      </c>
      <c r="G1484" s="106" t="s">
        <v>264</v>
      </c>
      <c r="H1484" s="106">
        <v>4</v>
      </c>
      <c r="I1484" s="106" t="s">
        <v>24</v>
      </c>
      <c r="J1484" s="106">
        <v>3192</v>
      </c>
      <c r="K1484" s="106">
        <v>6195</v>
      </c>
      <c r="L1484" s="106">
        <v>6141</v>
      </c>
      <c r="M1484" s="106">
        <v>0.54</v>
      </c>
      <c r="N1484" s="106">
        <v>0.56000000000000005</v>
      </c>
      <c r="O1484" s="106">
        <v>0.05</v>
      </c>
      <c r="P1484" s="106">
        <v>1498</v>
      </c>
      <c r="Q1484" s="106">
        <v>61.88709307657038</v>
      </c>
      <c r="R1484" s="106">
        <v>1.2131563116145556E-2</v>
      </c>
      <c r="S1484" s="106">
        <v>9692.1153140761126</v>
      </c>
      <c r="T1484" s="106">
        <v>9581.4569005043559</v>
      </c>
      <c r="U1484" s="106">
        <v>8049.7176753782669</v>
      </c>
      <c r="V1484" s="106">
        <v>0.6260395672315977</v>
      </c>
      <c r="W1484" s="106">
        <v>45211.804149638469</v>
      </c>
      <c r="X1484" s="110">
        <v>0.57351798922891783</v>
      </c>
      <c r="Y1484" s="106">
        <v>492.2727272727272</v>
      </c>
      <c r="Z1484" s="106">
        <v>16.408777429467083</v>
      </c>
      <c r="AA1484" s="106">
        <v>24788.470525944227</v>
      </c>
      <c r="AB1484" s="106">
        <v>268.31879644665202</v>
      </c>
      <c r="AC1484" s="106">
        <v>4.0341335257186408</v>
      </c>
      <c r="AD1484" s="106">
        <v>34.992588932806321</v>
      </c>
      <c r="AE1484" s="106">
        <v>92.384398164489937</v>
      </c>
      <c r="AF1484" s="106">
        <v>8.4934781442307483E-2</v>
      </c>
      <c r="AG1484" s="106">
        <v>2592</v>
      </c>
      <c r="AH1484" s="106">
        <v>9600.6765245300321</v>
      </c>
      <c r="AI1484" s="106">
        <v>9662.0025217790007</v>
      </c>
      <c r="AJ1484" s="106">
        <v>9755.2908069692803</v>
      </c>
      <c r="AK1484" s="104">
        <v>8162.861187528657</v>
      </c>
      <c r="AL1484" s="118">
        <v>23975379</v>
      </c>
      <c r="AM1484" s="118">
        <v>12692</v>
      </c>
      <c r="AN1484" s="118">
        <v>261725</v>
      </c>
      <c r="AO1484" s="118">
        <v>1837</v>
      </c>
      <c r="AP1484" s="118">
        <f t="shared" si="23"/>
        <v>600</v>
      </c>
    </row>
    <row r="1485" spans="1:42" ht="12.75">
      <c r="A1485" s="106">
        <v>2018</v>
      </c>
      <c r="B1485" s="106">
        <v>-194310</v>
      </c>
      <c r="C1485" s="106">
        <v>0</v>
      </c>
      <c r="D1485" s="106">
        <v>194310</v>
      </c>
      <c r="E1485" s="106" t="s">
        <v>2395</v>
      </c>
      <c r="F1485" s="106" t="s">
        <v>290</v>
      </c>
      <c r="G1485" s="106" t="s">
        <v>69</v>
      </c>
      <c r="H1485" s="106">
        <v>5</v>
      </c>
      <c r="I1485" s="106" t="s">
        <v>3639</v>
      </c>
      <c r="J1485" s="106">
        <v>43986</v>
      </c>
      <c r="K1485" s="106">
        <v>31923</v>
      </c>
      <c r="L1485" s="106">
        <v>24939</v>
      </c>
      <c r="M1485" s="106">
        <v>0.32</v>
      </c>
      <c r="N1485" s="106">
        <v>0.61</v>
      </c>
      <c r="O1485" s="106">
        <v>0.96</v>
      </c>
      <c r="P1485" s="106">
        <v>27044</v>
      </c>
      <c r="Q1485" s="106">
        <v>14736.5189289012</v>
      </c>
      <c r="R1485" s="106">
        <v>0.40931272264361035</v>
      </c>
      <c r="S1485" s="106">
        <v>28842.214989227454</v>
      </c>
      <c r="T1485" s="106">
        <v>29492.880270852569</v>
      </c>
      <c r="U1485" s="106">
        <v>23197.145622493099</v>
      </c>
      <c r="V1485" s="106">
        <v>0.91677493345249872</v>
      </c>
      <c r="W1485" s="106">
        <v>102615.64465116279</v>
      </c>
      <c r="X1485" s="110">
        <v>0.57560578131402473</v>
      </c>
      <c r="Y1485" s="106">
        <v>427.92265193370167</v>
      </c>
      <c r="Z1485" s="106">
        <v>16.56948576285593</v>
      </c>
      <c r="AA1485" s="106">
        <v>84873.340233648734</v>
      </c>
      <c r="AB1485" s="106">
        <v>898.21086215913851</v>
      </c>
      <c r="AC1485" s="106">
        <v>1.1782262807697792</v>
      </c>
      <c r="AD1485" s="106">
        <v>31.520099387700775</v>
      </c>
      <c r="AE1485" s="106">
        <v>94.491554054054049</v>
      </c>
      <c r="AF1485" s="106">
        <v>5.1246119872578398E-2</v>
      </c>
      <c r="AG1485" s="106">
        <v>42354</v>
      </c>
      <c r="AH1485" s="106">
        <v>27829.861803631888</v>
      </c>
      <c r="AI1485" s="106">
        <v>28950.832102185286</v>
      </c>
      <c r="AJ1485" s="106">
        <v>30205.742536164973</v>
      </c>
      <c r="AK1485" s="104">
        <v>23778.832179132041</v>
      </c>
      <c r="AL1485" s="118">
        <v>857486</v>
      </c>
      <c r="AM1485" s="118">
        <v>8674</v>
      </c>
      <c r="AN1485" s="118">
        <v>335634</v>
      </c>
      <c r="AO1485" s="118">
        <v>1775</v>
      </c>
      <c r="AP1485" s="118">
        <f t="shared" si="23"/>
        <v>1632</v>
      </c>
    </row>
    <row r="1486" spans="1:42" ht="12.75">
      <c r="A1486" s="106">
        <v>2018</v>
      </c>
      <c r="B1486" s="106">
        <v>-236230</v>
      </c>
      <c r="C1486" s="106">
        <v>0</v>
      </c>
      <c r="D1486" s="106">
        <v>236230</v>
      </c>
      <c r="E1486" s="106" t="s">
        <v>2396</v>
      </c>
      <c r="F1486" s="106" t="s">
        <v>303</v>
      </c>
      <c r="G1486" s="106" t="s">
        <v>182</v>
      </c>
      <c r="H1486" s="106">
        <v>6</v>
      </c>
      <c r="I1486" s="106" t="s">
        <v>3640</v>
      </c>
      <c r="J1486" s="106">
        <v>40722</v>
      </c>
      <c r="K1486" s="106">
        <v>24174</v>
      </c>
      <c r="L1486" s="106">
        <v>17389</v>
      </c>
      <c r="M1486" s="106">
        <v>0.32</v>
      </c>
      <c r="N1486" s="106">
        <v>0.56999999999999995</v>
      </c>
      <c r="O1486" s="106">
        <v>0.98</v>
      </c>
      <c r="P1486" s="106">
        <v>24816</v>
      </c>
      <c r="Q1486" s="106">
        <v>17917.871882793017</v>
      </c>
      <c r="R1486" s="106">
        <v>0.48627013194032614</v>
      </c>
      <c r="S1486" s="106">
        <v>27270.284912718205</v>
      </c>
      <c r="T1486" s="106">
        <v>29009.913341645886</v>
      </c>
      <c r="U1486" s="106">
        <v>20727.014997330345</v>
      </c>
      <c r="V1486" s="106">
        <v>0.91328618165606867</v>
      </c>
      <c r="W1486" s="106">
        <v>84894.478632478626</v>
      </c>
      <c r="X1486" s="110">
        <v>0.64037706088990431</v>
      </c>
      <c r="Y1486" s="106">
        <v>351.71012658227852</v>
      </c>
      <c r="Z1486" s="106">
        <v>12.182278481012659</v>
      </c>
      <c r="AA1486" s="106">
        <v>87489.821199257553</v>
      </c>
      <c r="AB1486" s="106">
        <v>717.9272067917957</v>
      </c>
      <c r="AC1486" s="106">
        <v>1.1429901059261578</v>
      </c>
      <c r="AD1486" s="106">
        <v>25.401069518716579</v>
      </c>
      <c r="AE1486" s="106">
        <v>121.86447368421052</v>
      </c>
      <c r="AF1486" s="106">
        <v>1.3130064655270834E-2</v>
      </c>
      <c r="AG1486" s="106">
        <v>40352</v>
      </c>
      <c r="AH1486" s="106">
        <v>24993.542705735661</v>
      </c>
      <c r="AI1486" s="106">
        <v>27465.785536159601</v>
      </c>
      <c r="AJ1486" s="106">
        <v>29315.56421446384</v>
      </c>
      <c r="AK1486" s="104">
        <v>21251.292082294265</v>
      </c>
      <c r="AL1486" s="118"/>
      <c r="AM1486" s="118">
        <v>2766</v>
      </c>
      <c r="AN1486" s="118">
        <v>92617</v>
      </c>
      <c r="AO1486" s="118">
        <v>621</v>
      </c>
      <c r="AP1486" s="118">
        <f t="shared" si="23"/>
        <v>370</v>
      </c>
    </row>
    <row r="1487" spans="1:42" ht="12.75">
      <c r="A1487" s="106">
        <v>2018</v>
      </c>
      <c r="B1487" s="106">
        <v>-457484</v>
      </c>
      <c r="C1487" s="106">
        <v>0</v>
      </c>
      <c r="D1487" s="106">
        <v>457484</v>
      </c>
      <c r="E1487" s="106" t="s">
        <v>2397</v>
      </c>
      <c r="F1487" s="106" t="s">
        <v>703</v>
      </c>
      <c r="G1487" s="106" t="s">
        <v>453</v>
      </c>
      <c r="H1487" s="106">
        <v>7</v>
      </c>
      <c r="I1487" s="106" t="s">
        <v>3641</v>
      </c>
      <c r="J1487" s="106">
        <v>10460</v>
      </c>
      <c r="K1487" s="106">
        <v>15149</v>
      </c>
      <c r="L1487" s="106">
        <v>13102</v>
      </c>
      <c r="M1487" s="106">
        <v>0.33</v>
      </c>
      <c r="N1487" s="106">
        <v>0.56000000000000005</v>
      </c>
      <c r="O1487" s="106">
        <v>0.56000000000000005</v>
      </c>
      <c r="P1487" s="106">
        <v>1529</v>
      </c>
      <c r="Q1487" s="106">
        <v>1357.672268907563</v>
      </c>
      <c r="R1487" s="106">
        <v>0.12041798186608631</v>
      </c>
      <c r="S1487" s="106">
        <v>13449.705882352941</v>
      </c>
      <c r="T1487" s="106">
        <v>13568.033613445377</v>
      </c>
      <c r="U1487" s="106">
        <v>12723.857142857143</v>
      </c>
      <c r="V1487" s="106">
        <v>0.77940136275467442</v>
      </c>
      <c r="W1487" s="106">
        <v>56082.04615384616</v>
      </c>
      <c r="X1487" s="110">
        <v>0.75257897331592549</v>
      </c>
      <c r="Y1487" s="106">
        <v>416.03999999999996</v>
      </c>
      <c r="Z1487" s="106">
        <v>14.28</v>
      </c>
      <c r="AA1487" s="106">
        <v>58236.115384615383</v>
      </c>
      <c r="AB1487" s="106">
        <v>436.72887222382462</v>
      </c>
      <c r="AC1487" s="106">
        <v>1.7171475009890111</v>
      </c>
      <c r="AD1487" s="106">
        <v>20.967741935483872</v>
      </c>
      <c r="AE1487" s="106">
        <v>133.34615384615384</v>
      </c>
      <c r="AF1487" s="106">
        <v>-9.2780319567796019E-2</v>
      </c>
      <c r="AG1487" s="106">
        <v>9960</v>
      </c>
      <c r="AH1487" s="106">
        <v>10672.697478991597</v>
      </c>
      <c r="AI1487" s="106">
        <v>13079.210084033613</v>
      </c>
      <c r="AJ1487" s="106">
        <v>13449.705882352941</v>
      </c>
      <c r="AK1487" s="104">
        <v>12723.857142857143</v>
      </c>
      <c r="AL1487" s="118"/>
      <c r="AM1487" s="118">
        <v>121</v>
      </c>
      <c r="AN1487" s="118">
        <v>3467</v>
      </c>
      <c r="AO1487" s="118">
        <v>21</v>
      </c>
      <c r="AP1487" s="118">
        <f t="shared" si="23"/>
        <v>500</v>
      </c>
    </row>
    <row r="1488" spans="1:42" ht="12.75">
      <c r="A1488" s="106">
        <v>2018</v>
      </c>
      <c r="B1488" s="106">
        <v>-120865</v>
      </c>
      <c r="C1488" s="106">
        <v>0</v>
      </c>
      <c r="D1488" s="106">
        <v>120865</v>
      </c>
      <c r="E1488" s="106" t="s">
        <v>2398</v>
      </c>
      <c r="F1488" s="106" t="s">
        <v>2399</v>
      </c>
      <c r="G1488" s="106" t="s">
        <v>121</v>
      </c>
      <c r="H1488" s="106">
        <v>7</v>
      </c>
      <c r="I1488" s="106" t="s">
        <v>3641</v>
      </c>
      <c r="J1488" s="106">
        <v>29469</v>
      </c>
      <c r="K1488" s="106">
        <v>23005</v>
      </c>
      <c r="L1488" s="106">
        <v>17428</v>
      </c>
      <c r="M1488" s="106">
        <v>0.42</v>
      </c>
      <c r="N1488" s="106">
        <v>0.72</v>
      </c>
      <c r="O1488" s="106">
        <v>1</v>
      </c>
      <c r="P1488" s="106">
        <v>14332</v>
      </c>
      <c r="Q1488" s="106">
        <v>12534.299465240641</v>
      </c>
      <c r="R1488" s="106">
        <v>0.42630498930636657</v>
      </c>
      <c r="S1488" s="106">
        <v>37308.180926916219</v>
      </c>
      <c r="T1488" s="106">
        <v>42607.027629233511</v>
      </c>
      <c r="U1488" s="106">
        <v>23319.889483065952</v>
      </c>
      <c r="V1488" s="106">
        <v>0.72332626636370623</v>
      </c>
      <c r="W1488" s="106">
        <v>113510.45100864553</v>
      </c>
      <c r="X1488" s="110">
        <v>0.54928782157797651</v>
      </c>
      <c r="Y1488" s="106">
        <v>568.78195488721803</v>
      </c>
      <c r="Z1488" s="106">
        <v>12.654135338345863</v>
      </c>
      <c r="AA1488" s="106">
        <v>68855.042105263157</v>
      </c>
      <c r="AB1488" s="106">
        <v>518.81575190355329</v>
      </c>
      <c r="AC1488" s="106">
        <v>1.4523264664790057</v>
      </c>
      <c r="AD1488" s="106">
        <v>33.362598770851626</v>
      </c>
      <c r="AE1488" s="106">
        <v>132.7157894736842</v>
      </c>
      <c r="AF1488" s="106">
        <v>-0.1043993307060124</v>
      </c>
      <c r="AG1488" s="106">
        <v>28839</v>
      </c>
      <c r="AH1488" s="106">
        <v>31382.014260249554</v>
      </c>
      <c r="AI1488" s="106">
        <v>37308.180926916219</v>
      </c>
      <c r="AJ1488" s="106">
        <v>38650.588235294119</v>
      </c>
      <c r="AK1488" s="104">
        <v>23319.889483065952</v>
      </c>
      <c r="AL1488" s="118"/>
      <c r="AM1488" s="118">
        <v>1226</v>
      </c>
      <c r="AN1488" s="118">
        <v>50432</v>
      </c>
      <c r="AO1488" s="118">
        <v>380</v>
      </c>
      <c r="AP1488" s="118">
        <f t="shared" si="23"/>
        <v>630</v>
      </c>
    </row>
    <row r="1489" spans="1:42" ht="12.75">
      <c r="A1489" s="106">
        <v>2018</v>
      </c>
      <c r="B1489" s="106">
        <v>-209612</v>
      </c>
      <c r="C1489" s="106">
        <v>0</v>
      </c>
      <c r="D1489" s="106">
        <v>209612</v>
      </c>
      <c r="E1489" s="106" t="s">
        <v>2400</v>
      </c>
      <c r="F1489" s="106" t="s">
        <v>2401</v>
      </c>
      <c r="G1489" s="106" t="s">
        <v>405</v>
      </c>
      <c r="H1489" s="106">
        <v>6</v>
      </c>
      <c r="I1489" s="106" t="s">
        <v>3640</v>
      </c>
      <c r="J1489" s="106">
        <v>43556</v>
      </c>
      <c r="K1489" s="106">
        <v>30337</v>
      </c>
      <c r="L1489" s="106">
        <v>23063</v>
      </c>
      <c r="M1489" s="106">
        <v>0.28000000000000003</v>
      </c>
      <c r="N1489" s="106">
        <v>0.95</v>
      </c>
      <c r="O1489" s="106">
        <v>0.94</v>
      </c>
      <c r="P1489" s="106">
        <v>25762</v>
      </c>
      <c r="Q1489" s="106">
        <v>9839.7654290631908</v>
      </c>
      <c r="R1489" s="106">
        <v>0.28760210796009933</v>
      </c>
      <c r="S1489" s="106">
        <v>30786.761986722398</v>
      </c>
      <c r="T1489" s="106">
        <v>30258.786083107942</v>
      </c>
      <c r="U1489" s="106">
        <v>26541.198807315523</v>
      </c>
      <c r="V1489" s="106">
        <v>0.91832153995936117</v>
      </c>
      <c r="W1489" s="106">
        <v>96623.428391959795</v>
      </c>
      <c r="X1489" s="110">
        <v>0.62498534992179544</v>
      </c>
      <c r="Y1489" s="106">
        <v>226.03278688524591</v>
      </c>
      <c r="Z1489" s="106">
        <v>11.112021857923498</v>
      </c>
      <c r="AA1489" s="106">
        <v>89356.834064033304</v>
      </c>
      <c r="AB1489" s="106">
        <v>1304.7946952585851</v>
      </c>
      <c r="AC1489" s="106">
        <v>1.1191085835509769</v>
      </c>
      <c r="AD1489" s="106">
        <v>31.991525423728813</v>
      </c>
      <c r="AE1489" s="106">
        <v>68.483443708609272</v>
      </c>
      <c r="AF1489" s="106">
        <v>4.057038109465505E-2</v>
      </c>
      <c r="AG1489" s="106">
        <v>42594</v>
      </c>
      <c r="AH1489" s="106">
        <v>29169.431030243424</v>
      </c>
      <c r="AI1489" s="106">
        <v>30838.864027538726</v>
      </c>
      <c r="AJ1489" s="106">
        <v>31684.011310548314</v>
      </c>
      <c r="AK1489" s="104">
        <v>27508.530120481926</v>
      </c>
      <c r="AM1489" s="118">
        <v>1876</v>
      </c>
      <c r="AN1489" s="118">
        <v>82728</v>
      </c>
      <c r="AO1489" s="118">
        <v>469</v>
      </c>
      <c r="AP1489" s="118">
        <f t="shared" si="23"/>
        <v>962</v>
      </c>
    </row>
    <row r="1490" spans="1:42" ht="12.75">
      <c r="A1490" s="106">
        <v>2018</v>
      </c>
      <c r="B1490" s="106">
        <v>-140720</v>
      </c>
      <c r="C1490" s="106">
        <v>0</v>
      </c>
      <c r="D1490" s="106">
        <v>140720</v>
      </c>
      <c r="E1490" s="106" t="s">
        <v>2402</v>
      </c>
      <c r="F1490" s="106" t="s">
        <v>240</v>
      </c>
      <c r="G1490" s="106" t="s">
        <v>63</v>
      </c>
      <c r="H1490" s="106">
        <v>7</v>
      </c>
      <c r="I1490" s="106" t="s">
        <v>3641</v>
      </c>
      <c r="J1490" s="106">
        <v>14226</v>
      </c>
      <c r="K1490" s="106">
        <v>14614</v>
      </c>
      <c r="L1490" s="106">
        <v>14556</v>
      </c>
      <c r="M1490" s="106">
        <v>0.89</v>
      </c>
      <c r="N1490" s="106">
        <v>0.9</v>
      </c>
      <c r="O1490" s="106">
        <v>0.56999999999999995</v>
      </c>
      <c r="P1490" s="106">
        <v>7211</v>
      </c>
      <c r="Q1490" s="106">
        <v>3784.2179836512259</v>
      </c>
      <c r="R1490" s="106">
        <v>0.37703928673525977</v>
      </c>
      <c r="S1490" s="106">
        <v>37935.553133514986</v>
      </c>
      <c r="T1490" s="106">
        <v>37683.08174386921</v>
      </c>
      <c r="U1490" s="106">
        <v>22081.291553133517</v>
      </c>
      <c r="V1490" s="106">
        <v>0.28315597283952265</v>
      </c>
      <c r="W1490" s="106">
        <v>49050.14876033058</v>
      </c>
      <c r="X1490" s="110">
        <v>0.42915405702123061</v>
      </c>
      <c r="Y1490" s="106">
        <v>292.66363636363639</v>
      </c>
      <c r="Z1490" s="106">
        <v>10.00909090909091</v>
      </c>
      <c r="AA1490" s="106">
        <v>109511.27027027027</v>
      </c>
      <c r="AB1490" s="106">
        <v>755.17975957506292</v>
      </c>
      <c r="AC1490" s="106">
        <v>0.91314802351578273</v>
      </c>
      <c r="AD1490" s="106">
        <v>20.21857923497268</v>
      </c>
      <c r="AE1490" s="106">
        <v>145.01351351351352</v>
      </c>
      <c r="AF1490" s="106">
        <v>5.2636841187361071E-3</v>
      </c>
      <c r="AG1490" s="106">
        <v>12706</v>
      </c>
      <c r="AH1490" s="106">
        <v>27777.708446866483</v>
      </c>
      <c r="AI1490" s="106">
        <v>34354.956403269753</v>
      </c>
      <c r="AJ1490" s="106">
        <v>37935.553133514986</v>
      </c>
      <c r="AK1490" s="104">
        <v>22081.291553133517</v>
      </c>
      <c r="AL1490" s="118"/>
      <c r="AM1490" s="118">
        <v>426</v>
      </c>
      <c r="AN1490" s="118">
        <v>10731</v>
      </c>
      <c r="AO1490" s="118">
        <v>74</v>
      </c>
      <c r="AP1490" s="118">
        <f t="shared" si="23"/>
        <v>1520</v>
      </c>
    </row>
    <row r="1491" spans="1:42" ht="12.75">
      <c r="A1491" s="106">
        <v>2018</v>
      </c>
      <c r="B1491" s="106">
        <v>-136330</v>
      </c>
      <c r="C1491" s="106">
        <v>0</v>
      </c>
      <c r="D1491" s="106">
        <v>136330</v>
      </c>
      <c r="E1491" s="106" t="s">
        <v>2403</v>
      </c>
      <c r="F1491" s="106" t="s">
        <v>2404</v>
      </c>
      <c r="G1491" s="106" t="s">
        <v>258</v>
      </c>
      <c r="H1491" s="106">
        <v>6</v>
      </c>
      <c r="I1491" s="106" t="s">
        <v>3640</v>
      </c>
      <c r="J1491" s="106">
        <v>29950</v>
      </c>
      <c r="K1491" s="106">
        <v>24557</v>
      </c>
      <c r="L1491" s="106">
        <v>20993</v>
      </c>
      <c r="M1491" s="106">
        <v>0.36</v>
      </c>
      <c r="N1491" s="106">
        <v>0.62</v>
      </c>
      <c r="O1491" s="106">
        <v>1</v>
      </c>
      <c r="P1491" s="106">
        <v>15882</v>
      </c>
      <c r="Q1491" s="106">
        <v>9678.5490931832392</v>
      </c>
      <c r="R1491" s="106">
        <v>0.35902611035714699</v>
      </c>
      <c r="S1491" s="106">
        <v>24486.554096310192</v>
      </c>
      <c r="T1491" s="106">
        <v>23960.913070669169</v>
      </c>
      <c r="U1491" s="106">
        <v>20004.881029013406</v>
      </c>
      <c r="V1491" s="106">
        <v>0.86375105145984632</v>
      </c>
      <c r="W1491" s="106">
        <v>80286.531187122731</v>
      </c>
      <c r="X1491" s="110">
        <v>0.52073558928315089</v>
      </c>
      <c r="Y1491" s="106">
        <v>371.76409495548961</v>
      </c>
      <c r="Z1491" s="106">
        <v>14.234421364985163</v>
      </c>
      <c r="AA1491" s="106">
        <v>80472.46481859732</v>
      </c>
      <c r="AB1491" s="106">
        <v>765.96398035014158</v>
      </c>
      <c r="AC1491" s="106">
        <v>1.2426610794813113</v>
      </c>
      <c r="AD1491" s="106">
        <v>24.164133738601823</v>
      </c>
      <c r="AE1491" s="106">
        <v>105.06037735849057</v>
      </c>
      <c r="AF1491" s="106">
        <v>3.9376547913888359E-2</v>
      </c>
      <c r="AG1491" s="106">
        <v>29510</v>
      </c>
      <c r="AH1491" s="106">
        <v>21338.023764853035</v>
      </c>
      <c r="AI1491" s="106">
        <v>24486.554096310192</v>
      </c>
      <c r="AJ1491" s="106">
        <v>26029.080675422138</v>
      </c>
      <c r="AK1491" s="104">
        <v>20025.641025641027</v>
      </c>
      <c r="AM1491" s="118">
        <v>3003</v>
      </c>
      <c r="AN1491" s="118">
        <v>83523</v>
      </c>
      <c r="AO1491" s="118">
        <v>512</v>
      </c>
      <c r="AP1491" s="118">
        <f t="shared" si="23"/>
        <v>440</v>
      </c>
    </row>
    <row r="1492" spans="1:42" ht="12.75">
      <c r="A1492" s="106">
        <v>2018</v>
      </c>
      <c r="B1492" s="106">
        <v>-136358</v>
      </c>
      <c r="C1492" s="106">
        <v>0</v>
      </c>
      <c r="D1492" s="106">
        <v>136358</v>
      </c>
      <c r="E1492" s="106" t="s">
        <v>2405</v>
      </c>
      <c r="F1492" s="106" t="s">
        <v>2406</v>
      </c>
      <c r="G1492" s="106" t="s">
        <v>258</v>
      </c>
      <c r="H1492" s="106">
        <v>4</v>
      </c>
      <c r="I1492" s="106" t="s">
        <v>24</v>
      </c>
      <c r="J1492" s="106">
        <v>2444</v>
      </c>
      <c r="K1492" s="106">
        <v>3064</v>
      </c>
      <c r="L1492" s="106">
        <v>2014</v>
      </c>
      <c r="M1492" s="106">
        <v>0.56000000000000005</v>
      </c>
      <c r="N1492" s="106">
        <v>7.0000000000000007E-2</v>
      </c>
      <c r="O1492" s="106">
        <v>0.12</v>
      </c>
      <c r="P1492" s="106">
        <v>1852</v>
      </c>
      <c r="Q1492" s="106">
        <v>397.14114889749845</v>
      </c>
      <c r="R1492" s="106">
        <v>0.12257637936459576</v>
      </c>
      <c r="S1492" s="106">
        <v>8631.4566413163047</v>
      </c>
      <c r="T1492" s="106">
        <v>9788.9899555172906</v>
      </c>
      <c r="U1492" s="106">
        <v>7777.8434274731617</v>
      </c>
      <c r="V1492" s="106">
        <v>0.36550070928184725</v>
      </c>
      <c r="W1492" s="106">
        <v>71485.1959624796</v>
      </c>
      <c r="X1492" s="110">
        <v>0.57097319033740379</v>
      </c>
      <c r="Y1492" s="106">
        <v>1026.162973568282</v>
      </c>
      <c r="Z1492" s="106">
        <v>34.537995594713664</v>
      </c>
      <c r="AA1492" s="106">
        <v>25024.834185623484</v>
      </c>
      <c r="AB1492" s="106">
        <v>261.78212326286558</v>
      </c>
      <c r="AC1492" s="106">
        <v>3.9960304734985614</v>
      </c>
      <c r="AD1492" s="106">
        <v>38.044496487119439</v>
      </c>
      <c r="AE1492" s="106">
        <v>95.594129475736125</v>
      </c>
      <c r="AF1492" s="106">
        <v>-3.8660781767709838E-2</v>
      </c>
      <c r="AG1492" s="106">
        <v>2424</v>
      </c>
      <c r="AH1492" s="106">
        <v>7166.8207777299467</v>
      </c>
      <c r="AI1492" s="106">
        <v>7245.1248864016834</v>
      </c>
      <c r="AJ1492" s="106">
        <v>8662.0117185631607</v>
      </c>
      <c r="AK1492" s="104">
        <v>9734.5299182092131</v>
      </c>
      <c r="AL1492" s="118">
        <v>62741967</v>
      </c>
      <c r="AM1492" s="118">
        <v>30052</v>
      </c>
      <c r="AN1492" s="118">
        <v>621170.65333333332</v>
      </c>
      <c r="AO1492" s="118">
        <v>4584</v>
      </c>
      <c r="AP1492" s="118">
        <f t="shared" si="23"/>
        <v>20</v>
      </c>
    </row>
    <row r="1493" spans="1:42" ht="12.75">
      <c r="A1493" s="106">
        <v>2018</v>
      </c>
      <c r="B1493" s="106">
        <v>-246354</v>
      </c>
      <c r="C1493" s="106">
        <v>0</v>
      </c>
      <c r="D1493" s="106">
        <v>246354</v>
      </c>
      <c r="E1493" s="106" t="s">
        <v>4176</v>
      </c>
      <c r="F1493" s="106" t="s">
        <v>2291</v>
      </c>
      <c r="G1493" s="106" t="s">
        <v>60</v>
      </c>
      <c r="H1493" s="106">
        <v>4</v>
      </c>
      <c r="I1493" s="106" t="s">
        <v>24</v>
      </c>
      <c r="J1493" s="106">
        <v>2760</v>
      </c>
      <c r="K1493" s="106">
        <v>3897</v>
      </c>
      <c r="L1493" s="106">
        <v>3051</v>
      </c>
      <c r="M1493" s="106">
        <v>0.69</v>
      </c>
      <c r="N1493" s="106">
        <v>0.04</v>
      </c>
      <c r="O1493" s="106">
        <v>0.14000000000000001</v>
      </c>
      <c r="P1493" s="106">
        <v>1988</v>
      </c>
      <c r="Q1493" s="106">
        <v>1154.9239310573416</v>
      </c>
      <c r="R1493" s="106">
        <v>0.37196640202017023</v>
      </c>
      <c r="S1493" s="106">
        <v>10621.292509115015</v>
      </c>
      <c r="T1493" s="106">
        <v>10220.782399734835</v>
      </c>
      <c r="U1493" s="106">
        <v>8030.3016241299301</v>
      </c>
      <c r="V1493" s="106">
        <v>0.24282907548554489</v>
      </c>
      <c r="W1493" s="106">
        <v>73063.869135802466</v>
      </c>
      <c r="X1493" s="110">
        <v>0.47980883639940142</v>
      </c>
      <c r="Y1493" s="106">
        <v>1075.4376237623762</v>
      </c>
      <c r="Z1493" s="106">
        <v>35.845544554455444</v>
      </c>
      <c r="AA1493" s="106">
        <v>27895.705238917675</v>
      </c>
      <c r="AB1493" s="106">
        <v>267.65897741835698</v>
      </c>
      <c r="AC1493" s="106">
        <v>3.5847812107108394</v>
      </c>
      <c r="AD1493" s="106">
        <v>38.488810104143582</v>
      </c>
      <c r="AE1493" s="106">
        <v>104.22107081174438</v>
      </c>
      <c r="AF1493" s="106"/>
      <c r="AG1493" s="106">
        <v>2580</v>
      </c>
      <c r="AH1493" s="106">
        <v>9046.4913821677164</v>
      </c>
      <c r="AI1493" s="106">
        <v>9056.8415644680153</v>
      </c>
      <c r="AJ1493" s="106">
        <v>10621.996851176666</v>
      </c>
      <c r="AK1493" s="104">
        <v>9838.0916473317866</v>
      </c>
      <c r="AL1493" s="118">
        <v>36316480</v>
      </c>
      <c r="AM1493" s="118">
        <v>9368</v>
      </c>
      <c r="AN1493" s="118">
        <v>181032</v>
      </c>
      <c r="AO1493" s="118">
        <v>1515</v>
      </c>
      <c r="AP1493" s="118">
        <f t="shared" si="23"/>
        <v>180</v>
      </c>
    </row>
    <row r="1494" spans="1:42" ht="12.75">
      <c r="A1494" s="106">
        <v>2018</v>
      </c>
      <c r="B1494" s="106">
        <v>-120953</v>
      </c>
      <c r="C1494" s="106">
        <v>0</v>
      </c>
      <c r="D1494" s="106">
        <v>120953</v>
      </c>
      <c r="E1494" s="106" t="s">
        <v>2407</v>
      </c>
      <c r="F1494" s="106" t="s">
        <v>2408</v>
      </c>
      <c r="G1494" s="106" t="s">
        <v>121</v>
      </c>
      <c r="H1494" s="106">
        <v>4</v>
      </c>
      <c r="I1494" s="106" t="s">
        <v>24</v>
      </c>
      <c r="J1494" s="107">
        <v>1380</v>
      </c>
      <c r="K1494" s="107">
        <v>11580</v>
      </c>
      <c r="L1494" s="107">
        <v>8735</v>
      </c>
      <c r="M1494" s="107">
        <v>0.56000000000000005</v>
      </c>
      <c r="N1494" s="107">
        <v>0</v>
      </c>
      <c r="O1494" s="107">
        <v>0</v>
      </c>
      <c r="P1494" s="107"/>
      <c r="Q1494" s="107"/>
      <c r="R1494" s="106"/>
      <c r="S1494" s="106">
        <v>15591.494710640945</v>
      </c>
      <c r="T1494" s="106">
        <v>12509.046670815183</v>
      </c>
      <c r="U1494" s="107">
        <v>12408.275977998346</v>
      </c>
      <c r="V1494" s="106">
        <v>0.10496241507482562</v>
      </c>
      <c r="W1494" s="106">
        <v>146943.7917888563</v>
      </c>
      <c r="X1494" s="110">
        <v>0.83089142503859559</v>
      </c>
      <c r="Y1494" s="106">
        <v>990.55479452054783</v>
      </c>
      <c r="Z1494" s="106">
        <v>33.020547945205479</v>
      </c>
      <c r="AA1494" s="106">
        <v>42335.667721111131</v>
      </c>
      <c r="AB1494" s="106">
        <v>413.63493883965691</v>
      </c>
      <c r="AC1494" s="106">
        <v>2.3620744724934135</v>
      </c>
      <c r="AD1494" s="106">
        <v>28.153018529587566</v>
      </c>
      <c r="AE1494" s="106">
        <v>102.35031847133757</v>
      </c>
      <c r="AF1494" s="107">
        <v>0.10958533292293433</v>
      </c>
      <c r="AG1494" s="106">
        <v>1380</v>
      </c>
      <c r="AH1494" s="106">
        <v>15838.101431238332</v>
      </c>
      <c r="AI1494" s="106">
        <v>15838.101431238332</v>
      </c>
      <c r="AJ1494" s="106">
        <v>14932.832607342874</v>
      </c>
      <c r="AK1494" s="104">
        <v>12509.046670815183</v>
      </c>
      <c r="AL1494" s="118">
        <v>17306956</v>
      </c>
      <c r="AM1494" s="118">
        <v>4041</v>
      </c>
      <c r="AN1494" s="118">
        <v>48207</v>
      </c>
      <c r="AO1494" s="118">
        <v>172</v>
      </c>
      <c r="AP1494" s="118">
        <f t="shared" si="23"/>
        <v>0</v>
      </c>
    </row>
    <row r="1495" spans="1:42" ht="12.75">
      <c r="A1495" s="106">
        <v>2018</v>
      </c>
      <c r="B1495" s="106">
        <v>-120971</v>
      </c>
      <c r="C1495" s="106">
        <v>0</v>
      </c>
      <c r="D1495" s="106">
        <v>120971</v>
      </c>
      <c r="E1495" s="106" t="s">
        <v>2409</v>
      </c>
      <c r="F1495" s="106" t="s">
        <v>562</v>
      </c>
      <c r="G1495" s="106" t="s">
        <v>121</v>
      </c>
      <c r="H1495" s="106">
        <v>4</v>
      </c>
      <c r="I1495" s="106" t="s">
        <v>24</v>
      </c>
      <c r="J1495" s="106">
        <v>1338</v>
      </c>
      <c r="K1495" s="106">
        <v>6145</v>
      </c>
      <c r="L1495" s="106">
        <v>3312</v>
      </c>
      <c r="M1495" s="106">
        <v>0.39</v>
      </c>
      <c r="N1495" s="106">
        <v>0</v>
      </c>
      <c r="O1495" s="106">
        <v>0.37</v>
      </c>
      <c r="P1495" s="106">
        <v>478</v>
      </c>
      <c r="Q1495" s="106"/>
      <c r="R1495" s="106"/>
      <c r="S1495" s="106">
        <v>14094.498572981789</v>
      </c>
      <c r="T1495" s="106">
        <v>16466.772492525142</v>
      </c>
      <c r="U1495" s="106">
        <v>14719.009314496108</v>
      </c>
      <c r="V1495" s="106">
        <v>0.11903306947838634</v>
      </c>
      <c r="W1495" s="106">
        <v>128068.93183391004</v>
      </c>
      <c r="X1495" s="110">
        <v>0.50912228940912019</v>
      </c>
      <c r="Y1495" s="106">
        <v>829.84398496240601</v>
      </c>
      <c r="Z1495" s="106">
        <v>27.661654135338345</v>
      </c>
      <c r="AA1495" s="106">
        <v>49363.022122179747</v>
      </c>
      <c r="AB1495" s="106">
        <v>490.63697785416844</v>
      </c>
      <c r="AC1495" s="106">
        <v>2.025807896293045</v>
      </c>
      <c r="AD1495" s="106">
        <v>34.326840334819678</v>
      </c>
      <c r="AE1495" s="106">
        <v>100.61007292616226</v>
      </c>
      <c r="AF1495" s="106">
        <v>0.63250037605482134</v>
      </c>
      <c r="AG1495" s="106">
        <v>1288</v>
      </c>
      <c r="AH1495" s="106">
        <v>13685.576991030171</v>
      </c>
      <c r="AI1495" s="106">
        <v>13685.576991030171</v>
      </c>
      <c r="AJ1495" s="106">
        <v>14418.171785811362</v>
      </c>
      <c r="AK1495" s="104">
        <v>15906.02330796412</v>
      </c>
      <c r="AL1495" s="119">
        <v>134666678</v>
      </c>
      <c r="AM1495" s="118">
        <v>23848</v>
      </c>
      <c r="AN1495" s="118">
        <v>441477</v>
      </c>
      <c r="AO1495" s="118">
        <v>2053</v>
      </c>
      <c r="AP1495" s="118">
        <f t="shared" si="23"/>
        <v>50</v>
      </c>
    </row>
    <row r="1496" spans="1:42" ht="12.75">
      <c r="A1496" s="106">
        <v>2018</v>
      </c>
      <c r="B1496" s="106">
        <v>-199263</v>
      </c>
      <c r="C1496" s="106">
        <v>0</v>
      </c>
      <c r="D1496" s="106">
        <v>199263</v>
      </c>
      <c r="E1496" s="106" t="s">
        <v>2410</v>
      </c>
      <c r="F1496" s="106" t="s">
        <v>2411</v>
      </c>
      <c r="G1496" s="106" t="s">
        <v>90</v>
      </c>
      <c r="H1496" s="106">
        <v>4</v>
      </c>
      <c r="I1496" s="106" t="s">
        <v>24</v>
      </c>
      <c r="J1496" s="106">
        <v>1867</v>
      </c>
      <c r="K1496" s="106">
        <v>3087</v>
      </c>
      <c r="L1496" s="106">
        <v>2850</v>
      </c>
      <c r="M1496" s="106">
        <v>0.38</v>
      </c>
      <c r="N1496" s="106">
        <v>0</v>
      </c>
      <c r="O1496" s="106">
        <v>0.05</v>
      </c>
      <c r="P1496" s="106">
        <v>1084</v>
      </c>
      <c r="Q1496" s="106">
        <v>126.9462915601023</v>
      </c>
      <c r="R1496" s="106">
        <v>6.1798808994667491E-2</v>
      </c>
      <c r="S1496" s="106">
        <v>18826.324808184145</v>
      </c>
      <c r="T1496" s="106">
        <v>20860.803069053709</v>
      </c>
      <c r="U1496" s="106">
        <v>16535.846547314577</v>
      </c>
      <c r="V1496" s="106">
        <v>0.11654924371078812</v>
      </c>
      <c r="W1496" s="106">
        <v>60837.288256227752</v>
      </c>
      <c r="X1496" s="110">
        <v>0.69862984140154927</v>
      </c>
      <c r="Y1496" s="106">
        <v>231.37499999999997</v>
      </c>
      <c r="Z1496" s="106">
        <v>7.7171052631578938</v>
      </c>
      <c r="AA1496" s="106">
        <v>16493.663265306124</v>
      </c>
      <c r="AB1496" s="106">
        <v>551.52401262475473</v>
      </c>
      <c r="AC1496" s="106">
        <v>6.0629344974167569</v>
      </c>
      <c r="AD1496" s="106">
        <v>149.61832061068702</v>
      </c>
      <c r="AE1496" s="106">
        <v>29.905612244897959</v>
      </c>
      <c r="AF1496" s="106">
        <v>-4.5809954926978751E-2</v>
      </c>
      <c r="AG1496" s="106">
        <v>1824</v>
      </c>
      <c r="AH1496" s="106">
        <v>17416.51662404092</v>
      </c>
      <c r="AI1496" s="106">
        <v>17642.028132992327</v>
      </c>
      <c r="AJ1496" s="106">
        <v>18898.025575447569</v>
      </c>
      <c r="AK1496" s="104">
        <v>18018.47570332481</v>
      </c>
      <c r="AL1496" s="118">
        <v>5550965</v>
      </c>
      <c r="AM1496" s="118">
        <v>462</v>
      </c>
      <c r="AN1496" s="118">
        <v>11723</v>
      </c>
      <c r="AO1496" s="118">
        <v>53</v>
      </c>
      <c r="AP1496" s="118">
        <f t="shared" si="23"/>
        <v>43</v>
      </c>
    </row>
    <row r="1497" spans="1:42" ht="12.75">
      <c r="A1497" s="106">
        <v>2018</v>
      </c>
      <c r="B1497" s="106">
        <v>-227386</v>
      </c>
      <c r="C1497" s="106">
        <v>0</v>
      </c>
      <c r="D1497" s="106">
        <v>227386</v>
      </c>
      <c r="E1497" s="106" t="s">
        <v>2412</v>
      </c>
      <c r="F1497" s="106" t="s">
        <v>2413</v>
      </c>
      <c r="G1497" s="106" t="s">
        <v>60</v>
      </c>
      <c r="H1497" s="106">
        <v>4</v>
      </c>
      <c r="I1497" s="106" t="s">
        <v>24</v>
      </c>
      <c r="J1497" s="106">
        <v>1872</v>
      </c>
      <c r="K1497" s="106">
        <v>7780</v>
      </c>
      <c r="L1497" s="106">
        <v>7208</v>
      </c>
      <c r="M1497" s="106">
        <v>0.62</v>
      </c>
      <c r="N1497" s="106">
        <v>0.24</v>
      </c>
      <c r="O1497" s="106">
        <v>0.37</v>
      </c>
      <c r="P1497" s="106">
        <v>3035</v>
      </c>
      <c r="Q1497" s="106">
        <v>1091.1538054968287</v>
      </c>
      <c r="R1497" s="106">
        <v>0.22752315801851936</v>
      </c>
      <c r="S1497" s="106">
        <v>15495.615221987315</v>
      </c>
      <c r="T1497" s="106">
        <v>13683.412262156447</v>
      </c>
      <c r="U1497" s="106">
        <v>8420.3091792378527</v>
      </c>
      <c r="V1497" s="106">
        <v>0.43996466150386493</v>
      </c>
      <c r="W1497" s="106">
        <v>73168.769896193771</v>
      </c>
      <c r="X1497" s="110">
        <v>0.54452370843295084</v>
      </c>
      <c r="Y1497" s="106">
        <v>533.858934169279</v>
      </c>
      <c r="Z1497" s="106">
        <v>17.793103448275861</v>
      </c>
      <c r="AA1497" s="106">
        <v>21017.447186171528</v>
      </c>
      <c r="AB1497" s="106">
        <v>280.64236206102169</v>
      </c>
      <c r="AC1497" s="106">
        <v>4.7579517680812922</v>
      </c>
      <c r="AD1497" s="106">
        <v>45.199761478831249</v>
      </c>
      <c r="AE1497" s="106">
        <v>74.890501319261219</v>
      </c>
      <c r="AF1497" s="106">
        <v>0.1034344101600452</v>
      </c>
      <c r="AG1497" s="106">
        <v>648</v>
      </c>
      <c r="AH1497" s="106">
        <v>14299.389006342495</v>
      </c>
      <c r="AI1497" s="106">
        <v>14926.826109936575</v>
      </c>
      <c r="AJ1497" s="106">
        <v>15777.35465116279</v>
      </c>
      <c r="AK1497" s="104">
        <v>9496.1495771670197</v>
      </c>
      <c r="AL1497" s="119">
        <v>15113950</v>
      </c>
      <c r="AM1497" s="118">
        <v>2465</v>
      </c>
      <c r="AN1497" s="118">
        <v>56767</v>
      </c>
      <c r="AO1497" s="118">
        <v>353</v>
      </c>
      <c r="AP1497" s="118">
        <f t="shared" si="23"/>
        <v>1224</v>
      </c>
    </row>
    <row r="1498" spans="1:42" ht="12.75">
      <c r="A1498" s="106">
        <v>2018</v>
      </c>
      <c r="B1498" s="106">
        <v>-364016</v>
      </c>
      <c r="C1498" s="106">
        <v>0</v>
      </c>
      <c r="D1498" s="106">
        <v>364016</v>
      </c>
      <c r="E1498" s="106" t="s">
        <v>2414</v>
      </c>
      <c r="F1498" s="106" t="s">
        <v>146</v>
      </c>
      <c r="G1498" s="106" t="s">
        <v>147</v>
      </c>
      <c r="H1498" s="106">
        <v>4</v>
      </c>
      <c r="I1498" s="106" t="s">
        <v>24</v>
      </c>
      <c r="J1498" s="107">
        <v>2094</v>
      </c>
      <c r="K1498" s="107">
        <v>8131</v>
      </c>
      <c r="L1498" s="107">
        <v>6963</v>
      </c>
      <c r="M1498" s="107">
        <v>0.4</v>
      </c>
      <c r="N1498" s="107">
        <v>0.12</v>
      </c>
      <c r="O1498" s="107">
        <v>0.28000000000000003</v>
      </c>
      <c r="P1498" s="107">
        <v>1889</v>
      </c>
      <c r="Q1498" s="106">
        <v>326.03527607361963</v>
      </c>
      <c r="R1498" s="106">
        <v>0.10649691096156148</v>
      </c>
      <c r="S1498" s="106">
        <v>10471.325810692375</v>
      </c>
      <c r="T1498" s="106">
        <v>10471.325810692375</v>
      </c>
      <c r="U1498" s="106">
        <v>9196.4165866236235</v>
      </c>
      <c r="V1498" s="106">
        <v>0.29744385656745109</v>
      </c>
      <c r="W1498" s="106">
        <v>73391.267496111977</v>
      </c>
      <c r="X1498" s="110">
        <v>0.65828929639685652</v>
      </c>
      <c r="Y1498" s="106">
        <v>602.28739002932559</v>
      </c>
      <c r="Z1498" s="106">
        <v>20.076246334310852</v>
      </c>
      <c r="AA1498" s="106">
        <v>22090.760684921166</v>
      </c>
      <c r="AB1498" s="106">
        <v>306.54721955412077</v>
      </c>
      <c r="AC1498" s="106">
        <v>4.5267793819457998</v>
      </c>
      <c r="AD1498" s="106">
        <v>43.18181818181818</v>
      </c>
      <c r="AE1498" s="106">
        <v>72.063157894736847</v>
      </c>
      <c r="AF1498" s="107"/>
      <c r="AG1498" s="106">
        <v>2064</v>
      </c>
      <c r="AH1498" s="106">
        <v>9478.3825591586319</v>
      </c>
      <c r="AI1498" s="106">
        <v>9565.0955302366347</v>
      </c>
      <c r="AJ1498" s="106">
        <v>10471.325810692375</v>
      </c>
      <c r="AK1498" s="104">
        <v>10155.948071866784</v>
      </c>
      <c r="AL1498" s="119">
        <v>29458468</v>
      </c>
      <c r="AM1498" s="118">
        <v>8447</v>
      </c>
      <c r="AN1498" s="118">
        <v>136920</v>
      </c>
      <c r="AO1498" s="118">
        <v>824</v>
      </c>
      <c r="AP1498" s="118">
        <f t="shared" si="23"/>
        <v>30</v>
      </c>
    </row>
    <row r="1499" spans="1:42" ht="12.75">
      <c r="A1499" s="106">
        <v>2018</v>
      </c>
      <c r="B1499" s="106">
        <v>-227401</v>
      </c>
      <c r="C1499" s="106">
        <v>0</v>
      </c>
      <c r="D1499" s="106">
        <v>227401</v>
      </c>
      <c r="E1499" s="106" t="s">
        <v>2415</v>
      </c>
      <c r="F1499" s="106" t="s">
        <v>2416</v>
      </c>
      <c r="G1499" s="106" t="s">
        <v>60</v>
      </c>
      <c r="H1499" s="106">
        <v>4</v>
      </c>
      <c r="I1499" s="106" t="s">
        <v>24</v>
      </c>
      <c r="J1499" s="106">
        <v>1920</v>
      </c>
      <c r="K1499" s="106">
        <v>6837</v>
      </c>
      <c r="L1499" s="106">
        <v>6237</v>
      </c>
      <c r="M1499" s="106">
        <v>0.65</v>
      </c>
      <c r="N1499" s="106">
        <v>0</v>
      </c>
      <c r="O1499" s="106">
        <v>0.35</v>
      </c>
      <c r="P1499" s="106">
        <v>2467</v>
      </c>
      <c r="Q1499" s="106">
        <v>820.68610013175226</v>
      </c>
      <c r="R1499" s="106">
        <v>0.19650099934155368</v>
      </c>
      <c r="S1499" s="106">
        <v>10514.628787878788</v>
      </c>
      <c r="T1499" s="106">
        <v>9482.2233201581021</v>
      </c>
      <c r="U1499" s="106">
        <v>7138.3771604234953</v>
      </c>
      <c r="V1499" s="106">
        <v>0.47010856635170256</v>
      </c>
      <c r="W1499" s="106">
        <v>61515.22480620155</v>
      </c>
      <c r="X1499" s="110">
        <v>0.55130302420832544</v>
      </c>
      <c r="Y1499" s="106">
        <v>724.71087533156503</v>
      </c>
      <c r="Z1499" s="106">
        <v>24.159151193633953</v>
      </c>
      <c r="AA1499" s="106">
        <v>27192.111742842826</v>
      </c>
      <c r="AB1499" s="106">
        <v>237.96680713112409</v>
      </c>
      <c r="AC1499" s="106">
        <v>3.6775371087654039</v>
      </c>
      <c r="AD1499" s="106">
        <v>28.083157152924592</v>
      </c>
      <c r="AE1499" s="106">
        <v>114.26850690087829</v>
      </c>
      <c r="AF1499" s="106">
        <v>7.6970311535950006E-2</v>
      </c>
      <c r="AG1499" s="106">
        <v>1320</v>
      </c>
      <c r="AH1499" s="106">
        <v>9057.479578392622</v>
      </c>
      <c r="AI1499" s="106">
        <v>9242.2720685111981</v>
      </c>
      <c r="AJ1499" s="106">
        <v>10636.949934123848</v>
      </c>
      <c r="AK1499" s="104">
        <v>9083.257246376812</v>
      </c>
      <c r="AL1499" s="119">
        <v>11783898</v>
      </c>
      <c r="AM1499" s="118">
        <v>4835</v>
      </c>
      <c r="AN1499" s="118">
        <v>91072</v>
      </c>
      <c r="AO1499" s="118">
        <v>441</v>
      </c>
      <c r="AP1499" s="118">
        <f t="shared" si="23"/>
        <v>600</v>
      </c>
    </row>
    <row r="1500" spans="1:42" ht="12.75">
      <c r="A1500" s="106">
        <v>2018</v>
      </c>
      <c r="B1500" s="106">
        <v>-178721</v>
      </c>
      <c r="C1500" s="106">
        <v>0</v>
      </c>
      <c r="D1500" s="106">
        <v>178721</v>
      </c>
      <c r="E1500" s="106" t="s">
        <v>2417</v>
      </c>
      <c r="F1500" s="106" t="s">
        <v>2418</v>
      </c>
      <c r="G1500" s="106" t="s">
        <v>264</v>
      </c>
      <c r="H1500" s="106">
        <v>6</v>
      </c>
      <c r="I1500" s="106" t="s">
        <v>3640</v>
      </c>
      <c r="J1500" s="106">
        <v>8632</v>
      </c>
      <c r="K1500" s="106">
        <v>15359</v>
      </c>
      <c r="L1500" s="106">
        <v>15295</v>
      </c>
      <c r="M1500" s="106">
        <v>0.55000000000000004</v>
      </c>
      <c r="N1500" s="106">
        <v>0.66</v>
      </c>
      <c r="O1500" s="106">
        <v>0.47</v>
      </c>
      <c r="P1500" s="106">
        <v>5343</v>
      </c>
      <c r="Q1500" s="106">
        <v>898.35880090197634</v>
      </c>
      <c r="R1500" s="106">
        <v>8.5808483556389495E-2</v>
      </c>
      <c r="S1500" s="106">
        <v>10356.38227881682</v>
      </c>
      <c r="T1500" s="106">
        <v>10722.646902772251</v>
      </c>
      <c r="U1500" s="106">
        <v>10021.35349515851</v>
      </c>
      <c r="V1500" s="106">
        <v>0.95505944700865841</v>
      </c>
      <c r="W1500" s="106">
        <v>66648.958102766803</v>
      </c>
      <c r="X1500" s="110">
        <v>0.69530745026150131</v>
      </c>
      <c r="Y1500" s="106">
        <v>524.90937996820355</v>
      </c>
      <c r="Z1500" s="106">
        <v>17.978537360890304</v>
      </c>
      <c r="AA1500" s="106">
        <v>27473.085090909091</v>
      </c>
      <c r="AB1500" s="106">
        <v>343.23882387148359</v>
      </c>
      <c r="AC1500" s="106">
        <v>3.6399261192944885</v>
      </c>
      <c r="AD1500" s="106">
        <v>38.58566016556756</v>
      </c>
      <c r="AE1500" s="106">
        <v>80.040727272727267</v>
      </c>
      <c r="AF1500" s="106">
        <v>4.8764083956189419E-2</v>
      </c>
      <c r="AG1500" s="106">
        <v>8232</v>
      </c>
      <c r="AH1500" s="106">
        <v>10070.800371402043</v>
      </c>
      <c r="AI1500" s="106">
        <v>10356.38227881682</v>
      </c>
      <c r="AJ1500" s="106">
        <v>11537.450457620374</v>
      </c>
      <c r="AK1500" s="104">
        <v>10021.35349515851</v>
      </c>
      <c r="AL1500" s="118"/>
      <c r="AM1500" s="118">
        <v>9861</v>
      </c>
      <c r="AN1500" s="118">
        <v>220112</v>
      </c>
      <c r="AO1500" s="118">
        <v>2212</v>
      </c>
      <c r="AP1500" s="118">
        <f t="shared" si="23"/>
        <v>400</v>
      </c>
    </row>
    <row r="1501" spans="1:42" ht="12.75">
      <c r="A1501" s="106">
        <v>2018</v>
      </c>
      <c r="B1501" s="106">
        <v>-147916</v>
      </c>
      <c r="C1501" s="106">
        <v>0</v>
      </c>
      <c r="D1501" s="106">
        <v>147916</v>
      </c>
      <c r="E1501" s="106" t="s">
        <v>2419</v>
      </c>
      <c r="F1501" s="106" t="s">
        <v>2420</v>
      </c>
      <c r="G1501" s="106" t="s">
        <v>243</v>
      </c>
      <c r="H1501" s="106">
        <v>4</v>
      </c>
      <c r="I1501" s="106" t="s">
        <v>24</v>
      </c>
      <c r="J1501" s="106">
        <v>4920</v>
      </c>
      <c r="K1501" s="106">
        <v>7973</v>
      </c>
      <c r="L1501" s="106">
        <v>8923</v>
      </c>
      <c r="M1501" s="106">
        <v>0.45</v>
      </c>
      <c r="N1501" s="106">
        <v>0.53</v>
      </c>
      <c r="O1501" s="106">
        <v>0.11</v>
      </c>
      <c r="P1501" s="106">
        <v>2256</v>
      </c>
      <c r="Q1501" s="106"/>
      <c r="R1501" s="106"/>
      <c r="S1501" s="106">
        <v>21092.198848368524</v>
      </c>
      <c r="T1501" s="106">
        <v>21560.197120921304</v>
      </c>
      <c r="U1501" s="106">
        <v>12888.994582406327</v>
      </c>
      <c r="V1501" s="106">
        <v>0.4653720425418103</v>
      </c>
      <c r="W1501" s="106">
        <v>93542.485824742267</v>
      </c>
      <c r="X1501" s="110">
        <v>0.43081311765699765</v>
      </c>
      <c r="Y1501" s="106">
        <v>645.02063273727651</v>
      </c>
      <c r="Z1501" s="106">
        <v>21.499312242090785</v>
      </c>
      <c r="AA1501" s="106">
        <v>41197.33851186317</v>
      </c>
      <c r="AB1501" s="106">
        <v>429.60566677971315</v>
      </c>
      <c r="AC1501" s="106">
        <v>2.4273412703882324</v>
      </c>
      <c r="AD1501" s="106">
        <v>37.566259506798801</v>
      </c>
      <c r="AE1501" s="106">
        <v>95.895705521472394</v>
      </c>
      <c r="AF1501" s="106">
        <v>-2.5036928919259786E-2</v>
      </c>
      <c r="AG1501" s="106">
        <v>4305</v>
      </c>
      <c r="AH1501" s="106">
        <v>17230.874664107487</v>
      </c>
      <c r="AI1501" s="106">
        <v>21335.092130518235</v>
      </c>
      <c r="AJ1501" s="106">
        <v>21172.016698656429</v>
      </c>
      <c r="AK1501" s="104">
        <v>13877.551247600768</v>
      </c>
      <c r="AL1501" s="119">
        <v>35485674</v>
      </c>
      <c r="AM1501" s="118">
        <v>7159</v>
      </c>
      <c r="AN1501" s="118">
        <v>156310</v>
      </c>
      <c r="AO1501" s="118">
        <v>882</v>
      </c>
      <c r="AP1501" s="118">
        <f t="shared" si="23"/>
        <v>615</v>
      </c>
    </row>
    <row r="1502" spans="1:42" ht="12.75">
      <c r="A1502" s="106">
        <v>2018</v>
      </c>
      <c r="B1502" s="106">
        <v>-121044</v>
      </c>
      <c r="C1502" s="106">
        <v>0</v>
      </c>
      <c r="D1502" s="106">
        <v>121044</v>
      </c>
      <c r="E1502" s="106" t="s">
        <v>2421</v>
      </c>
      <c r="F1502" s="106" t="s">
        <v>532</v>
      </c>
      <c r="G1502" s="106" t="s">
        <v>121</v>
      </c>
      <c r="H1502" s="106">
        <v>4</v>
      </c>
      <c r="I1502" s="106" t="s">
        <v>24</v>
      </c>
      <c r="J1502" s="106">
        <v>1348</v>
      </c>
      <c r="K1502" s="106">
        <v>6409</v>
      </c>
      <c r="L1502" s="106">
        <v>3887</v>
      </c>
      <c r="M1502" s="106">
        <v>0.46</v>
      </c>
      <c r="N1502" s="106">
        <v>0</v>
      </c>
      <c r="O1502" s="106">
        <v>0.02</v>
      </c>
      <c r="P1502" s="106">
        <v>1152</v>
      </c>
      <c r="Q1502" s="106"/>
      <c r="R1502" s="106"/>
      <c r="S1502" s="106">
        <v>12612.029463968762</v>
      </c>
      <c r="T1502" s="106">
        <v>13139.148739794107</v>
      </c>
      <c r="U1502" s="106">
        <v>8898.9300761401119</v>
      </c>
      <c r="V1502" s="106">
        <v>0.24464777048273945</v>
      </c>
      <c r="W1502" s="106">
        <v>148793.62844036697</v>
      </c>
      <c r="X1502" s="110">
        <v>0.58424565737502587</v>
      </c>
      <c r="Y1502" s="106">
        <v>929.64169722367728</v>
      </c>
      <c r="Z1502" s="106">
        <v>30.988475641697221</v>
      </c>
      <c r="AA1502" s="106">
        <v>29551.701275076939</v>
      </c>
      <c r="AB1502" s="106">
        <v>296.63501403302928</v>
      </c>
      <c r="AC1502" s="106">
        <v>3.3838999341921863</v>
      </c>
      <c r="AD1502" s="106">
        <v>36.8888612784991</v>
      </c>
      <c r="AE1502" s="106">
        <v>99.623105422701244</v>
      </c>
      <c r="AF1502" s="106">
        <v>-0.11956799089690485</v>
      </c>
      <c r="AG1502" s="106">
        <v>1288</v>
      </c>
      <c r="AH1502" s="106">
        <v>11523.965566205183</v>
      </c>
      <c r="AI1502" s="106">
        <v>11559.192200415842</v>
      </c>
      <c r="AJ1502" s="106">
        <v>12686.072163902834</v>
      </c>
      <c r="AK1502" s="104">
        <v>11408.584968811805</v>
      </c>
      <c r="AL1502" s="118">
        <v>124432709</v>
      </c>
      <c r="AM1502" s="118">
        <v>27324</v>
      </c>
      <c r="AN1502" s="118">
        <v>591562</v>
      </c>
      <c r="AO1502" s="118">
        <v>5396</v>
      </c>
      <c r="AP1502" s="118">
        <f t="shared" si="23"/>
        <v>60</v>
      </c>
    </row>
    <row r="1503" spans="1:42" ht="12.75">
      <c r="A1503" s="106">
        <v>2018</v>
      </c>
      <c r="B1503" s="106">
        <v>-136400</v>
      </c>
      <c r="C1503" s="106">
        <v>0</v>
      </c>
      <c r="D1503" s="106">
        <v>136400</v>
      </c>
      <c r="E1503" s="106" t="s">
        <v>2422</v>
      </c>
      <c r="F1503" s="106" t="s">
        <v>2423</v>
      </c>
      <c r="G1503" s="106" t="s">
        <v>258</v>
      </c>
      <c r="H1503" s="106">
        <v>4</v>
      </c>
      <c r="I1503" s="106" t="s">
        <v>24</v>
      </c>
      <c r="J1503" s="106">
        <v>3155</v>
      </c>
      <c r="K1503" s="106">
        <v>4900</v>
      </c>
      <c r="L1503" s="106">
        <v>3479</v>
      </c>
      <c r="M1503" s="106">
        <v>0.53</v>
      </c>
      <c r="N1503" s="106">
        <v>0.11</v>
      </c>
      <c r="O1503" s="106">
        <v>0.06</v>
      </c>
      <c r="P1503" s="106">
        <v>2138</v>
      </c>
      <c r="Q1503" s="106">
        <v>249.90513988288873</v>
      </c>
      <c r="R1503" s="106">
        <v>8.9697907476487537E-2</v>
      </c>
      <c r="S1503" s="106">
        <v>9468.1184124918673</v>
      </c>
      <c r="T1503" s="106">
        <v>10752.430709173716</v>
      </c>
      <c r="U1503" s="106">
        <v>8042.4154847104746</v>
      </c>
      <c r="V1503" s="106">
        <v>0.31534932964316081</v>
      </c>
      <c r="W1503" s="106">
        <v>63007.547191011232</v>
      </c>
      <c r="X1503" s="110">
        <v>0.45241895948116256</v>
      </c>
      <c r="Y1503" s="106">
        <v>892.82842242503261</v>
      </c>
      <c r="Z1503" s="106">
        <v>30.058670143415902</v>
      </c>
      <c r="AA1503" s="106">
        <v>25351.09228876128</v>
      </c>
      <c r="AB1503" s="106">
        <v>270.76234149737866</v>
      </c>
      <c r="AC1503" s="106">
        <v>3.9446032092405061</v>
      </c>
      <c r="AD1503" s="106">
        <v>33.337891426227266</v>
      </c>
      <c r="AE1503" s="106">
        <v>93.62857533497403</v>
      </c>
      <c r="AF1503" s="106">
        <v>-1.7635535553364209E-2</v>
      </c>
      <c r="AG1503" s="106">
        <v>2297</v>
      </c>
      <c r="AH1503" s="106">
        <v>8373.0205595315547</v>
      </c>
      <c r="AI1503" s="106">
        <v>8373.0205595315547</v>
      </c>
      <c r="AJ1503" s="106">
        <v>9511.2208197787895</v>
      </c>
      <c r="AK1503" s="104">
        <v>9779.7824333116459</v>
      </c>
      <c r="AL1503" s="118">
        <v>30869953</v>
      </c>
      <c r="AM1503" s="118">
        <v>11947</v>
      </c>
      <c r="AN1503" s="118">
        <v>228266.46666666667</v>
      </c>
      <c r="AO1503" s="118">
        <v>1767</v>
      </c>
      <c r="AP1503" s="118">
        <f t="shared" si="23"/>
        <v>858</v>
      </c>
    </row>
    <row r="1504" spans="1:42" ht="12.75">
      <c r="A1504" s="106">
        <v>2018</v>
      </c>
      <c r="B1504" s="106">
        <v>-186034</v>
      </c>
      <c r="C1504" s="106">
        <v>0</v>
      </c>
      <c r="D1504" s="106">
        <v>186034</v>
      </c>
      <c r="E1504" s="106" t="s">
        <v>2424</v>
      </c>
      <c r="F1504" s="106" t="s">
        <v>2425</v>
      </c>
      <c r="G1504" s="106" t="s">
        <v>234</v>
      </c>
      <c r="H1504" s="106">
        <v>4</v>
      </c>
      <c r="I1504" s="106" t="s">
        <v>24</v>
      </c>
      <c r="J1504" s="106">
        <v>4920</v>
      </c>
      <c r="K1504" s="106">
        <v>9155</v>
      </c>
      <c r="L1504" s="106">
        <v>8654</v>
      </c>
      <c r="M1504" s="106">
        <v>0.67</v>
      </c>
      <c r="N1504" s="106">
        <v>0.05</v>
      </c>
      <c r="O1504" s="106">
        <v>0.19</v>
      </c>
      <c r="P1504" s="106">
        <v>685</v>
      </c>
      <c r="Q1504" s="106"/>
      <c r="R1504" s="106"/>
      <c r="S1504" s="106">
        <v>12865.176918329562</v>
      </c>
      <c r="T1504" s="106">
        <v>14368.818555852706</v>
      </c>
      <c r="U1504" s="106">
        <v>11536.823746403605</v>
      </c>
      <c r="V1504" s="106">
        <v>0.47476516597038271</v>
      </c>
      <c r="W1504" s="106">
        <v>75407.216391509428</v>
      </c>
      <c r="X1504" s="110">
        <v>0.61033857701223848</v>
      </c>
      <c r="Y1504" s="106">
        <v>701.05288461538464</v>
      </c>
      <c r="Z1504" s="106">
        <v>23.370192307692307</v>
      </c>
      <c r="AA1504" s="106">
        <v>42549.696685332259</v>
      </c>
      <c r="AB1504" s="106">
        <v>384.58980126916191</v>
      </c>
      <c r="AC1504" s="106">
        <v>2.3501930164045568</v>
      </c>
      <c r="AD1504" s="106">
        <v>31.21004025574236</v>
      </c>
      <c r="AE1504" s="106">
        <v>110.63657056145675</v>
      </c>
      <c r="AF1504" s="106">
        <v>-4.1614601886184717E-2</v>
      </c>
      <c r="AG1504" s="106">
        <v>3690</v>
      </c>
      <c r="AH1504" s="106">
        <v>13073.578687512858</v>
      </c>
      <c r="AI1504" s="106">
        <v>13073.578687512858</v>
      </c>
      <c r="AJ1504" s="106">
        <v>12865.176918329562</v>
      </c>
      <c r="AK1504" s="104">
        <v>13301.716519234726</v>
      </c>
      <c r="AL1504" s="118">
        <v>20108047</v>
      </c>
      <c r="AM1504" s="118">
        <v>6975</v>
      </c>
      <c r="AN1504" s="118">
        <v>145819</v>
      </c>
      <c r="AO1504" s="118">
        <v>694</v>
      </c>
      <c r="AP1504" s="118">
        <f t="shared" si="23"/>
        <v>1230</v>
      </c>
    </row>
    <row r="1505" spans="1:42" ht="12.75">
      <c r="A1505" s="106">
        <v>2018</v>
      </c>
      <c r="B1505" s="106">
        <v>-233019</v>
      </c>
      <c r="C1505" s="106">
        <v>0</v>
      </c>
      <c r="D1505" s="106">
        <v>233019</v>
      </c>
      <c r="E1505" s="106" t="s">
        <v>2426</v>
      </c>
      <c r="F1505" s="106" t="s">
        <v>2427</v>
      </c>
      <c r="G1505" s="106" t="s">
        <v>261</v>
      </c>
      <c r="H1505" s="106">
        <v>4</v>
      </c>
      <c r="I1505" s="106" t="s">
        <v>24</v>
      </c>
      <c r="J1505" s="106">
        <v>4608</v>
      </c>
      <c r="K1505" s="106">
        <v>4838</v>
      </c>
      <c r="L1505" s="106">
        <v>4739</v>
      </c>
      <c r="M1505" s="106">
        <v>0.62</v>
      </c>
      <c r="N1505" s="106">
        <v>0.01</v>
      </c>
      <c r="O1505" s="106">
        <v>0</v>
      </c>
      <c r="P1505" s="106"/>
      <c r="Q1505" s="106">
        <v>257.34147869674183</v>
      </c>
      <c r="R1505" s="106">
        <v>5.2221230338223686E-2</v>
      </c>
      <c r="S1505" s="106">
        <v>13580.887218045113</v>
      </c>
      <c r="T1505" s="106">
        <v>14115.045112781954</v>
      </c>
      <c r="U1505" s="106">
        <v>11067.179968996226</v>
      </c>
      <c r="V1505" s="106">
        <v>0.42201967278540109</v>
      </c>
      <c r="W1505" s="106">
        <v>64905.674740484435</v>
      </c>
      <c r="X1505" s="110">
        <v>0.55510366567037817</v>
      </c>
      <c r="Y1505" s="106">
        <v>616.60944206008594</v>
      </c>
      <c r="Z1505" s="106">
        <v>20.54935622317597</v>
      </c>
      <c r="AA1505" s="106">
        <v>17986.984959794274</v>
      </c>
      <c r="AB1505" s="106">
        <v>368.82896701854202</v>
      </c>
      <c r="AC1505" s="106">
        <v>5.5595754498892829</v>
      </c>
      <c r="AD1505" s="106">
        <v>66.531165311653112</v>
      </c>
      <c r="AE1505" s="106">
        <v>48.767820773930751</v>
      </c>
      <c r="AF1505" s="106">
        <v>0.11723979851541881</v>
      </c>
      <c r="AG1505" s="106">
        <v>4253</v>
      </c>
      <c r="AH1505" s="106">
        <v>12940.206140350878</v>
      </c>
      <c r="AI1505" s="106">
        <v>13086.444235588973</v>
      </c>
      <c r="AJ1505" s="106">
        <v>13606.911027568922</v>
      </c>
      <c r="AK1505" s="104">
        <v>13153.272556390977</v>
      </c>
      <c r="AL1505" s="118">
        <v>8313953</v>
      </c>
      <c r="AM1505" s="118">
        <v>2263</v>
      </c>
      <c r="AN1505" s="118">
        <v>47890</v>
      </c>
      <c r="AO1505" s="118">
        <v>444</v>
      </c>
      <c r="AP1505" s="118">
        <f t="shared" si="23"/>
        <v>355</v>
      </c>
    </row>
    <row r="1506" spans="1:42" ht="12.75">
      <c r="A1506" s="106">
        <v>2018</v>
      </c>
      <c r="B1506" s="106">
        <v>-233037</v>
      </c>
      <c r="C1506" s="106">
        <v>0</v>
      </c>
      <c r="D1506" s="106">
        <v>233037</v>
      </c>
      <c r="E1506" s="106" t="s">
        <v>2428</v>
      </c>
      <c r="F1506" s="106" t="s">
        <v>1016</v>
      </c>
      <c r="G1506" s="106" t="s">
        <v>261</v>
      </c>
      <c r="H1506" s="106">
        <v>4</v>
      </c>
      <c r="I1506" s="106" t="s">
        <v>24</v>
      </c>
      <c r="J1506" s="106">
        <v>4588</v>
      </c>
      <c r="K1506" s="106">
        <v>4261</v>
      </c>
      <c r="L1506" s="106">
        <v>3624</v>
      </c>
      <c r="M1506" s="106">
        <v>0.6</v>
      </c>
      <c r="N1506" s="106">
        <v>0.22</v>
      </c>
      <c r="O1506" s="106">
        <v>0.01</v>
      </c>
      <c r="P1506" s="106">
        <v>3000</v>
      </c>
      <c r="Q1506" s="106">
        <v>103.49616368286445</v>
      </c>
      <c r="R1506" s="106">
        <v>2.1996509215356189E-2</v>
      </c>
      <c r="S1506" s="106">
        <v>14848.21483375959</v>
      </c>
      <c r="T1506" s="106">
        <v>14604.112531969309</v>
      </c>
      <c r="U1506" s="106">
        <v>12842.358985209232</v>
      </c>
      <c r="V1506" s="106">
        <v>0.35831590509778821</v>
      </c>
      <c r="W1506" s="106">
        <v>67524.444827586209</v>
      </c>
      <c r="X1506" s="110">
        <v>0.57155212209432649</v>
      </c>
      <c r="Y1506" s="106">
        <v>549.65624999999989</v>
      </c>
      <c r="Z1506" s="106">
        <v>18.328124999999996</v>
      </c>
      <c r="AA1506" s="106">
        <v>42734.998835887745</v>
      </c>
      <c r="AB1506" s="106">
        <v>428.22466000484479</v>
      </c>
      <c r="AC1506" s="106">
        <v>2.3400024037446001</v>
      </c>
      <c r="AD1506" s="106">
        <v>34.156976744186046</v>
      </c>
      <c r="AE1506" s="106">
        <v>99.795744680851058</v>
      </c>
      <c r="AF1506" s="106">
        <v>9.0475271554463707E-2</v>
      </c>
      <c r="AG1506" s="106">
        <v>4253</v>
      </c>
      <c r="AH1506" s="106">
        <v>13725.112531969309</v>
      </c>
      <c r="AI1506" s="106">
        <v>14124.047314578005</v>
      </c>
      <c r="AJ1506" s="106">
        <v>14852.11125319693</v>
      </c>
      <c r="AK1506" s="104">
        <v>14518.010230179028</v>
      </c>
      <c r="AL1506" s="118">
        <v>5518595</v>
      </c>
      <c r="AM1506" s="118">
        <v>1404</v>
      </c>
      <c r="AN1506" s="118">
        <v>23452</v>
      </c>
      <c r="AO1506" s="118">
        <v>108</v>
      </c>
      <c r="AP1506" s="118">
        <f t="shared" si="23"/>
        <v>335</v>
      </c>
    </row>
    <row r="1507" spans="1:42" ht="12.75">
      <c r="A1507" s="106">
        <v>2018</v>
      </c>
      <c r="B1507" s="106">
        <v>-227429</v>
      </c>
      <c r="C1507" s="106">
        <v>0</v>
      </c>
      <c r="D1507" s="106">
        <v>227429</v>
      </c>
      <c r="E1507" s="106" t="s">
        <v>2429</v>
      </c>
      <c r="F1507" s="106" t="s">
        <v>992</v>
      </c>
      <c r="G1507" s="106" t="s">
        <v>60</v>
      </c>
      <c r="H1507" s="106">
        <v>7</v>
      </c>
      <c r="I1507" s="106" t="s">
        <v>3641</v>
      </c>
      <c r="J1507" s="106">
        <v>8495</v>
      </c>
      <c r="K1507" s="106">
        <v>12238</v>
      </c>
      <c r="L1507" s="106">
        <v>12258</v>
      </c>
      <c r="M1507" s="106">
        <v>0.82</v>
      </c>
      <c r="N1507" s="106">
        <v>0.8</v>
      </c>
      <c r="O1507" s="106">
        <v>0.98</v>
      </c>
      <c r="P1507" s="106">
        <v>2313</v>
      </c>
      <c r="Q1507" s="106">
        <v>2760.1114982578397</v>
      </c>
      <c r="R1507" s="106">
        <v>0.26636323224905295</v>
      </c>
      <c r="S1507" s="106">
        <v>17887.135888501743</v>
      </c>
      <c r="T1507" s="106">
        <v>19877.51393728223</v>
      </c>
      <c r="U1507" s="106">
        <v>16802.564459930312</v>
      </c>
      <c r="V1507" s="106">
        <v>0.45243674434962639</v>
      </c>
      <c r="W1507" s="106">
        <v>65064.251308900522</v>
      </c>
      <c r="X1507" s="110">
        <v>0.36306182821921679</v>
      </c>
      <c r="Y1507" s="106">
        <v>956.77777777777783</v>
      </c>
      <c r="Z1507" s="106">
        <v>31.888888888888889</v>
      </c>
      <c r="AA1507" s="106">
        <v>235235.90243902439</v>
      </c>
      <c r="AB1507" s="106">
        <v>560.02043897340616</v>
      </c>
      <c r="AC1507" s="106">
        <v>0.425105177241901</v>
      </c>
      <c r="AD1507" s="106">
        <v>8.1510934393638177</v>
      </c>
      <c r="AE1507" s="106">
        <v>420.04878048780489</v>
      </c>
      <c r="AF1507" s="106">
        <v>-2.9146769522313324E-2</v>
      </c>
      <c r="AG1507" s="106">
        <v>5920</v>
      </c>
      <c r="AH1507" s="106">
        <v>15655.311846689896</v>
      </c>
      <c r="AI1507" s="106">
        <v>17887.135888501743</v>
      </c>
      <c r="AJ1507" s="106">
        <v>18631.04355400697</v>
      </c>
      <c r="AK1507" s="104">
        <v>16802.564459930312</v>
      </c>
      <c r="AM1507" s="118">
        <v>519</v>
      </c>
      <c r="AN1507" s="118">
        <v>17222</v>
      </c>
      <c r="AO1507" s="118">
        <v>41</v>
      </c>
      <c r="AP1507" s="118">
        <f t="shared" si="23"/>
        <v>2575</v>
      </c>
    </row>
    <row r="1508" spans="1:42" ht="12.75">
      <c r="A1508" s="106">
        <v>2018</v>
      </c>
      <c r="B1508" s="106">
        <v>-194392</v>
      </c>
      <c r="C1508" s="106">
        <v>0</v>
      </c>
      <c r="D1508" s="106">
        <v>194392</v>
      </c>
      <c r="E1508" s="106" t="s">
        <v>2430</v>
      </c>
      <c r="F1508" s="106" t="s">
        <v>2431</v>
      </c>
      <c r="G1508" s="106" t="s">
        <v>69</v>
      </c>
      <c r="H1508" s="106">
        <v>7</v>
      </c>
      <c r="I1508" s="106" t="s">
        <v>3641</v>
      </c>
      <c r="J1508" s="106">
        <v>27621</v>
      </c>
      <c r="K1508" s="106">
        <v>26343</v>
      </c>
      <c r="L1508" s="106">
        <v>20494</v>
      </c>
      <c r="M1508" s="106">
        <v>0.45</v>
      </c>
      <c r="N1508" s="106">
        <v>0.86</v>
      </c>
      <c r="O1508" s="106">
        <v>0.97</v>
      </c>
      <c r="P1508" s="106">
        <v>14431</v>
      </c>
      <c r="Q1508" s="106">
        <v>13301.233986928104</v>
      </c>
      <c r="R1508" s="106">
        <v>0.49868074680346114</v>
      </c>
      <c r="S1508" s="106">
        <v>35028.418300653597</v>
      </c>
      <c r="T1508" s="106">
        <v>36250.07973856209</v>
      </c>
      <c r="U1508" s="106">
        <v>22746.457001611358</v>
      </c>
      <c r="V1508" s="106">
        <v>0.58785464727843528</v>
      </c>
      <c r="W1508" s="106">
        <v>81291.227368421052</v>
      </c>
      <c r="X1508" s="110">
        <v>0.46413640523522309</v>
      </c>
      <c r="Y1508" s="106">
        <v>324.59433962264148</v>
      </c>
      <c r="Z1508" s="106">
        <v>10.825471698113207</v>
      </c>
      <c r="AA1508" s="106">
        <v>79821.282597397658</v>
      </c>
      <c r="AB1508" s="106">
        <v>758.61189320048334</v>
      </c>
      <c r="AC1508" s="106">
        <v>1.2527987116466131</v>
      </c>
      <c r="AD1508" s="106">
        <v>28.534031413612563</v>
      </c>
      <c r="AE1508" s="106">
        <v>105.22018348623853</v>
      </c>
      <c r="AF1508" s="106">
        <v>3.8573735326639822E-3</v>
      </c>
      <c r="AG1508" s="106">
        <v>27590</v>
      </c>
      <c r="AH1508" s="106">
        <v>30542.67320261438</v>
      </c>
      <c r="AI1508" s="106">
        <v>35028.418300653597</v>
      </c>
      <c r="AJ1508" s="106">
        <v>36556.794771241832</v>
      </c>
      <c r="AK1508" s="104">
        <v>28591.379084967321</v>
      </c>
      <c r="AM1508" s="118">
        <v>771</v>
      </c>
      <c r="AN1508" s="118">
        <v>22938</v>
      </c>
      <c r="AO1508" s="118">
        <v>218</v>
      </c>
      <c r="AP1508" s="118">
        <f t="shared" si="23"/>
        <v>31</v>
      </c>
    </row>
    <row r="1509" spans="1:42" ht="12.75">
      <c r="A1509" s="106">
        <v>2018</v>
      </c>
      <c r="B1509" s="106">
        <v>-176239</v>
      </c>
      <c r="C1509" s="106">
        <v>0</v>
      </c>
      <c r="D1509" s="106">
        <v>176239</v>
      </c>
      <c r="E1509" s="106" t="s">
        <v>2432</v>
      </c>
      <c r="F1509" s="106" t="s">
        <v>2433</v>
      </c>
      <c r="G1509" s="106" t="s">
        <v>107</v>
      </c>
      <c r="H1509" s="106">
        <v>4</v>
      </c>
      <c r="I1509" s="106" t="s">
        <v>24</v>
      </c>
      <c r="J1509" s="106">
        <v>3500</v>
      </c>
      <c r="K1509" s="106">
        <v>8307</v>
      </c>
      <c r="L1509" s="106">
        <v>6987</v>
      </c>
      <c r="M1509" s="106">
        <v>0.56000000000000005</v>
      </c>
      <c r="N1509" s="106">
        <v>0.3</v>
      </c>
      <c r="O1509" s="106">
        <v>0.39</v>
      </c>
      <c r="P1509" s="106">
        <v>2672</v>
      </c>
      <c r="Q1509" s="106">
        <v>1129.8526392961876</v>
      </c>
      <c r="R1509" s="106">
        <v>0.30708482239374163</v>
      </c>
      <c r="S1509" s="106">
        <v>12656.600195503421</v>
      </c>
      <c r="T1509" s="106">
        <v>12472.509042033236</v>
      </c>
      <c r="U1509" s="106">
        <v>9529.4017595307923</v>
      </c>
      <c r="V1509" s="106">
        <v>0.26753332639898864</v>
      </c>
      <c r="W1509" s="106">
        <v>70253.838970588244</v>
      </c>
      <c r="X1509" s="110">
        <v>0.62401964500342855</v>
      </c>
      <c r="Y1509" s="106">
        <v>552.18890554722634</v>
      </c>
      <c r="Z1509" s="106">
        <v>18.404797601199398</v>
      </c>
      <c r="AA1509" s="106">
        <v>34692.448398576511</v>
      </c>
      <c r="AB1509" s="106">
        <v>317.62085199967419</v>
      </c>
      <c r="AC1509" s="106">
        <v>2.8824716794593019</v>
      </c>
      <c r="AD1509" s="106">
        <v>29.141820067409903</v>
      </c>
      <c r="AE1509" s="106">
        <v>109.22597864768683</v>
      </c>
      <c r="AF1509" s="106">
        <v>2.7888872385567254E-2</v>
      </c>
      <c r="AG1509" s="106">
        <v>3250</v>
      </c>
      <c r="AH1509" s="106">
        <v>11332.307917888564</v>
      </c>
      <c r="AI1509" s="106">
        <v>11431.930107526881</v>
      </c>
      <c r="AJ1509" s="106">
        <v>12717.413734115347</v>
      </c>
      <c r="AK1509" s="104">
        <v>10877.8096285435</v>
      </c>
      <c r="AL1509" s="118">
        <v>20506704</v>
      </c>
      <c r="AM1509" s="118">
        <v>4829</v>
      </c>
      <c r="AN1509" s="118">
        <v>122770</v>
      </c>
      <c r="AO1509" s="118">
        <v>931</v>
      </c>
      <c r="AP1509" s="118">
        <f t="shared" si="23"/>
        <v>250</v>
      </c>
    </row>
    <row r="1510" spans="1:42" ht="12.75">
      <c r="A1510" s="106">
        <v>2018</v>
      </c>
      <c r="B1510" s="106">
        <v>-214883</v>
      </c>
      <c r="C1510" s="106">
        <v>0</v>
      </c>
      <c r="D1510" s="106">
        <v>214883</v>
      </c>
      <c r="E1510" s="106" t="s">
        <v>2434</v>
      </c>
      <c r="F1510" s="106" t="s">
        <v>721</v>
      </c>
      <c r="G1510" s="106" t="s">
        <v>104</v>
      </c>
      <c r="H1510" s="106">
        <v>7</v>
      </c>
      <c r="I1510" s="106" t="s">
        <v>3641</v>
      </c>
      <c r="J1510" s="106">
        <v>15060</v>
      </c>
      <c r="K1510" s="106">
        <v>6395</v>
      </c>
      <c r="L1510" s="106">
        <v>6027</v>
      </c>
      <c r="M1510" s="106">
        <v>0.95</v>
      </c>
      <c r="N1510" s="106">
        <v>0.11</v>
      </c>
      <c r="O1510" s="106">
        <v>0.97</v>
      </c>
      <c r="P1510" s="106">
        <v>6891</v>
      </c>
      <c r="Q1510" s="106">
        <v>3220.9598825831704</v>
      </c>
      <c r="R1510" s="106">
        <v>0.171841480247413</v>
      </c>
      <c r="S1510" s="106">
        <v>17376.452054794521</v>
      </c>
      <c r="T1510" s="106">
        <v>17742.786692759295</v>
      </c>
      <c r="U1510" s="106">
        <v>17742.786692759295</v>
      </c>
      <c r="V1510" s="106">
        <v>0.87488093615177698</v>
      </c>
      <c r="W1510" s="106">
        <v>77406.269874476988</v>
      </c>
      <c r="X1510" s="110">
        <v>0.68015838194050138</v>
      </c>
      <c r="Y1510" s="106">
        <v>409.33783783783781</v>
      </c>
      <c r="Z1510" s="106">
        <v>13.810810810810811</v>
      </c>
      <c r="AA1510" s="106">
        <v>63625.010526315789</v>
      </c>
      <c r="AB1510" s="106">
        <v>598.63088045954248</v>
      </c>
      <c r="AC1510" s="106">
        <v>1.5717089737633794</v>
      </c>
      <c r="AD1510" s="106">
        <v>36.869340232858995</v>
      </c>
      <c r="AE1510" s="106">
        <v>106.28421052631579</v>
      </c>
      <c r="AF1510" s="106">
        <v>5.3817364658616557E-2</v>
      </c>
      <c r="AG1510" s="106">
        <v>14400</v>
      </c>
      <c r="AH1510" s="106">
        <v>16443.603718199607</v>
      </c>
      <c r="AI1510" s="106">
        <v>17017.091976516633</v>
      </c>
      <c r="AJ1510" s="106">
        <v>19297.862035225047</v>
      </c>
      <c r="AK1510" s="104">
        <v>17742.786692759295</v>
      </c>
      <c r="AM1510" s="118">
        <v>1389</v>
      </c>
      <c r="AN1510" s="118">
        <v>30291</v>
      </c>
      <c r="AO1510" s="118">
        <v>253</v>
      </c>
      <c r="AP1510" s="118">
        <f t="shared" si="23"/>
        <v>660</v>
      </c>
    </row>
    <row r="1511" spans="1:42" ht="12.75">
      <c r="A1511" s="106">
        <v>2018</v>
      </c>
      <c r="B1511" s="106">
        <v>-221643</v>
      </c>
      <c r="C1511" s="106">
        <v>0</v>
      </c>
      <c r="D1511" s="106">
        <v>221643</v>
      </c>
      <c r="E1511" s="106" t="s">
        <v>2435</v>
      </c>
      <c r="F1511" s="106" t="s">
        <v>2436</v>
      </c>
      <c r="G1511" s="106" t="s">
        <v>255</v>
      </c>
      <c r="H1511" s="106">
        <v>4</v>
      </c>
      <c r="I1511" s="106" t="s">
        <v>24</v>
      </c>
      <c r="J1511" s="106">
        <v>4180</v>
      </c>
      <c r="K1511" s="106">
        <v>6007</v>
      </c>
      <c r="L1511" s="106">
        <v>4438</v>
      </c>
      <c r="M1511" s="106">
        <v>0.47</v>
      </c>
      <c r="N1511" s="106">
        <v>0.09</v>
      </c>
      <c r="O1511" s="106">
        <v>0.05</v>
      </c>
      <c r="P1511" s="106">
        <v>2362</v>
      </c>
      <c r="Q1511" s="106">
        <v>845.83948883583764</v>
      </c>
      <c r="R1511" s="106">
        <v>0.1550472418379453</v>
      </c>
      <c r="S1511" s="106">
        <v>11394.768150540654</v>
      </c>
      <c r="T1511" s="106">
        <v>11245.954781631794</v>
      </c>
      <c r="U1511" s="106">
        <v>9243.1286389750039</v>
      </c>
      <c r="V1511" s="106">
        <v>0.49869767390491032</v>
      </c>
      <c r="W1511" s="106">
        <v>67181.760392340031</v>
      </c>
      <c r="X1511" s="110">
        <v>0.59870029690902038</v>
      </c>
      <c r="Y1511" s="106">
        <v>605.74763705103965</v>
      </c>
      <c r="Z1511" s="106">
        <v>20.191871455576557</v>
      </c>
      <c r="AA1511" s="106">
        <v>28008.646399208934</v>
      </c>
      <c r="AB1511" s="106">
        <v>308.10861472632672</v>
      </c>
      <c r="AC1511" s="106">
        <v>3.5703260548437061</v>
      </c>
      <c r="AD1511" s="106">
        <v>32.231518310245512</v>
      </c>
      <c r="AE1511" s="106">
        <v>90.90510638297873</v>
      </c>
      <c r="AF1511" s="106">
        <v>3.0995302885977762E-2</v>
      </c>
      <c r="AG1511" s="106">
        <v>3840</v>
      </c>
      <c r="AH1511" s="106">
        <v>11748.012779104058</v>
      </c>
      <c r="AI1511" s="106">
        <v>11775.615222581098</v>
      </c>
      <c r="AJ1511" s="106">
        <v>11441.72644291532</v>
      </c>
      <c r="AK1511" s="104">
        <v>10850.400786406404</v>
      </c>
      <c r="AL1511" s="119">
        <v>30595687</v>
      </c>
      <c r="AM1511" s="118">
        <v>11168</v>
      </c>
      <c r="AN1511" s="118">
        <v>213627</v>
      </c>
      <c r="AO1511" s="118">
        <v>1458</v>
      </c>
      <c r="AP1511" s="118">
        <f t="shared" si="23"/>
        <v>340</v>
      </c>
    </row>
    <row r="1512" spans="1:42" ht="12.75">
      <c r="A1512" s="106">
        <v>2018</v>
      </c>
      <c r="B1512" s="106">
        <v>-236258</v>
      </c>
      <c r="C1512" s="106">
        <v>0</v>
      </c>
      <c r="D1512" s="106">
        <v>236258</v>
      </c>
      <c r="E1512" s="106" t="s">
        <v>2437</v>
      </c>
      <c r="F1512" s="106" t="s">
        <v>2438</v>
      </c>
      <c r="G1512" s="106" t="s">
        <v>182</v>
      </c>
      <c r="H1512" s="106">
        <v>4</v>
      </c>
      <c r="I1512" s="106" t="s">
        <v>24</v>
      </c>
      <c r="J1512" s="106">
        <v>4200</v>
      </c>
      <c r="K1512" s="106">
        <v>6402</v>
      </c>
      <c r="L1512" s="106">
        <v>4589</v>
      </c>
      <c r="M1512" s="106">
        <v>0.47</v>
      </c>
      <c r="N1512" s="106">
        <v>0.1</v>
      </c>
      <c r="O1512" s="106">
        <v>0.32</v>
      </c>
      <c r="P1512" s="106">
        <v>2258</v>
      </c>
      <c r="Q1512" s="106">
        <v>722.42614601018681</v>
      </c>
      <c r="R1512" s="106">
        <v>0.19688856327600832</v>
      </c>
      <c r="S1512" s="106">
        <v>15869.217883418223</v>
      </c>
      <c r="T1512" s="106">
        <v>17917.402942840974</v>
      </c>
      <c r="U1512" s="106">
        <v>13600.983588002264</v>
      </c>
      <c r="V1512" s="106">
        <v>0.21665986072947052</v>
      </c>
      <c r="W1512" s="106">
        <v>99596.219469026546</v>
      </c>
      <c r="X1512" s="110">
        <v>0.59245918460459834</v>
      </c>
      <c r="Y1512" s="106">
        <v>1069.6143497757846</v>
      </c>
      <c r="Z1512" s="106">
        <v>23.771300448430491</v>
      </c>
      <c r="AA1512" s="106">
        <v>20418.808836023789</v>
      </c>
      <c r="AB1512" s="106">
        <v>302.27068974191275</v>
      </c>
      <c r="AC1512" s="106">
        <v>4.8974453310702168</v>
      </c>
      <c r="AD1512" s="106">
        <v>76.279974076474403</v>
      </c>
      <c r="AE1512" s="106">
        <v>67.55140186915888</v>
      </c>
      <c r="AF1512" s="106">
        <v>-2.7810087937657674E-2</v>
      </c>
      <c r="AG1512" s="106">
        <v>3702</v>
      </c>
      <c r="AH1512" s="106">
        <v>14529.044142614601</v>
      </c>
      <c r="AI1512" s="106">
        <v>14529.044142614601</v>
      </c>
      <c r="AJ1512" s="106">
        <v>15953.262591963781</v>
      </c>
      <c r="AK1512" s="104">
        <v>16160.576683644595</v>
      </c>
      <c r="AL1512" s="119">
        <v>12070916</v>
      </c>
      <c r="AM1512" s="118">
        <v>2094</v>
      </c>
      <c r="AN1512" s="118">
        <v>79508</v>
      </c>
      <c r="AO1512" s="118">
        <v>388</v>
      </c>
      <c r="AP1512" s="118">
        <f t="shared" si="23"/>
        <v>498</v>
      </c>
    </row>
    <row r="1513" spans="1:42" ht="12.75">
      <c r="A1513" s="106">
        <v>2018</v>
      </c>
      <c r="B1513" s="106">
        <v>-366252</v>
      </c>
      <c r="C1513" s="106">
        <v>0</v>
      </c>
      <c r="D1513" s="106">
        <v>366252</v>
      </c>
      <c r="E1513" s="106" t="s">
        <v>2439</v>
      </c>
      <c r="F1513" s="106" t="s">
        <v>1857</v>
      </c>
      <c r="G1513" s="106" t="s">
        <v>104</v>
      </c>
      <c r="H1513" s="106">
        <v>3</v>
      </c>
      <c r="I1513" s="104" t="s">
        <v>26</v>
      </c>
      <c r="J1513" s="106">
        <v>16350</v>
      </c>
      <c r="K1513" s="106">
        <v>21242</v>
      </c>
      <c r="L1513" s="106">
        <v>19898</v>
      </c>
      <c r="M1513" s="106">
        <v>0.39</v>
      </c>
      <c r="N1513" s="106">
        <v>0.76</v>
      </c>
      <c r="O1513" s="106">
        <v>0.2</v>
      </c>
      <c r="P1513" s="106">
        <v>5420</v>
      </c>
      <c r="Q1513" s="106"/>
      <c r="R1513" s="106"/>
      <c r="S1513" s="106">
        <v>30288.072224432948</v>
      </c>
      <c r="T1513" s="106">
        <v>29112.740549144448</v>
      </c>
      <c r="U1513" s="106">
        <v>24937.102268205334</v>
      </c>
      <c r="V1513" s="106">
        <v>0.75460138965142987</v>
      </c>
      <c r="W1513" s="106">
        <v>89645.524308865584</v>
      </c>
      <c r="X1513" s="110">
        <v>0.64268553538388851</v>
      </c>
      <c r="Y1513" s="106">
        <v>440.87426900584796</v>
      </c>
      <c r="Z1513" s="106">
        <v>14.695906432748538</v>
      </c>
      <c r="AA1513" s="106">
        <v>84914.550135501355</v>
      </c>
      <c r="AB1513" s="106">
        <v>831.24225522121776</v>
      </c>
      <c r="AC1513" s="106">
        <v>1.1776544754747711</v>
      </c>
      <c r="AD1513" s="106">
        <v>29.957377714633655</v>
      </c>
      <c r="AE1513" s="106">
        <v>102.15379403794039</v>
      </c>
      <c r="AF1513" s="106">
        <v>0.10310968859447543</v>
      </c>
      <c r="AG1513" s="106">
        <v>13860</v>
      </c>
      <c r="AH1513" s="106">
        <v>30116.300039793077</v>
      </c>
      <c r="AI1513" s="106">
        <v>30775.566653402308</v>
      </c>
      <c r="AJ1513" s="106">
        <v>30542.207918822125</v>
      </c>
      <c r="AK1513" s="104">
        <v>24937.102268205334</v>
      </c>
      <c r="AL1513" s="119">
        <v>22470000</v>
      </c>
      <c r="AM1513" s="118">
        <v>5457</v>
      </c>
      <c r="AN1513" s="118">
        <v>150779</v>
      </c>
      <c r="AO1513" s="118">
        <v>1457</v>
      </c>
      <c r="AP1513" s="118">
        <f t="shared" si="23"/>
        <v>2490</v>
      </c>
    </row>
    <row r="1514" spans="1:42" ht="12.75">
      <c r="A1514" s="106">
        <v>2018</v>
      </c>
      <c r="B1514" s="106">
        <v>-414911</v>
      </c>
      <c r="C1514" s="106">
        <v>0</v>
      </c>
      <c r="D1514" s="106">
        <v>414911</v>
      </c>
      <c r="E1514" s="106" t="s">
        <v>2440</v>
      </c>
      <c r="F1514" s="106" t="s">
        <v>1295</v>
      </c>
      <c r="G1514" s="106" t="s">
        <v>104</v>
      </c>
      <c r="H1514" s="106">
        <v>4</v>
      </c>
      <c r="I1514" s="106" t="s">
        <v>24</v>
      </c>
      <c r="J1514" s="106">
        <v>5670</v>
      </c>
      <c r="K1514" s="106">
        <v>4754</v>
      </c>
      <c r="L1514" s="106">
        <v>3708</v>
      </c>
      <c r="M1514" s="106">
        <v>0.59</v>
      </c>
      <c r="N1514" s="106">
        <v>0.64</v>
      </c>
      <c r="O1514" s="106">
        <v>0.05</v>
      </c>
      <c r="P1514" s="106">
        <v>2411</v>
      </c>
      <c r="Q1514" s="106">
        <v>45.020285499624343</v>
      </c>
      <c r="R1514" s="106">
        <v>7.5925674388053407E-3</v>
      </c>
      <c r="S1514" s="106">
        <v>9412.5041322314046</v>
      </c>
      <c r="T1514" s="106">
        <v>9904.2577009767101</v>
      </c>
      <c r="U1514" s="106">
        <v>9904.2577009767101</v>
      </c>
      <c r="V1514" s="106">
        <v>0.59413845573475943</v>
      </c>
      <c r="W1514" s="106">
        <v>64321.856796116503</v>
      </c>
      <c r="X1514" s="110">
        <v>0.67009217552241529</v>
      </c>
      <c r="Y1514" s="106">
        <v>712.91071428571433</v>
      </c>
      <c r="Z1514" s="106">
        <v>23.767857142857142</v>
      </c>
      <c r="AA1514" s="106">
        <v>51095.220930232557</v>
      </c>
      <c r="AB1514" s="106">
        <v>330.19980963354459</v>
      </c>
      <c r="AC1514" s="106">
        <v>1.9571302008174887</v>
      </c>
      <c r="AD1514" s="106">
        <v>17.622950819672131</v>
      </c>
      <c r="AE1514" s="106">
        <v>154.74031007751938</v>
      </c>
      <c r="AF1514" s="106">
        <v>1.5537738748539776E-2</v>
      </c>
      <c r="AG1514" s="106">
        <v>3810</v>
      </c>
      <c r="AH1514" s="106">
        <v>9803.659654395191</v>
      </c>
      <c r="AI1514" s="106">
        <v>9848.8888054094659</v>
      </c>
      <c r="AJ1514" s="106">
        <v>9412.5041322314046</v>
      </c>
      <c r="AK1514" s="104">
        <v>9904.2577009767101</v>
      </c>
      <c r="AL1514" s="119">
        <v>4182858</v>
      </c>
      <c r="AM1514" s="118">
        <v>2814</v>
      </c>
      <c r="AN1514" s="118">
        <v>39923</v>
      </c>
      <c r="AO1514" s="118">
        <v>246</v>
      </c>
      <c r="AP1514" s="118">
        <f t="shared" si="23"/>
        <v>1860</v>
      </c>
    </row>
    <row r="1515" spans="1:42" ht="12.75">
      <c r="A1515" s="106">
        <v>2018</v>
      </c>
      <c r="B1515" s="106">
        <v>1592</v>
      </c>
      <c r="C1515" s="106">
        <v>1</v>
      </c>
      <c r="D1515" s="106">
        <v>214777</v>
      </c>
      <c r="E1515" s="106" t="s">
        <v>3866</v>
      </c>
      <c r="F1515" s="106" t="s">
        <v>1365</v>
      </c>
      <c r="G1515" s="106" t="s">
        <v>104</v>
      </c>
      <c r="H1515" s="106">
        <v>1</v>
      </c>
      <c r="I1515" s="106" t="s">
        <v>23</v>
      </c>
      <c r="J1515" s="106">
        <v>18436</v>
      </c>
      <c r="K1515" s="106">
        <v>26151</v>
      </c>
      <c r="L1515" s="106">
        <v>21436</v>
      </c>
      <c r="M1515" s="106">
        <v>0.23</v>
      </c>
      <c r="N1515" s="106">
        <v>0.55000000000000004</v>
      </c>
      <c r="O1515" s="106">
        <v>0.42</v>
      </c>
      <c r="P1515" s="106">
        <v>5307</v>
      </c>
      <c r="Q1515" s="106">
        <v>2414.4498989315621</v>
      </c>
      <c r="R1515" s="106">
        <v>0.10767095895872383</v>
      </c>
      <c r="S1515" s="106">
        <v>72695.755125613636</v>
      </c>
      <c r="T1515" s="106">
        <v>67024.106266243136</v>
      </c>
      <c r="U1515" s="106">
        <v>23141.715282756893</v>
      </c>
      <c r="V1515" s="106">
        <v>0.86466742574579947</v>
      </c>
      <c r="W1515" s="106">
        <v>153116.71139302268</v>
      </c>
      <c r="X1515" s="110">
        <v>0.5408128270509901</v>
      </c>
      <c r="Y1515" s="106">
        <v>355.54667609618105</v>
      </c>
      <c r="Z1515" s="106">
        <v>12.245403111739746</v>
      </c>
      <c r="AA1515" s="106">
        <v>83842.233035013298</v>
      </c>
      <c r="AB1515" s="106">
        <v>797.02512043118566</v>
      </c>
      <c r="AC1515" s="106">
        <v>1.1927163242209813</v>
      </c>
      <c r="AD1515" s="106">
        <v>28.976439060472675</v>
      </c>
      <c r="AE1515" s="106">
        <v>105.19396551724138</v>
      </c>
      <c r="AF1515" s="106">
        <v>9.7530137471375622E-2</v>
      </c>
      <c r="AG1515" s="106">
        <v>17416</v>
      </c>
      <c r="AH1515" s="106">
        <v>68160.935604966799</v>
      </c>
      <c r="AI1515" s="106">
        <v>72733.987871787467</v>
      </c>
      <c r="AJ1515" s="106">
        <v>76870.470690153044</v>
      </c>
      <c r="AK1515" s="104">
        <v>37188.276061218596</v>
      </c>
      <c r="AL1515" s="118">
        <v>275842000</v>
      </c>
      <c r="AM1515" s="118">
        <v>78736</v>
      </c>
      <c r="AN1515" s="118">
        <v>2513715</v>
      </c>
      <c r="AO1515" s="118">
        <v>17730</v>
      </c>
      <c r="AP1515" s="118">
        <f t="shared" si="23"/>
        <v>1020</v>
      </c>
    </row>
    <row r="1516" spans="1:42" ht="12.75">
      <c r="A1516" s="106">
        <v>2018</v>
      </c>
      <c r="B1516" s="106">
        <v>-136473</v>
      </c>
      <c r="C1516" s="106">
        <v>0</v>
      </c>
      <c r="D1516" s="106">
        <v>136473</v>
      </c>
      <c r="E1516" s="106" t="s">
        <v>2442</v>
      </c>
      <c r="F1516" s="106" t="s">
        <v>2443</v>
      </c>
      <c r="G1516" s="106" t="s">
        <v>258</v>
      </c>
      <c r="H1516" s="106">
        <v>4</v>
      </c>
      <c r="I1516" s="106" t="s">
        <v>24</v>
      </c>
      <c r="J1516" s="106">
        <v>2704</v>
      </c>
      <c r="K1516" s="106">
        <v>4069</v>
      </c>
      <c r="L1516" s="106">
        <v>2396</v>
      </c>
      <c r="M1516" s="106">
        <v>0.5</v>
      </c>
      <c r="N1516" s="106">
        <v>0.1</v>
      </c>
      <c r="O1516" s="106">
        <v>0.21</v>
      </c>
      <c r="P1516" s="106">
        <v>1868</v>
      </c>
      <c r="Q1516" s="106">
        <v>454.42657443435655</v>
      </c>
      <c r="R1516" s="106">
        <v>0.14650175606081881</v>
      </c>
      <c r="S1516" s="106">
        <v>11017.202190517366</v>
      </c>
      <c r="T1516" s="106">
        <v>11520.023346303502</v>
      </c>
      <c r="U1516" s="106">
        <v>8377.9506426810731</v>
      </c>
      <c r="V1516" s="106">
        <v>0.3159990118617364</v>
      </c>
      <c r="W1516" s="106">
        <v>56955.125601539949</v>
      </c>
      <c r="X1516" s="110">
        <v>0.4935223846667498</v>
      </c>
      <c r="Y1516" s="106">
        <v>706.41556064073234</v>
      </c>
      <c r="Z1516" s="106">
        <v>23.818077803203664</v>
      </c>
      <c r="AA1516" s="106">
        <v>25837.599782028428</v>
      </c>
      <c r="AB1516" s="106">
        <v>282.47775297841019</v>
      </c>
      <c r="AC1516" s="106">
        <v>3.8703285461351515</v>
      </c>
      <c r="AD1516" s="106">
        <v>37.294878170064642</v>
      </c>
      <c r="AE1516" s="106">
        <v>91.467733333333328</v>
      </c>
      <c r="AF1516" s="106">
        <v>8.2255050276643302E-3</v>
      </c>
      <c r="AG1516" s="106">
        <v>2051</v>
      </c>
      <c r="AH1516" s="106">
        <v>8920.5300475572858</v>
      </c>
      <c r="AI1516" s="106">
        <v>9358.1203343421239</v>
      </c>
      <c r="AJ1516" s="106">
        <v>11033.822164577028</v>
      </c>
      <c r="AK1516" s="104">
        <v>11520.023346303502</v>
      </c>
      <c r="AL1516" s="118">
        <v>35628484</v>
      </c>
      <c r="AM1516" s="118">
        <v>9655</v>
      </c>
      <c r="AN1516" s="118">
        <v>205802.4</v>
      </c>
      <c r="AO1516" s="118">
        <v>1713</v>
      </c>
      <c r="AP1516" s="118">
        <f t="shared" si="23"/>
        <v>653</v>
      </c>
    </row>
    <row r="1517" spans="1:42" ht="12.75">
      <c r="A1517" s="106">
        <v>2018</v>
      </c>
      <c r="B1517" s="106">
        <v>-121150</v>
      </c>
      <c r="C1517" s="106">
        <v>0</v>
      </c>
      <c r="D1517" s="106">
        <v>121150</v>
      </c>
      <c r="E1517" s="106" t="s">
        <v>2444</v>
      </c>
      <c r="F1517" s="106" t="s">
        <v>2445</v>
      </c>
      <c r="G1517" s="106" t="s">
        <v>121</v>
      </c>
      <c r="H1517" s="106">
        <v>5</v>
      </c>
      <c r="I1517" s="106" t="s">
        <v>3639</v>
      </c>
      <c r="J1517" s="106">
        <v>51992</v>
      </c>
      <c r="K1517" s="106">
        <v>40941</v>
      </c>
      <c r="L1517" s="106">
        <v>26862</v>
      </c>
      <c r="M1517" s="106">
        <v>0.18</v>
      </c>
      <c r="N1517" s="106">
        <v>0.48</v>
      </c>
      <c r="O1517" s="106">
        <v>0.91</v>
      </c>
      <c r="P1517" s="106">
        <v>27337</v>
      </c>
      <c r="Q1517" s="106">
        <v>14259.601977436938</v>
      </c>
      <c r="R1517" s="106">
        <v>0.31006482767744925</v>
      </c>
      <c r="S1517" s="106">
        <v>48624.540499429582</v>
      </c>
      <c r="T1517" s="106">
        <v>44609.96323995437</v>
      </c>
      <c r="U1517" s="106">
        <v>36064.374885916957</v>
      </c>
      <c r="V1517" s="106">
        <v>0.87980165656611564</v>
      </c>
      <c r="W1517" s="106">
        <v>118265.84049570258</v>
      </c>
      <c r="X1517" s="110">
        <v>0.56042144984201314</v>
      </c>
      <c r="Y1517" s="106">
        <v>406.52864938608457</v>
      </c>
      <c r="Z1517" s="106">
        <v>16.143929058663026</v>
      </c>
      <c r="AA1517" s="106">
        <v>105727.18449461125</v>
      </c>
      <c r="AB1517" s="106">
        <v>1432.1763314406182</v>
      </c>
      <c r="AC1517" s="106">
        <v>0.94583053996956512</v>
      </c>
      <c r="AD1517" s="106">
        <v>41.470180305131763</v>
      </c>
      <c r="AE1517" s="106">
        <v>73.822742474916382</v>
      </c>
      <c r="AF1517" s="106">
        <v>5.4443138237391352E-2</v>
      </c>
      <c r="AG1517" s="106">
        <v>51740</v>
      </c>
      <c r="AH1517" s="106">
        <v>44273.672201799978</v>
      </c>
      <c r="AI1517" s="106">
        <v>48729.370008873113</v>
      </c>
      <c r="AJ1517" s="106">
        <v>53885.663582203066</v>
      </c>
      <c r="AK1517" s="104">
        <v>40777.284826974268</v>
      </c>
      <c r="AL1517" s="118"/>
      <c r="AM1517" s="118">
        <v>3604</v>
      </c>
      <c r="AN1517" s="118">
        <v>198657</v>
      </c>
      <c r="AO1517" s="118">
        <v>932</v>
      </c>
      <c r="AP1517" s="118">
        <f t="shared" si="23"/>
        <v>252</v>
      </c>
    </row>
    <row r="1518" spans="1:42" ht="12.75">
      <c r="A1518" s="106">
        <v>2018</v>
      </c>
      <c r="B1518" s="106">
        <v>-181534</v>
      </c>
      <c r="C1518" s="106">
        <v>0</v>
      </c>
      <c r="D1518" s="106">
        <v>181534</v>
      </c>
      <c r="E1518" s="106" t="s">
        <v>2446</v>
      </c>
      <c r="F1518" s="106" t="s">
        <v>2447</v>
      </c>
      <c r="G1518" s="106" t="s">
        <v>323</v>
      </c>
      <c r="H1518" s="106">
        <v>2</v>
      </c>
      <c r="I1518" s="106" t="s">
        <v>25</v>
      </c>
      <c r="J1518" s="106">
        <v>7226</v>
      </c>
      <c r="K1518" s="106">
        <v>14846</v>
      </c>
      <c r="L1518" s="106">
        <v>12711</v>
      </c>
      <c r="M1518" s="106">
        <v>0.54</v>
      </c>
      <c r="N1518" s="106">
        <v>0.67</v>
      </c>
      <c r="O1518" s="106">
        <v>0.75</v>
      </c>
      <c r="P1518" s="106">
        <v>2636</v>
      </c>
      <c r="Q1518" s="106">
        <v>1160.6010575793184</v>
      </c>
      <c r="R1518" s="106">
        <v>0.19952296534791925</v>
      </c>
      <c r="S1518" s="106">
        <v>14587.750881316098</v>
      </c>
      <c r="T1518" s="106">
        <v>14656.48472385429</v>
      </c>
      <c r="U1518" s="106">
        <v>11467.643317947884</v>
      </c>
      <c r="V1518" s="106">
        <v>0.40603621570612514</v>
      </c>
      <c r="W1518" s="106">
        <v>72131.984536082469</v>
      </c>
      <c r="X1518" s="110">
        <v>0.56097077381636495</v>
      </c>
      <c r="Y1518" s="106">
        <v>725.41463414634154</v>
      </c>
      <c r="Z1518" s="106">
        <v>24.907317073170734</v>
      </c>
      <c r="AA1518" s="106">
        <v>48794.822317868246</v>
      </c>
      <c r="AB1518" s="106">
        <v>393.74478368261646</v>
      </c>
      <c r="AC1518" s="106">
        <v>2.0493977690616747</v>
      </c>
      <c r="AD1518" s="106">
        <v>24.345709068776628</v>
      </c>
      <c r="AE1518" s="106">
        <v>123.925</v>
      </c>
      <c r="AF1518" s="106">
        <v>7.7891955241711552E-2</v>
      </c>
      <c r="AG1518" s="106">
        <v>5160</v>
      </c>
      <c r="AH1518" s="106">
        <v>13903.782021151586</v>
      </c>
      <c r="AI1518" s="106">
        <v>14042.97473560517</v>
      </c>
      <c r="AJ1518" s="106">
        <v>14705.991186839014</v>
      </c>
      <c r="AK1518" s="104">
        <v>12340.837837837838</v>
      </c>
      <c r="AL1518" s="118">
        <v>9795267</v>
      </c>
      <c r="AM1518" s="118">
        <v>2046</v>
      </c>
      <c r="AN1518" s="118">
        <v>49570</v>
      </c>
      <c r="AO1518" s="118">
        <v>279</v>
      </c>
      <c r="AP1518" s="118">
        <f t="shared" si="23"/>
        <v>2066</v>
      </c>
    </row>
    <row r="1519" spans="1:42" ht="12.75">
      <c r="A1519" s="106">
        <v>2018</v>
      </c>
      <c r="B1519" s="106">
        <v>-199306</v>
      </c>
      <c r="C1519" s="106">
        <v>0</v>
      </c>
      <c r="D1519" s="106">
        <v>199306</v>
      </c>
      <c r="E1519" s="106" t="s">
        <v>2448</v>
      </c>
      <c r="F1519" s="106" t="s">
        <v>2449</v>
      </c>
      <c r="G1519" s="106" t="s">
        <v>90</v>
      </c>
      <c r="H1519" s="106">
        <v>6</v>
      </c>
      <c r="I1519" s="106" t="s">
        <v>3640</v>
      </c>
      <c r="J1519" s="106">
        <v>29574</v>
      </c>
      <c r="K1519" s="106">
        <v>19554</v>
      </c>
      <c r="L1519" s="106">
        <v>21206</v>
      </c>
      <c r="M1519" s="106">
        <v>0.54</v>
      </c>
      <c r="N1519" s="106">
        <v>0.91</v>
      </c>
      <c r="O1519" s="106">
        <v>0.94</v>
      </c>
      <c r="P1519" s="106">
        <v>16969</v>
      </c>
      <c r="Q1519" s="106">
        <v>9751.0502793296091</v>
      </c>
      <c r="R1519" s="106">
        <v>0.41802183985239189</v>
      </c>
      <c r="S1519" s="106">
        <v>22540.910614525139</v>
      </c>
      <c r="T1519" s="106">
        <v>26722.216014897578</v>
      </c>
      <c r="U1519" s="106">
        <v>23245.001862197394</v>
      </c>
      <c r="V1519" s="106">
        <v>0.58402242776044599</v>
      </c>
      <c r="W1519" s="106">
        <v>63564.920704845812</v>
      </c>
      <c r="X1519" s="110">
        <v>0.50276682720283095</v>
      </c>
      <c r="Y1519" s="106">
        <v>274.59036144578312</v>
      </c>
      <c r="Z1519" s="106">
        <v>9.7048192771084327</v>
      </c>
      <c r="AA1519" s="106">
        <v>63202.865822784814</v>
      </c>
      <c r="AB1519" s="106">
        <v>821.54574174016057</v>
      </c>
      <c r="AC1519" s="106">
        <v>1.5822067353779663</v>
      </c>
      <c r="AD1519" s="106">
        <v>38.763493621197256</v>
      </c>
      <c r="AE1519" s="106">
        <v>76.931645569620258</v>
      </c>
      <c r="AF1519" s="106">
        <v>-0.13565076286746569</v>
      </c>
      <c r="AG1519" s="106">
        <v>28560</v>
      </c>
      <c r="AH1519" s="106">
        <v>19730.436685288641</v>
      </c>
      <c r="AI1519" s="106">
        <v>23907.479515828676</v>
      </c>
      <c r="AJ1519" s="106">
        <v>23694.716945996275</v>
      </c>
      <c r="AK1519" s="104">
        <v>23245.001862197394</v>
      </c>
      <c r="AM1519" s="118">
        <v>813</v>
      </c>
      <c r="AN1519" s="118">
        <v>30388</v>
      </c>
      <c r="AO1519" s="118">
        <v>183</v>
      </c>
      <c r="AP1519" s="118">
        <f t="shared" si="23"/>
        <v>1014</v>
      </c>
    </row>
    <row r="1520" spans="1:42" ht="12.75">
      <c r="A1520" s="106">
        <v>2018</v>
      </c>
      <c r="B1520" s="106">
        <v>-107600</v>
      </c>
      <c r="C1520" s="106">
        <v>0</v>
      </c>
      <c r="D1520" s="106">
        <v>107600</v>
      </c>
      <c r="E1520" s="106" t="s">
        <v>2450</v>
      </c>
      <c r="F1520" s="106" t="s">
        <v>199</v>
      </c>
      <c r="G1520" s="106" t="s">
        <v>200</v>
      </c>
      <c r="H1520" s="106">
        <v>7</v>
      </c>
      <c r="I1520" s="106" t="s">
        <v>3641</v>
      </c>
      <c r="J1520" s="106">
        <v>12714</v>
      </c>
      <c r="K1520" s="106">
        <v>13694</v>
      </c>
      <c r="L1520" s="106">
        <v>14063</v>
      </c>
      <c r="M1520" s="106">
        <v>0.85</v>
      </c>
      <c r="N1520" s="106">
        <v>0.86</v>
      </c>
      <c r="O1520" s="106">
        <v>0.75</v>
      </c>
      <c r="P1520" s="106">
        <v>8185</v>
      </c>
      <c r="Q1520" s="106">
        <v>4056.5734549138806</v>
      </c>
      <c r="R1520" s="106">
        <v>0.33880933655502937</v>
      </c>
      <c r="S1520" s="106">
        <v>19904.546099290779</v>
      </c>
      <c r="T1520" s="106">
        <v>21796.047619047618</v>
      </c>
      <c r="U1520" s="106">
        <v>17354.165113621253</v>
      </c>
      <c r="V1520" s="106">
        <v>0.45617025358918645</v>
      </c>
      <c r="W1520" s="106">
        <v>56188.482692307691</v>
      </c>
      <c r="X1520" s="110">
        <v>0.45272501604749826</v>
      </c>
      <c r="Y1520" s="106">
        <v>498.8089887640449</v>
      </c>
      <c r="Z1520" s="106">
        <v>16.634831460674157</v>
      </c>
      <c r="AA1520" s="106">
        <v>192455.74120386716</v>
      </c>
      <c r="AB1520" s="106">
        <v>578.74580913448358</v>
      </c>
      <c r="AC1520" s="106">
        <v>0.51959998373896588</v>
      </c>
      <c r="AD1520" s="106">
        <v>10.312862108922364</v>
      </c>
      <c r="AE1520" s="106">
        <v>332.53932584269666</v>
      </c>
      <c r="AF1520" s="106">
        <v>-3.9050357901188625E-2</v>
      </c>
      <c r="AG1520" s="106">
        <v>11804</v>
      </c>
      <c r="AH1520" s="106">
        <v>16100.637284701115</v>
      </c>
      <c r="AI1520" s="106">
        <v>20073.689969604864</v>
      </c>
      <c r="AJ1520" s="106">
        <v>20610.370820668693</v>
      </c>
      <c r="AK1520" s="104">
        <v>17977.221884498482</v>
      </c>
      <c r="AM1520" s="118">
        <v>891</v>
      </c>
      <c r="AN1520" s="118">
        <v>29596</v>
      </c>
      <c r="AO1520" s="118">
        <v>89</v>
      </c>
      <c r="AP1520" s="118">
        <f t="shared" si="23"/>
        <v>910</v>
      </c>
    </row>
    <row r="1521" spans="1:42" ht="12.75">
      <c r="A1521" s="106">
        <v>2018</v>
      </c>
      <c r="B1521" s="106">
        <v>-107619</v>
      </c>
      <c r="C1521" s="106">
        <v>0</v>
      </c>
      <c r="D1521" s="106">
        <v>107619</v>
      </c>
      <c r="E1521" s="106" t="s">
        <v>2451</v>
      </c>
      <c r="F1521" s="106" t="s">
        <v>607</v>
      </c>
      <c r="G1521" s="106" t="s">
        <v>200</v>
      </c>
      <c r="H1521" s="106">
        <v>4</v>
      </c>
      <c r="I1521" s="106" t="s">
        <v>24</v>
      </c>
      <c r="J1521" s="106">
        <v>2810</v>
      </c>
      <c r="K1521" s="106">
        <v>5049</v>
      </c>
      <c r="L1521" s="106">
        <v>4498</v>
      </c>
      <c r="M1521" s="106">
        <v>0.85</v>
      </c>
      <c r="N1521" s="106">
        <v>0</v>
      </c>
      <c r="O1521" s="106">
        <v>0.19</v>
      </c>
      <c r="P1521" s="106">
        <v>1701</v>
      </c>
      <c r="Q1521" s="106">
        <v>810.63152289669858</v>
      </c>
      <c r="R1521" s="106">
        <v>0.26094568526683254</v>
      </c>
      <c r="S1521" s="106">
        <v>21950.621938232161</v>
      </c>
      <c r="T1521" s="106">
        <v>22337.72310969116</v>
      </c>
      <c r="U1521" s="106">
        <v>17415.02117222848</v>
      </c>
      <c r="V1521" s="106">
        <v>0.13183348049908333</v>
      </c>
      <c r="W1521" s="106">
        <v>54501.491150442474</v>
      </c>
      <c r="X1521" s="110">
        <v>0.58723553550725471</v>
      </c>
      <c r="Y1521" s="106">
        <v>386.04109589041099</v>
      </c>
      <c r="Z1521" s="106">
        <v>12.863013698630137</v>
      </c>
      <c r="AA1521" s="106">
        <v>39309.386732506107</v>
      </c>
      <c r="AB1521" s="106">
        <v>580.27411662902455</v>
      </c>
      <c r="AC1521" s="106">
        <v>2.5439216510927403</v>
      </c>
      <c r="AD1521" s="106">
        <v>43.243243243243242</v>
      </c>
      <c r="AE1521" s="106">
        <v>67.742788461538467</v>
      </c>
      <c r="AF1521" s="106">
        <v>4.4408842657119516E-3</v>
      </c>
      <c r="AG1521" s="106">
        <v>2100</v>
      </c>
      <c r="AH1521" s="106">
        <v>20286.462193823216</v>
      </c>
      <c r="AI1521" s="106">
        <v>20286.462193823216</v>
      </c>
      <c r="AJ1521" s="106">
        <v>21967.218317358893</v>
      </c>
      <c r="AK1521" s="104">
        <v>20847.489882854101</v>
      </c>
      <c r="AL1521" s="119">
        <v>12428285</v>
      </c>
      <c r="AM1521" s="118">
        <v>1636</v>
      </c>
      <c r="AN1521" s="118">
        <v>28181</v>
      </c>
      <c r="AO1521" s="118">
        <v>129</v>
      </c>
      <c r="AP1521" s="118">
        <f t="shared" si="23"/>
        <v>710</v>
      </c>
    </row>
    <row r="1522" spans="1:42" ht="12.75">
      <c r="A1522" s="106">
        <v>2018</v>
      </c>
      <c r="B1522" s="106">
        <v>-105428</v>
      </c>
      <c r="C1522" s="106">
        <v>0</v>
      </c>
      <c r="D1522" s="106">
        <v>105428</v>
      </c>
      <c r="E1522" s="106" t="s">
        <v>2452</v>
      </c>
      <c r="F1522" s="106" t="s">
        <v>146</v>
      </c>
      <c r="G1522" s="106" t="s">
        <v>147</v>
      </c>
      <c r="H1522" s="106">
        <v>4</v>
      </c>
      <c r="I1522" s="106" t="s">
        <v>24</v>
      </c>
      <c r="J1522" s="106">
        <v>2094</v>
      </c>
      <c r="K1522" s="106">
        <v>7412</v>
      </c>
      <c r="L1522" s="106">
        <v>6745</v>
      </c>
      <c r="M1522" s="106">
        <v>0.7</v>
      </c>
      <c r="N1522" s="106">
        <v>7.0000000000000007E-2</v>
      </c>
      <c r="O1522" s="106">
        <v>0.17</v>
      </c>
      <c r="P1522" s="106">
        <v>1244</v>
      </c>
      <c r="Q1522" s="106">
        <v>445.1588492808005</v>
      </c>
      <c r="R1522" s="106">
        <v>0.1381984138544585</v>
      </c>
      <c r="S1522" s="106">
        <v>11658.608348968106</v>
      </c>
      <c r="T1522" s="106">
        <v>11667.311288305191</v>
      </c>
      <c r="U1522" s="106">
        <v>8604.2378309993783</v>
      </c>
      <c r="V1522" s="106">
        <v>0.32263155056792675</v>
      </c>
      <c r="W1522" s="106">
        <v>73990.79900332226</v>
      </c>
      <c r="X1522" s="110">
        <v>0.59689091421550111</v>
      </c>
      <c r="Y1522" s="106">
        <v>592.22222222222217</v>
      </c>
      <c r="Z1522" s="106">
        <v>19.74074074074074</v>
      </c>
      <c r="AA1522" s="106">
        <v>25372.385969143394</v>
      </c>
      <c r="AB1522" s="106">
        <v>286.80792769997925</v>
      </c>
      <c r="AC1522" s="106">
        <v>3.9412927156955169</v>
      </c>
      <c r="AD1522" s="106">
        <v>37.140410958904106</v>
      </c>
      <c r="AE1522" s="106">
        <v>88.46473029045643</v>
      </c>
      <c r="AF1522" s="106"/>
      <c r="AG1522" s="106">
        <v>2064</v>
      </c>
      <c r="AH1522" s="106">
        <v>9804.8857098186363</v>
      </c>
      <c r="AI1522" s="106">
        <v>9938.8958724202621</v>
      </c>
      <c r="AJ1522" s="106">
        <v>11661.005159474671</v>
      </c>
      <c r="AK1522" s="104">
        <v>10614.169793621013</v>
      </c>
      <c r="AL1522" s="118">
        <v>41108814</v>
      </c>
      <c r="AM1522" s="118">
        <v>11428</v>
      </c>
      <c r="AN1522" s="118">
        <v>191880</v>
      </c>
      <c r="AO1522" s="118">
        <v>1064</v>
      </c>
      <c r="AP1522" s="118">
        <f t="shared" si="23"/>
        <v>30</v>
      </c>
    </row>
    <row r="1523" spans="1:42" ht="12.75">
      <c r="A1523" s="106">
        <v>2018</v>
      </c>
      <c r="B1523" s="106">
        <v>-140818</v>
      </c>
      <c r="C1523" s="106">
        <v>0</v>
      </c>
      <c r="D1523" s="106">
        <v>140818</v>
      </c>
      <c r="E1523" s="106" t="s">
        <v>2453</v>
      </c>
      <c r="F1523" s="106" t="s">
        <v>2454</v>
      </c>
      <c r="G1523" s="106" t="s">
        <v>63</v>
      </c>
      <c r="H1523" s="106">
        <v>6</v>
      </c>
      <c r="I1523" s="106" t="s">
        <v>3640</v>
      </c>
      <c r="J1523" s="106">
        <v>24464</v>
      </c>
      <c r="K1523" s="106">
        <v>18625</v>
      </c>
      <c r="L1523" s="106">
        <v>15342</v>
      </c>
      <c r="M1523" s="106">
        <v>0.46</v>
      </c>
      <c r="N1523" s="106">
        <v>0.73</v>
      </c>
      <c r="O1523" s="106">
        <v>1</v>
      </c>
      <c r="P1523" s="106">
        <v>13590</v>
      </c>
      <c r="Q1523" s="106">
        <v>5403.4885215794311</v>
      </c>
      <c r="R1523" s="106">
        <v>0.38559616815217174</v>
      </c>
      <c r="S1523" s="106">
        <v>19656.861340679523</v>
      </c>
      <c r="T1523" s="106">
        <v>18642.935261707989</v>
      </c>
      <c r="U1523" s="106">
        <v>15768.449035812671</v>
      </c>
      <c r="V1523" s="106">
        <v>0.54601737227825486</v>
      </c>
      <c r="W1523" s="106">
        <v>69924.409090909088</v>
      </c>
      <c r="X1523" s="110">
        <v>0.60617678718021906</v>
      </c>
      <c r="Y1523" s="106">
        <v>327.80219780219778</v>
      </c>
      <c r="Z1523" s="106">
        <v>11.967032967032967</v>
      </c>
      <c r="AA1523" s="106">
        <v>42087.845588235294</v>
      </c>
      <c r="AB1523" s="106">
        <v>575.65675494468655</v>
      </c>
      <c r="AC1523" s="106">
        <v>2.3759828663682594</v>
      </c>
      <c r="AD1523" s="106">
        <v>43.89456697149005</v>
      </c>
      <c r="AE1523" s="106">
        <v>73.112745098039213</v>
      </c>
      <c r="AF1523" s="106">
        <v>5.4970844792566913E-2</v>
      </c>
      <c r="AG1523" s="106">
        <v>24264</v>
      </c>
      <c r="AH1523" s="106">
        <v>12058.307162534435</v>
      </c>
      <c r="AI1523" s="106">
        <v>15166.75482093664</v>
      </c>
      <c r="AJ1523" s="106">
        <v>21674.523415977961</v>
      </c>
      <c r="AK1523" s="104">
        <v>15768.449035812671</v>
      </c>
      <c r="AM1523" s="118">
        <v>1281</v>
      </c>
      <c r="AN1523" s="118">
        <v>59660</v>
      </c>
      <c r="AO1523" s="118">
        <v>274</v>
      </c>
      <c r="AP1523" s="118">
        <f t="shared" si="23"/>
        <v>200</v>
      </c>
    </row>
    <row r="1524" spans="1:42" ht="12.75">
      <c r="A1524" s="106">
        <v>2018</v>
      </c>
      <c r="B1524" s="106">
        <v>-199324</v>
      </c>
      <c r="C1524" s="106">
        <v>0</v>
      </c>
      <c r="D1524" s="106">
        <v>199324</v>
      </c>
      <c r="E1524" s="106" t="s">
        <v>2455</v>
      </c>
      <c r="F1524" s="106" t="s">
        <v>2456</v>
      </c>
      <c r="G1524" s="106" t="s">
        <v>90</v>
      </c>
      <c r="H1524" s="106">
        <v>4</v>
      </c>
      <c r="I1524" s="106" t="s">
        <v>24</v>
      </c>
      <c r="J1524" s="106">
        <v>2547</v>
      </c>
      <c r="K1524" s="106">
        <v>5710</v>
      </c>
      <c r="L1524" s="106">
        <v>4678</v>
      </c>
      <c r="M1524" s="106">
        <v>0.5</v>
      </c>
      <c r="N1524" s="106">
        <v>0</v>
      </c>
      <c r="O1524" s="106">
        <v>0.1</v>
      </c>
      <c r="P1524" s="106">
        <v>1091</v>
      </c>
      <c r="Q1524" s="106">
        <v>83.931937172774866</v>
      </c>
      <c r="R1524" s="106">
        <v>3.6000914002370342E-2</v>
      </c>
      <c r="S1524" s="106">
        <v>21023.692408376963</v>
      </c>
      <c r="T1524" s="106">
        <v>22176.393979057593</v>
      </c>
      <c r="U1524" s="106">
        <v>17714.460732984295</v>
      </c>
      <c r="V1524" s="106">
        <v>0.12687101259006309</v>
      </c>
      <c r="W1524" s="106">
        <v>76920.930860033724</v>
      </c>
      <c r="X1524" s="110">
        <v>0.89741574058307483</v>
      </c>
      <c r="Y1524" s="106">
        <v>267.49027237354085</v>
      </c>
      <c r="Z1524" s="106">
        <v>8.918287937743191</v>
      </c>
      <c r="AA1524" s="106">
        <v>35803.83068783069</v>
      </c>
      <c r="AB1524" s="106">
        <v>590.61086624481777</v>
      </c>
      <c r="AC1524" s="106">
        <v>2.7929972318294101</v>
      </c>
      <c r="AD1524" s="106">
        <v>53.389830508474581</v>
      </c>
      <c r="AE1524" s="106">
        <v>60.62169312169312</v>
      </c>
      <c r="AF1524" s="106">
        <v>-2.6687168085507577E-2</v>
      </c>
      <c r="AG1524" s="106">
        <v>2432</v>
      </c>
      <c r="AH1524" s="106">
        <v>19990.820680628272</v>
      </c>
      <c r="AI1524" s="106">
        <v>20052.604712041884</v>
      </c>
      <c r="AJ1524" s="106">
        <v>21029.28272251309</v>
      </c>
      <c r="AK1524" s="104">
        <v>19078.641361256545</v>
      </c>
      <c r="AL1524" s="118">
        <v>11318316</v>
      </c>
      <c r="AM1524" s="118">
        <v>1311</v>
      </c>
      <c r="AN1524" s="118">
        <v>22915</v>
      </c>
      <c r="AO1524" s="118">
        <v>145</v>
      </c>
      <c r="AP1524" s="118">
        <f t="shared" si="23"/>
        <v>115</v>
      </c>
    </row>
    <row r="1525" spans="1:42" ht="12.75">
      <c r="A1525" s="106">
        <v>2018</v>
      </c>
      <c r="B1525" s="106">
        <v>-218520</v>
      </c>
      <c r="C1525" s="106">
        <v>0</v>
      </c>
      <c r="D1525" s="106">
        <v>218520</v>
      </c>
      <c r="E1525" s="106" t="s">
        <v>2457</v>
      </c>
      <c r="F1525" s="106" t="s">
        <v>1748</v>
      </c>
      <c r="G1525" s="106" t="s">
        <v>79</v>
      </c>
      <c r="H1525" s="106">
        <v>4</v>
      </c>
      <c r="I1525" s="106" t="s">
        <v>24</v>
      </c>
      <c r="J1525" s="106">
        <v>4265</v>
      </c>
      <c r="K1525" s="106">
        <v>9006</v>
      </c>
      <c r="L1525" s="106">
        <v>8580</v>
      </c>
      <c r="M1525" s="106">
        <v>0.65</v>
      </c>
      <c r="N1525" s="106">
        <v>0.31</v>
      </c>
      <c r="O1525" s="106">
        <v>0.12</v>
      </c>
      <c r="P1525" s="106">
        <v>915</v>
      </c>
      <c r="Q1525" s="106"/>
      <c r="R1525" s="106"/>
      <c r="S1525" s="106">
        <v>12368.133615477631</v>
      </c>
      <c r="T1525" s="106">
        <v>11779.378778718259</v>
      </c>
      <c r="U1525" s="106">
        <v>9696.4597944377274</v>
      </c>
      <c r="V1525" s="106">
        <v>0.63109112891617747</v>
      </c>
      <c r="W1525" s="106">
        <v>57651.4146100691</v>
      </c>
      <c r="X1525" s="110">
        <v>0.49958601284677984</v>
      </c>
      <c r="Y1525" s="106">
        <v>612.66049382716051</v>
      </c>
      <c r="Z1525" s="106">
        <v>20.419753086419753</v>
      </c>
      <c r="AA1525" s="106">
        <v>31726.893175074183</v>
      </c>
      <c r="AB1525" s="106">
        <v>323.17950448861978</v>
      </c>
      <c r="AC1525" s="106">
        <v>3.1519001702493732</v>
      </c>
      <c r="AD1525" s="106">
        <v>38.587786259541986</v>
      </c>
      <c r="AE1525" s="106">
        <v>98.171117705242338</v>
      </c>
      <c r="AF1525" s="106">
        <v>0.18131076766433701</v>
      </c>
      <c r="AG1525" s="106">
        <v>4020</v>
      </c>
      <c r="AH1525" s="106">
        <v>11877.574667472792</v>
      </c>
      <c r="AI1525" s="106">
        <v>11877.574667472792</v>
      </c>
      <c r="AJ1525" s="106">
        <v>12414.478839177751</v>
      </c>
      <c r="AK1525" s="104">
        <v>11739.097037484886</v>
      </c>
      <c r="AL1525" s="118">
        <v>11384930</v>
      </c>
      <c r="AM1525" s="118">
        <v>4596</v>
      </c>
      <c r="AN1525" s="118">
        <v>99251</v>
      </c>
      <c r="AO1525" s="118">
        <v>603</v>
      </c>
      <c r="AP1525" s="118">
        <f t="shared" si="23"/>
        <v>245</v>
      </c>
    </row>
    <row r="1526" spans="1:42" ht="12.75">
      <c r="A1526" s="106">
        <v>2018</v>
      </c>
      <c r="B1526" s="106">
        <v>-233116</v>
      </c>
      <c r="C1526" s="106">
        <v>0</v>
      </c>
      <c r="D1526" s="106">
        <v>233116</v>
      </c>
      <c r="E1526" s="106" t="s">
        <v>2458</v>
      </c>
      <c r="F1526" s="106" t="s">
        <v>2459</v>
      </c>
      <c r="G1526" s="106" t="s">
        <v>261</v>
      </c>
      <c r="H1526" s="106">
        <v>4</v>
      </c>
      <c r="I1526" s="106" t="s">
        <v>24</v>
      </c>
      <c r="J1526" s="106">
        <v>4678</v>
      </c>
      <c r="K1526" s="106">
        <v>7038</v>
      </c>
      <c r="L1526" s="106">
        <v>6350</v>
      </c>
      <c r="M1526" s="106">
        <v>0.41</v>
      </c>
      <c r="N1526" s="106">
        <v>0.13</v>
      </c>
      <c r="O1526" s="106">
        <v>0.06</v>
      </c>
      <c r="P1526" s="106">
        <v>3019</v>
      </c>
      <c r="Q1526" s="106">
        <v>129.28226902173913</v>
      </c>
      <c r="R1526" s="106">
        <v>2.3393987142886381E-2</v>
      </c>
      <c r="S1526" s="106">
        <v>11107.643682065218</v>
      </c>
      <c r="T1526" s="106">
        <v>11459.78464673913</v>
      </c>
      <c r="U1526" s="106">
        <v>8379.849794237809</v>
      </c>
      <c r="V1526" s="106">
        <v>0.64404747009829855</v>
      </c>
      <c r="W1526" s="106">
        <v>79461.024590163928</v>
      </c>
      <c r="X1526" s="110">
        <v>0.67046562224954553</v>
      </c>
      <c r="Y1526" s="106">
        <v>617.58741258741259</v>
      </c>
      <c r="Z1526" s="106">
        <v>20.587412587412587</v>
      </c>
      <c r="AA1526" s="106">
        <v>17697.473310068945</v>
      </c>
      <c r="AB1526" s="106">
        <v>279.34414079415853</v>
      </c>
      <c r="AC1526" s="106">
        <v>5.6505241312105943</v>
      </c>
      <c r="AD1526" s="106">
        <v>51.287711552612215</v>
      </c>
      <c r="AE1526" s="106">
        <v>63.353658536585364</v>
      </c>
      <c r="AF1526" s="106">
        <v>-9.1322365535507644E-3</v>
      </c>
      <c r="AG1526" s="106">
        <v>4283</v>
      </c>
      <c r="AH1526" s="106">
        <v>10599.802309782608</v>
      </c>
      <c r="AI1526" s="106">
        <v>10699.222486413044</v>
      </c>
      <c r="AJ1526" s="106">
        <v>11118.131114130434</v>
      </c>
      <c r="AK1526" s="104">
        <v>10867.027513586956</v>
      </c>
      <c r="AL1526" s="118">
        <v>12269452</v>
      </c>
      <c r="AM1526" s="118">
        <v>5608</v>
      </c>
      <c r="AN1526" s="118">
        <v>88315</v>
      </c>
      <c r="AO1526" s="118">
        <v>544</v>
      </c>
      <c r="AP1526" s="118">
        <f t="shared" si="23"/>
        <v>395</v>
      </c>
    </row>
    <row r="1527" spans="1:42" ht="12.75">
      <c r="A1527" s="106">
        <v>2018</v>
      </c>
      <c r="B1527" s="106">
        <v>-235237</v>
      </c>
      <c r="C1527" s="106">
        <v>0</v>
      </c>
      <c r="D1527" s="106">
        <v>235237</v>
      </c>
      <c r="E1527" s="106" t="s">
        <v>2460</v>
      </c>
      <c r="F1527" s="106" t="s">
        <v>784</v>
      </c>
      <c r="G1527" s="106" t="s">
        <v>182</v>
      </c>
      <c r="H1527" s="106">
        <v>4</v>
      </c>
      <c r="I1527" s="106" t="s">
        <v>24</v>
      </c>
      <c r="J1527" s="106">
        <v>3783</v>
      </c>
      <c r="K1527" s="106">
        <v>6348</v>
      </c>
      <c r="L1527" s="106">
        <v>5800</v>
      </c>
      <c r="M1527" s="106">
        <v>0.44</v>
      </c>
      <c r="N1527" s="106">
        <v>0.2</v>
      </c>
      <c r="O1527" s="106">
        <v>0.11</v>
      </c>
      <c r="P1527" s="106">
        <v>1529</v>
      </c>
      <c r="Q1527" s="106">
        <v>304.83648332979402</v>
      </c>
      <c r="R1527" s="106">
        <v>7.1475272834407161E-2</v>
      </c>
      <c r="S1527" s="106">
        <v>11957.360798471012</v>
      </c>
      <c r="T1527" s="106">
        <v>12212.131662773412</v>
      </c>
      <c r="U1527" s="106">
        <v>9983.9630494797202</v>
      </c>
      <c r="V1527" s="106">
        <v>0.39664467642119294</v>
      </c>
      <c r="W1527" s="106">
        <v>102528.40303030303</v>
      </c>
      <c r="X1527" s="110">
        <v>0.58835298939981628</v>
      </c>
      <c r="Y1527" s="106">
        <v>2522.6904761904761</v>
      </c>
      <c r="Z1527" s="106">
        <v>56.05952380952381</v>
      </c>
      <c r="AA1527" s="106">
        <v>25034.335463258787</v>
      </c>
      <c r="AB1527" s="106">
        <v>221.86479854275009</v>
      </c>
      <c r="AC1527" s="106">
        <v>3.9945138606440458</v>
      </c>
      <c r="AD1527" s="106">
        <v>46.278955150320357</v>
      </c>
      <c r="AE1527" s="106">
        <v>112.8359957401491</v>
      </c>
      <c r="AF1527" s="106">
        <v>-5.8194064857674793E-3</v>
      </c>
      <c r="AG1527" s="106">
        <v>3468</v>
      </c>
      <c r="AH1527" s="106">
        <v>10899.138033552772</v>
      </c>
      <c r="AI1527" s="106">
        <v>10899.138033552772</v>
      </c>
      <c r="AJ1527" s="106">
        <v>11981.894032703334</v>
      </c>
      <c r="AK1527" s="104">
        <v>11780.220641325122</v>
      </c>
      <c r="AL1527" s="118">
        <v>18141501</v>
      </c>
      <c r="AM1527" s="118">
        <v>6048</v>
      </c>
      <c r="AN1527" s="118">
        <v>211906</v>
      </c>
      <c r="AO1527" s="118">
        <v>1392</v>
      </c>
      <c r="AP1527" s="118">
        <f t="shared" si="23"/>
        <v>315</v>
      </c>
    </row>
    <row r="1528" spans="1:42" ht="12.75">
      <c r="A1528" s="106">
        <v>2018</v>
      </c>
      <c r="B1528" s="106">
        <v>-439145</v>
      </c>
      <c r="C1528" s="106">
        <v>0</v>
      </c>
      <c r="D1528" s="106">
        <v>439145</v>
      </c>
      <c r="E1528" s="106" t="s">
        <v>2461</v>
      </c>
      <c r="F1528" s="106" t="s">
        <v>2462</v>
      </c>
      <c r="G1528" s="106" t="s">
        <v>182</v>
      </c>
      <c r="H1528" s="106">
        <v>4</v>
      </c>
      <c r="I1528" s="106" t="s">
        <v>24</v>
      </c>
      <c r="J1528" s="106">
        <v>3831</v>
      </c>
      <c r="K1528" s="106">
        <v>8370</v>
      </c>
      <c r="L1528" s="106">
        <v>7562</v>
      </c>
      <c r="M1528" s="106">
        <v>0.36</v>
      </c>
      <c r="N1528" s="106">
        <v>0.22</v>
      </c>
      <c r="O1528" s="106">
        <v>0.1</v>
      </c>
      <c r="P1528" s="106">
        <v>1292</v>
      </c>
      <c r="Q1528" s="106">
        <v>302.99207659293495</v>
      </c>
      <c r="R1528" s="106">
        <v>7.1475299374266082E-2</v>
      </c>
      <c r="S1528" s="106">
        <v>11885.008913832948</v>
      </c>
      <c r="T1528" s="106">
        <v>12138.238692637835</v>
      </c>
      <c r="U1528" s="106">
        <v>9923.5523275008254</v>
      </c>
      <c r="V1528" s="106">
        <v>0.39664463624858776</v>
      </c>
      <c r="W1528" s="106">
        <v>163568.97777777776</v>
      </c>
      <c r="X1528" s="110">
        <v>0.60059230187078128</v>
      </c>
      <c r="Y1528" s="106">
        <v>2781.6530612244896</v>
      </c>
      <c r="Z1528" s="106">
        <v>61.816326530612244</v>
      </c>
      <c r="AA1528" s="106">
        <v>31507.798742138366</v>
      </c>
      <c r="AB1528" s="106">
        <v>220.52985671418404</v>
      </c>
      <c r="AC1528" s="106">
        <v>3.1738174036975972</v>
      </c>
      <c r="AD1528" s="106">
        <v>34.3042071197411</v>
      </c>
      <c r="AE1528" s="106">
        <v>142.87316561844864</v>
      </c>
      <c r="AF1528" s="106">
        <v>-5.8982122166468436E-3</v>
      </c>
      <c r="AG1528" s="106">
        <v>3468</v>
      </c>
      <c r="AH1528" s="106">
        <v>10833.188841201716</v>
      </c>
      <c r="AI1528" s="106">
        <v>10833.188841201716</v>
      </c>
      <c r="AJ1528" s="106">
        <v>11909.393529217563</v>
      </c>
      <c r="AK1528" s="104">
        <v>11708.941564872895</v>
      </c>
      <c r="AL1528" s="119">
        <v>11598664</v>
      </c>
      <c r="AM1528" s="118">
        <v>4590</v>
      </c>
      <c r="AN1528" s="118">
        <v>136301</v>
      </c>
      <c r="AO1528" s="118">
        <v>713</v>
      </c>
      <c r="AP1528" s="118">
        <f t="shared" si="23"/>
        <v>363</v>
      </c>
    </row>
    <row r="1529" spans="1:42" ht="12.75">
      <c r="A1529" s="106">
        <v>2018</v>
      </c>
      <c r="B1529" s="106">
        <v>-127820</v>
      </c>
      <c r="C1529" s="106">
        <v>0</v>
      </c>
      <c r="D1529" s="106">
        <v>127820</v>
      </c>
      <c r="E1529" s="106" t="s">
        <v>2463</v>
      </c>
      <c r="F1529" s="106" t="s">
        <v>876</v>
      </c>
      <c r="G1529" s="106" t="s">
        <v>66</v>
      </c>
      <c r="H1529" s="106">
        <v>4</v>
      </c>
      <c r="I1529" s="106" t="s">
        <v>24</v>
      </c>
      <c r="J1529" s="106">
        <v>3726</v>
      </c>
      <c r="K1529" s="106">
        <v>8858</v>
      </c>
      <c r="L1529" s="106">
        <v>7667</v>
      </c>
      <c r="M1529" s="106">
        <v>0.56000000000000005</v>
      </c>
      <c r="N1529" s="106">
        <v>0.24</v>
      </c>
      <c r="O1529" s="106">
        <v>0.08</v>
      </c>
      <c r="P1529" s="106">
        <v>1144</v>
      </c>
      <c r="Q1529" s="106">
        <v>64.39587053571428</v>
      </c>
      <c r="R1529" s="106">
        <v>8.0637833077042732E-3</v>
      </c>
      <c r="S1529" s="106">
        <v>10727.792522321428</v>
      </c>
      <c r="T1529" s="106">
        <v>10788.477901785714</v>
      </c>
      <c r="U1529" s="106">
        <v>8581.3340401785717</v>
      </c>
      <c r="V1529" s="106">
        <v>0.92309863576536355</v>
      </c>
      <c r="W1529" s="106">
        <v>75241.747849705745</v>
      </c>
      <c r="X1529" s="110">
        <v>0.57314584812198677</v>
      </c>
      <c r="Y1529" s="106">
        <v>739.81376146788978</v>
      </c>
      <c r="Z1529" s="106">
        <v>24.660550458715594</v>
      </c>
      <c r="AA1529" s="106">
        <v>19367.444080604535</v>
      </c>
      <c r="AB1529" s="106">
        <v>286.04553216343811</v>
      </c>
      <c r="AC1529" s="106">
        <v>5.1633039230067892</v>
      </c>
      <c r="AD1529" s="106">
        <v>51.545053232926506</v>
      </c>
      <c r="AE1529" s="106">
        <v>67.707556675062975</v>
      </c>
      <c r="AF1529" s="106">
        <v>5.710484777682575E-2</v>
      </c>
      <c r="AG1529" s="106">
        <v>3469</v>
      </c>
      <c r="AH1529" s="106">
        <v>11253.905691964286</v>
      </c>
      <c r="AI1529" s="106">
        <v>11289.181584821428</v>
      </c>
      <c r="AJ1529" s="106">
        <v>10801.932812499999</v>
      </c>
      <c r="AK1529" s="104">
        <v>9044.7506696428572</v>
      </c>
      <c r="AL1529" s="118"/>
      <c r="AM1529" s="118">
        <v>13275</v>
      </c>
      <c r="AN1529" s="118">
        <v>268799</v>
      </c>
      <c r="AO1529" s="118">
        <v>1892</v>
      </c>
      <c r="AP1529" s="118">
        <f t="shared" si="23"/>
        <v>257</v>
      </c>
    </row>
    <row r="1530" spans="1:42" ht="12.75">
      <c r="A1530" s="106">
        <v>2018</v>
      </c>
      <c r="B1530" s="106">
        <v>-105525</v>
      </c>
      <c r="C1530" s="106">
        <v>0</v>
      </c>
      <c r="D1530" s="106">
        <v>105525</v>
      </c>
      <c r="E1530" s="106" t="s">
        <v>2464</v>
      </c>
      <c r="F1530" s="106" t="s">
        <v>2465</v>
      </c>
      <c r="G1530" s="106" t="s">
        <v>147</v>
      </c>
      <c r="H1530" s="106">
        <v>4</v>
      </c>
      <c r="I1530" s="106" t="s">
        <v>24</v>
      </c>
      <c r="J1530" s="106">
        <v>2118</v>
      </c>
      <c r="K1530" s="106">
        <v>3588</v>
      </c>
      <c r="L1530" s="106">
        <v>3089</v>
      </c>
      <c r="M1530" s="106">
        <v>0.59</v>
      </c>
      <c r="N1530" s="106">
        <v>0.1</v>
      </c>
      <c r="O1530" s="106">
        <v>0.1</v>
      </c>
      <c r="P1530" s="106">
        <v>2347</v>
      </c>
      <c r="Q1530" s="106">
        <v>126.74894740598016</v>
      </c>
      <c r="R1530" s="106">
        <v>3.9798400345108752E-2</v>
      </c>
      <c r="S1530" s="106">
        <v>13639.045457789196</v>
      </c>
      <c r="T1530" s="106">
        <v>12522.032969385571</v>
      </c>
      <c r="U1530" s="106">
        <v>10845.617854849068</v>
      </c>
      <c r="V1530" s="106">
        <v>0.2819595911276091</v>
      </c>
      <c r="W1530" s="106">
        <v>68264.315719444974</v>
      </c>
      <c r="X1530" s="110">
        <v>0.68223630004614777</v>
      </c>
      <c r="Y1530" s="106">
        <v>777.91789864029658</v>
      </c>
      <c r="Z1530" s="106">
        <v>25.982076637824473</v>
      </c>
      <c r="AA1530" s="106">
        <v>27718.337224147366</v>
      </c>
      <c r="AB1530" s="106">
        <v>362.23832204115968</v>
      </c>
      <c r="AC1530" s="106">
        <v>3.6077200155023395</v>
      </c>
      <c r="AD1530" s="106">
        <v>40.969887170290669</v>
      </c>
      <c r="AE1530" s="106">
        <v>76.519615782114414</v>
      </c>
      <c r="AF1530" s="106">
        <v>0.2286683183692558</v>
      </c>
      <c r="AG1530" s="106">
        <v>1956</v>
      </c>
      <c r="AH1530" s="106">
        <v>12499.08834653536</v>
      </c>
      <c r="AI1530" s="106">
        <v>12546.31799043745</v>
      </c>
      <c r="AJ1530" s="106">
        <v>13689.437308213801</v>
      </c>
      <c r="AK1530" s="104">
        <v>12026.627346035824</v>
      </c>
      <c r="AL1530" s="119">
        <v>111324689</v>
      </c>
      <c r="AM1530" s="118">
        <v>24347</v>
      </c>
      <c r="AN1530" s="118">
        <v>419557.05333333334</v>
      </c>
      <c r="AO1530" s="118">
        <v>2365</v>
      </c>
      <c r="AP1530" s="118">
        <f t="shared" si="23"/>
        <v>162</v>
      </c>
    </row>
    <row r="1531" spans="1:42" ht="12.75">
      <c r="A1531" s="106">
        <v>2018</v>
      </c>
      <c r="B1531" s="106">
        <v>-167455</v>
      </c>
      <c r="C1531" s="106">
        <v>0</v>
      </c>
      <c r="D1531" s="106">
        <v>167455</v>
      </c>
      <c r="E1531" s="106" t="s">
        <v>2466</v>
      </c>
      <c r="F1531" s="106" t="s">
        <v>423</v>
      </c>
      <c r="G1531" s="106" t="s">
        <v>150</v>
      </c>
      <c r="H1531" s="106">
        <v>7</v>
      </c>
      <c r="I1531" s="106" t="s">
        <v>3641</v>
      </c>
      <c r="J1531" s="106">
        <v>30660</v>
      </c>
      <c r="K1531" s="106">
        <v>16717</v>
      </c>
      <c r="L1531" s="106">
        <v>14626</v>
      </c>
      <c r="M1531" s="106">
        <v>0.73</v>
      </c>
      <c r="N1531" s="106">
        <v>0.89</v>
      </c>
      <c r="O1531" s="106">
        <v>1</v>
      </c>
      <c r="P1531" s="106">
        <v>25072</v>
      </c>
      <c r="Q1531" s="106">
        <v>12349.125842696629</v>
      </c>
      <c r="R1531" s="106">
        <v>0.42936851814304655</v>
      </c>
      <c r="S1531" s="106">
        <v>38429.31235955056</v>
      </c>
      <c r="T1531" s="106">
        <v>40584.537078651687</v>
      </c>
      <c r="U1531" s="106">
        <v>30330.249438202249</v>
      </c>
      <c r="V1531" s="106">
        <v>0.54111025437504046</v>
      </c>
      <c r="W1531" s="106">
        <v>66770.807017543862</v>
      </c>
      <c r="X1531" s="110">
        <v>0.4214740777732417</v>
      </c>
      <c r="Y1531" s="106">
        <v>240.85975609756099</v>
      </c>
      <c r="Z1531" s="106">
        <v>8.1402439024390247</v>
      </c>
      <c r="AA1531" s="106">
        <v>224949.35</v>
      </c>
      <c r="AB1531" s="106">
        <v>1025.0596946912735</v>
      </c>
      <c r="AC1531" s="106">
        <v>0.44454451635445935</v>
      </c>
      <c r="AD1531" s="106">
        <v>13.363028953229399</v>
      </c>
      <c r="AE1531" s="106">
        <v>219.45</v>
      </c>
      <c r="AF1531" s="106">
        <v>-1.4021829010728354E-2</v>
      </c>
      <c r="AG1531" s="106">
        <v>29860</v>
      </c>
      <c r="AH1531" s="106">
        <v>36048.635955056183</v>
      </c>
      <c r="AI1531" s="106">
        <v>38429.31235955056</v>
      </c>
      <c r="AJ1531" s="106">
        <v>40064.543820224717</v>
      </c>
      <c r="AK1531" s="104">
        <v>30330.249438202249</v>
      </c>
      <c r="AL1531" s="118"/>
      <c r="AM1531" s="118">
        <v>421</v>
      </c>
      <c r="AN1531" s="118">
        <v>13167</v>
      </c>
      <c r="AO1531" s="118">
        <v>50</v>
      </c>
      <c r="AP1531" s="118">
        <f t="shared" si="23"/>
        <v>800</v>
      </c>
    </row>
    <row r="1532" spans="1:42" ht="12.75">
      <c r="A1532" s="106">
        <v>2018</v>
      </c>
      <c r="B1532" s="106">
        <v>-174570</v>
      </c>
      <c r="C1532" s="106">
        <v>0</v>
      </c>
      <c r="D1532" s="106">
        <v>174570</v>
      </c>
      <c r="E1532" s="106" t="s">
        <v>2467</v>
      </c>
      <c r="F1532" s="106" t="s">
        <v>2468</v>
      </c>
      <c r="G1532" s="106" t="s">
        <v>113</v>
      </c>
      <c r="H1532" s="106">
        <v>4</v>
      </c>
      <c r="I1532" s="106" t="s">
        <v>24</v>
      </c>
      <c r="J1532" s="106">
        <v>4066</v>
      </c>
      <c r="K1532" s="106">
        <v>10835</v>
      </c>
      <c r="L1532" s="106">
        <v>9558</v>
      </c>
      <c r="M1532" s="106">
        <v>0.51</v>
      </c>
      <c r="N1532" s="106">
        <v>0.46</v>
      </c>
      <c r="O1532" s="106">
        <v>0</v>
      </c>
      <c r="P1532" s="106"/>
      <c r="Q1532" s="106">
        <v>143.78238341968913</v>
      </c>
      <c r="R1532" s="106">
        <v>3.3565164801935291E-2</v>
      </c>
      <c r="S1532" s="106">
        <v>17822.538860103628</v>
      </c>
      <c r="T1532" s="106">
        <v>21137.305699481865</v>
      </c>
      <c r="U1532" s="106">
        <v>11873.792175110571</v>
      </c>
      <c r="V1532" s="106">
        <v>0.3486583150524481</v>
      </c>
      <c r="W1532" s="106">
        <v>124375</v>
      </c>
      <c r="X1532" s="110">
        <v>0.67073170731707321</v>
      </c>
      <c r="Y1532" s="106">
        <v>631.80000000000007</v>
      </c>
      <c r="Z1532" s="106">
        <v>21.054545454545455</v>
      </c>
      <c r="AA1532" s="106">
        <v>33212.201301396235</v>
      </c>
      <c r="AB1532" s="106">
        <v>395.69056199539676</v>
      </c>
      <c r="AC1532" s="106">
        <v>3.0109416443828434</v>
      </c>
      <c r="AD1532" s="106">
        <v>31.186440677966104</v>
      </c>
      <c r="AE1532" s="106">
        <v>83.934782608695656</v>
      </c>
      <c r="AF1532" s="106">
        <v>-1.0589970501474926</v>
      </c>
      <c r="AG1532" s="106">
        <v>3676</v>
      </c>
      <c r="AH1532" s="106">
        <v>17619.170984455959</v>
      </c>
      <c r="AI1532" s="106">
        <v>17790.155440414506</v>
      </c>
      <c r="AJ1532" s="106">
        <v>17852.331606217616</v>
      </c>
      <c r="AK1532" s="104">
        <v>17869.170984455959</v>
      </c>
      <c r="AL1532" s="119">
        <v>4813000</v>
      </c>
      <c r="AM1532" s="118">
        <v>1969</v>
      </c>
      <c r="AN1532" s="118">
        <v>23166</v>
      </c>
      <c r="AO1532" s="118">
        <v>80</v>
      </c>
      <c r="AP1532" s="118">
        <f t="shared" si="23"/>
        <v>390</v>
      </c>
    </row>
    <row r="1533" spans="1:42" ht="12.75">
      <c r="A1533" s="106">
        <v>2018</v>
      </c>
      <c r="B1533" s="106">
        <v>-199333</v>
      </c>
      <c r="C1533" s="106">
        <v>0</v>
      </c>
      <c r="D1533" s="106">
        <v>199333</v>
      </c>
      <c r="E1533" s="106" t="s">
        <v>2469</v>
      </c>
      <c r="F1533" s="106" t="s">
        <v>2470</v>
      </c>
      <c r="G1533" s="106" t="s">
        <v>90</v>
      </c>
      <c r="H1533" s="106">
        <v>4</v>
      </c>
      <c r="I1533" s="106" t="s">
        <v>24</v>
      </c>
      <c r="J1533" s="106">
        <v>1930</v>
      </c>
      <c r="K1533" s="106">
        <v>5128</v>
      </c>
      <c r="L1533" s="106">
        <v>5328</v>
      </c>
      <c r="M1533" s="106">
        <v>0.7</v>
      </c>
      <c r="N1533" s="106">
        <v>0.56999999999999995</v>
      </c>
      <c r="O1533" s="106">
        <v>0.22</v>
      </c>
      <c r="P1533" s="106">
        <v>1795</v>
      </c>
      <c r="Q1533" s="106">
        <v>142.43372040416227</v>
      </c>
      <c r="R1533" s="106">
        <v>6.5375743116974847E-2</v>
      </c>
      <c r="S1533" s="106">
        <v>10427.669883878751</v>
      </c>
      <c r="T1533" s="106">
        <v>11181.26858694013</v>
      </c>
      <c r="U1533" s="106">
        <v>8054.8973005579855</v>
      </c>
      <c r="V1533" s="106">
        <v>0.25279775954567835</v>
      </c>
      <c r="W1533" s="106">
        <v>69485.369292523828</v>
      </c>
      <c r="X1533" s="110">
        <v>0.62260027218755887</v>
      </c>
      <c r="Y1533" s="106">
        <v>675.81879954699889</v>
      </c>
      <c r="Z1533" s="106">
        <v>22.528878822197058</v>
      </c>
      <c r="AA1533" s="106">
        <v>19680.185703758289</v>
      </c>
      <c r="AB1533" s="106">
        <v>268.51547386836654</v>
      </c>
      <c r="AC1533" s="106">
        <v>5.0812528654596578</v>
      </c>
      <c r="AD1533" s="106">
        <v>50.530627443679023</v>
      </c>
      <c r="AE1533" s="106">
        <v>73.292557111274874</v>
      </c>
      <c r="AF1533" s="106">
        <v>1.8126594228979311E-2</v>
      </c>
      <c r="AG1533" s="106">
        <v>1824</v>
      </c>
      <c r="AH1533" s="106">
        <v>9125.0399638063645</v>
      </c>
      <c r="AI1533" s="106">
        <v>9162.42225908611</v>
      </c>
      <c r="AJ1533" s="106">
        <v>10442.570049766249</v>
      </c>
      <c r="AK1533" s="104">
        <v>9454.283215201327</v>
      </c>
      <c r="AL1533" s="118">
        <v>38109144</v>
      </c>
      <c r="AM1533" s="118">
        <v>8256</v>
      </c>
      <c r="AN1533" s="118">
        <v>198916</v>
      </c>
      <c r="AO1533" s="118">
        <v>1123</v>
      </c>
      <c r="AP1533" s="118">
        <f t="shared" si="23"/>
        <v>106</v>
      </c>
    </row>
    <row r="1534" spans="1:42" ht="12.75">
      <c r="A1534" s="106">
        <v>2018</v>
      </c>
      <c r="B1534" s="106">
        <v>-155681</v>
      </c>
      <c r="C1534" s="106">
        <v>0</v>
      </c>
      <c r="D1534" s="106">
        <v>155681</v>
      </c>
      <c r="E1534" s="106" t="s">
        <v>2471</v>
      </c>
      <c r="F1534" s="106" t="s">
        <v>1829</v>
      </c>
      <c r="G1534" s="106" t="s">
        <v>129</v>
      </c>
      <c r="H1534" s="106">
        <v>2</v>
      </c>
      <c r="I1534" s="106" t="s">
        <v>25</v>
      </c>
      <c r="J1534" s="106">
        <v>7100</v>
      </c>
      <c r="K1534" s="106">
        <v>13906</v>
      </c>
      <c r="L1534" s="106">
        <v>10138</v>
      </c>
      <c r="M1534" s="106">
        <v>0.39</v>
      </c>
      <c r="N1534" s="106">
        <v>0.62</v>
      </c>
      <c r="O1534" s="106">
        <v>0.64</v>
      </c>
      <c r="P1534" s="106">
        <v>2271</v>
      </c>
      <c r="Q1534" s="106">
        <v>567.46810182275294</v>
      </c>
      <c r="R1534" s="106">
        <v>8.7194698965844614E-2</v>
      </c>
      <c r="S1534" s="106">
        <v>16565.247014456316</v>
      </c>
      <c r="T1534" s="106">
        <v>17421.777969830295</v>
      </c>
      <c r="U1534" s="106">
        <v>11167.292329258709</v>
      </c>
      <c r="V1534" s="106">
        <v>0.5319632617190635</v>
      </c>
      <c r="W1534" s="106">
        <v>77060.91075514874</v>
      </c>
      <c r="X1534" s="110">
        <v>0.6074673275838004</v>
      </c>
      <c r="Y1534" s="106">
        <v>534.73917228103949</v>
      </c>
      <c r="Z1534" s="106">
        <v>18.375360923965353</v>
      </c>
      <c r="AA1534" s="106">
        <v>42760.919604935269</v>
      </c>
      <c r="AB1534" s="106">
        <v>383.74414617545773</v>
      </c>
      <c r="AC1534" s="106">
        <v>2.3385839435608968</v>
      </c>
      <c r="AD1534" s="106">
        <v>27.783350050150453</v>
      </c>
      <c r="AE1534" s="106">
        <v>111.43080625752106</v>
      </c>
      <c r="AF1534" s="106">
        <v>-1.5991693642120369E-2</v>
      </c>
      <c r="AG1534" s="106">
        <v>5548</v>
      </c>
      <c r="AH1534" s="106">
        <v>15179.897077309868</v>
      </c>
      <c r="AI1534" s="106">
        <v>15740.508013827781</v>
      </c>
      <c r="AJ1534" s="106">
        <v>16603.671590194845</v>
      </c>
      <c r="AK1534" s="104">
        <v>13197.230358265242</v>
      </c>
      <c r="AL1534" s="118">
        <v>34699809</v>
      </c>
      <c r="AM1534" s="118">
        <v>5706</v>
      </c>
      <c r="AN1534" s="118">
        <v>185198</v>
      </c>
      <c r="AO1534" s="118">
        <v>1175</v>
      </c>
      <c r="AP1534" s="118">
        <f t="shared" si="23"/>
        <v>1552</v>
      </c>
    </row>
    <row r="1535" spans="1:42" ht="12.75">
      <c r="A1535" s="106">
        <v>2018</v>
      </c>
      <c r="B1535" s="106">
        <v>-121257</v>
      </c>
      <c r="C1535" s="106">
        <v>0</v>
      </c>
      <c r="D1535" s="106">
        <v>121257</v>
      </c>
      <c r="E1535" s="106" t="s">
        <v>2472</v>
      </c>
      <c r="F1535" s="106" t="s">
        <v>751</v>
      </c>
      <c r="G1535" s="106" t="s">
        <v>121</v>
      </c>
      <c r="H1535" s="106">
        <v>7</v>
      </c>
      <c r="I1535" s="106" t="s">
        <v>3641</v>
      </c>
      <c r="J1535" s="106">
        <v>52236</v>
      </c>
      <c r="K1535" s="106">
        <v>30013</v>
      </c>
      <c r="L1535" s="106">
        <v>5843</v>
      </c>
      <c r="M1535" s="106">
        <v>0.14000000000000001</v>
      </c>
      <c r="N1535" s="106">
        <v>0.41</v>
      </c>
      <c r="O1535" s="106">
        <v>0.43</v>
      </c>
      <c r="P1535" s="106">
        <v>36891</v>
      </c>
      <c r="Q1535" s="106">
        <v>16805.575289575288</v>
      </c>
      <c r="R1535" s="106">
        <v>0.24778810886700695</v>
      </c>
      <c r="S1535" s="106">
        <v>56908.24324324324</v>
      </c>
      <c r="T1535" s="106">
        <v>59539.24517374517</v>
      </c>
      <c r="U1535" s="106">
        <v>57547.650380468149</v>
      </c>
      <c r="V1535" s="106">
        <v>0.88651384153389989</v>
      </c>
      <c r="W1535" s="106">
        <v>110163.3264604811</v>
      </c>
      <c r="X1535" s="110">
        <v>0.51971703294627802</v>
      </c>
      <c r="Y1535" s="106">
        <v>355.25357142857143</v>
      </c>
      <c r="Z1535" s="106">
        <v>11.100000000000001</v>
      </c>
      <c r="AA1535" s="106">
        <v>234721.91257545276</v>
      </c>
      <c r="AB1535" s="106">
        <v>1798.0928851875924</v>
      </c>
      <c r="AC1535" s="106">
        <v>0.42603606498756014</v>
      </c>
      <c r="AD1535" s="106">
        <v>24.030274361400188</v>
      </c>
      <c r="AE1535" s="106">
        <v>130.53937007874015</v>
      </c>
      <c r="AF1535" s="106">
        <v>2.1761818541428994E-2</v>
      </c>
      <c r="AG1535" s="106">
        <v>51964</v>
      </c>
      <c r="AH1535" s="106">
        <v>53364.849420849423</v>
      </c>
      <c r="AI1535" s="106">
        <v>57168.079150579149</v>
      </c>
      <c r="AJ1535" s="106">
        <v>67475.171814671819</v>
      </c>
      <c r="AK1535" s="104">
        <v>59539.24517374517</v>
      </c>
      <c r="AL1535" s="118"/>
      <c r="AM1535" s="118">
        <v>1074</v>
      </c>
      <c r="AN1535" s="118">
        <v>33157</v>
      </c>
      <c r="AO1535" s="118">
        <v>254</v>
      </c>
      <c r="AP1535" s="118">
        <f t="shared" si="23"/>
        <v>272</v>
      </c>
    </row>
    <row r="1536" spans="1:42" ht="12.75">
      <c r="A1536" s="106">
        <v>2018</v>
      </c>
      <c r="B1536" s="106">
        <v>-183080</v>
      </c>
      <c r="C1536" s="106">
        <v>0</v>
      </c>
      <c r="D1536" s="106">
        <v>183080</v>
      </c>
      <c r="E1536" s="106" t="s">
        <v>2473</v>
      </c>
      <c r="F1536" s="106" t="s">
        <v>1731</v>
      </c>
      <c r="G1536" s="106" t="s">
        <v>179</v>
      </c>
      <c r="H1536" s="106">
        <v>2</v>
      </c>
      <c r="I1536" s="106" t="s">
        <v>25</v>
      </c>
      <c r="J1536" s="107">
        <v>13770</v>
      </c>
      <c r="K1536" s="107">
        <v>21143</v>
      </c>
      <c r="L1536" s="107">
        <v>16768</v>
      </c>
      <c r="M1536" s="107">
        <v>0.33</v>
      </c>
      <c r="N1536" s="107">
        <v>0.79</v>
      </c>
      <c r="O1536" s="107">
        <v>0.97</v>
      </c>
      <c r="P1536" s="107">
        <v>5743</v>
      </c>
      <c r="Q1536" s="107">
        <v>4137.3700954400847</v>
      </c>
      <c r="R1536" s="106">
        <v>0.26779537444602824</v>
      </c>
      <c r="S1536" s="106">
        <v>21581.943160127252</v>
      </c>
      <c r="T1536" s="106">
        <v>21997.027571580064</v>
      </c>
      <c r="U1536" s="106">
        <v>15720.704393713997</v>
      </c>
      <c r="V1536" s="106">
        <v>0.71958444443144309</v>
      </c>
      <c r="W1536" s="106">
        <v>92197.646967340595</v>
      </c>
      <c r="X1536" s="110">
        <v>0.57159064728546904</v>
      </c>
      <c r="Y1536" s="106">
        <v>502.50548112058459</v>
      </c>
      <c r="Z1536" s="106">
        <v>17.228989037758829</v>
      </c>
      <c r="AA1536" s="106">
        <v>59632.438629413911</v>
      </c>
      <c r="AB1536" s="106">
        <v>539.00276482785284</v>
      </c>
      <c r="AC1536" s="106">
        <v>1.6769396371905985</v>
      </c>
      <c r="AD1536" s="106">
        <v>26.992399565689468</v>
      </c>
      <c r="AE1536" s="107">
        <v>110.63475462590507</v>
      </c>
      <c r="AF1536" s="107">
        <v>5.3123551517416184E-2</v>
      </c>
      <c r="AG1536" s="106">
        <v>11300</v>
      </c>
      <c r="AH1536" s="106">
        <v>21583.568610816543</v>
      </c>
      <c r="AI1536" s="106">
        <v>21725.165429480381</v>
      </c>
      <c r="AJ1536" s="106">
        <v>22252.0460233298</v>
      </c>
      <c r="AK1536" s="104">
        <v>16556.652598091197</v>
      </c>
      <c r="AL1536" s="119">
        <v>11451238</v>
      </c>
      <c r="AM1536" s="118">
        <v>4148</v>
      </c>
      <c r="AN1536" s="118">
        <v>137519</v>
      </c>
      <c r="AO1536" s="118">
        <v>768</v>
      </c>
      <c r="AP1536" s="118">
        <f t="shared" si="23"/>
        <v>2470</v>
      </c>
    </row>
    <row r="1537" spans="1:42" ht="12.75">
      <c r="A1537" s="106">
        <v>2018</v>
      </c>
      <c r="B1537" s="106">
        <v>-121309</v>
      </c>
      <c r="C1537" s="106">
        <v>0</v>
      </c>
      <c r="D1537" s="106">
        <v>121309</v>
      </c>
      <c r="E1537" s="106" t="s">
        <v>2474</v>
      </c>
      <c r="F1537" s="106" t="s">
        <v>2475</v>
      </c>
      <c r="G1537" s="106" t="s">
        <v>121</v>
      </c>
      <c r="H1537" s="106">
        <v>6</v>
      </c>
      <c r="I1537" s="106" t="s">
        <v>3640</v>
      </c>
      <c r="J1537" s="106">
        <v>34600</v>
      </c>
      <c r="K1537" s="106">
        <v>31933</v>
      </c>
      <c r="L1537" s="106">
        <v>26832</v>
      </c>
      <c r="M1537" s="106">
        <v>0.19</v>
      </c>
      <c r="N1537" s="106">
        <v>0.59</v>
      </c>
      <c r="O1537" s="106">
        <v>0.89</v>
      </c>
      <c r="P1537" s="106">
        <v>14418</v>
      </c>
      <c r="Q1537" s="106">
        <v>7151.4483521888833</v>
      </c>
      <c r="R1537" s="106">
        <v>0.25390092818323723</v>
      </c>
      <c r="S1537" s="106">
        <v>28187.15592720118</v>
      </c>
      <c r="T1537" s="106">
        <v>25446.051155927202</v>
      </c>
      <c r="U1537" s="106">
        <v>22500.347828142942</v>
      </c>
      <c r="V1537" s="106">
        <v>0.93397872987507902</v>
      </c>
      <c r="W1537" s="106">
        <v>89134.950875486378</v>
      </c>
      <c r="X1537" s="110">
        <v>0.59042143344574249</v>
      </c>
      <c r="Y1537" s="106">
        <v>504.94273743016754</v>
      </c>
      <c r="Z1537" s="106">
        <v>17.036312849162009</v>
      </c>
      <c r="AA1537" s="106">
        <v>72150.168982041956</v>
      </c>
      <c r="AB1537" s="106">
        <v>759.14145585313781</v>
      </c>
      <c r="AC1537" s="106">
        <v>1.3859981398642296</v>
      </c>
      <c r="AD1537" s="106">
        <v>35.409103602345716</v>
      </c>
      <c r="AE1537" s="106">
        <v>95.041798107255516</v>
      </c>
      <c r="AF1537" s="106">
        <v>0.11184631323259925</v>
      </c>
      <c r="AG1537" s="106">
        <v>34000</v>
      </c>
      <c r="AH1537" s="106">
        <v>26434.392277422528</v>
      </c>
      <c r="AI1537" s="106">
        <v>28187.15592720118</v>
      </c>
      <c r="AJ1537" s="106">
        <v>29445.017707820953</v>
      </c>
      <c r="AK1537" s="104">
        <v>22704.585341859321</v>
      </c>
      <c r="AL1537" s="118"/>
      <c r="AM1537" s="118">
        <v>3100</v>
      </c>
      <c r="AN1537" s="118">
        <v>120513</v>
      </c>
      <c r="AO1537" s="118">
        <v>894</v>
      </c>
      <c r="AP1537" s="118">
        <f t="shared" si="23"/>
        <v>600</v>
      </c>
    </row>
    <row r="1538" spans="1:42" ht="12.75">
      <c r="A1538" s="106">
        <v>2018</v>
      </c>
      <c r="B1538" s="106">
        <v>-215442</v>
      </c>
      <c r="C1538" s="106">
        <v>0</v>
      </c>
      <c r="D1538" s="106">
        <v>215442</v>
      </c>
      <c r="E1538" s="106" t="s">
        <v>2476</v>
      </c>
      <c r="F1538" s="106" t="s">
        <v>602</v>
      </c>
      <c r="G1538" s="106" t="s">
        <v>104</v>
      </c>
      <c r="H1538" s="106">
        <v>6</v>
      </c>
      <c r="I1538" s="106" t="s">
        <v>3640</v>
      </c>
      <c r="J1538" s="106">
        <v>30130</v>
      </c>
      <c r="K1538" s="106">
        <v>21713</v>
      </c>
      <c r="L1538" s="106">
        <v>15626</v>
      </c>
      <c r="M1538" s="106">
        <v>0.46</v>
      </c>
      <c r="N1538" s="106">
        <v>0.84</v>
      </c>
      <c r="O1538" s="106">
        <v>0.98</v>
      </c>
      <c r="P1538" s="106">
        <v>17286</v>
      </c>
      <c r="Q1538" s="106">
        <v>10010.579349433217</v>
      </c>
      <c r="R1538" s="106">
        <v>0.39027730285616258</v>
      </c>
      <c r="S1538" s="106">
        <v>19603.618531296204</v>
      </c>
      <c r="T1538" s="106">
        <v>19763.536224741252</v>
      </c>
      <c r="U1538" s="106">
        <v>17587.281665845243</v>
      </c>
      <c r="V1538" s="106">
        <v>0.88924116820214949</v>
      </c>
      <c r="W1538" s="106">
        <v>64225.842496285288</v>
      </c>
      <c r="X1538" s="110">
        <v>0.5389496290730611</v>
      </c>
      <c r="Y1538" s="106">
        <v>359.03374233128835</v>
      </c>
      <c r="Z1538" s="106">
        <v>12.447852760736197</v>
      </c>
      <c r="AA1538" s="106">
        <v>66637.898225957048</v>
      </c>
      <c r="AB1538" s="106">
        <v>609.75854585843047</v>
      </c>
      <c r="AC1538" s="106">
        <v>1.5006475693593773</v>
      </c>
      <c r="AD1538" s="106">
        <v>30.626251072347728</v>
      </c>
      <c r="AE1538" s="106">
        <v>109.28571428571429</v>
      </c>
      <c r="AF1538" s="106">
        <v>3.9622688979405615E-2</v>
      </c>
      <c r="AG1538" s="106">
        <v>28860</v>
      </c>
      <c r="AH1538" s="106">
        <v>19064.642927550518</v>
      </c>
      <c r="AI1538" s="106">
        <v>19603.618531296204</v>
      </c>
      <c r="AJ1538" s="106">
        <v>20988.361261705275</v>
      </c>
      <c r="AK1538" s="104">
        <v>17587.281665845243</v>
      </c>
      <c r="AM1538" s="118">
        <v>3281</v>
      </c>
      <c r="AN1538" s="118">
        <v>117045</v>
      </c>
      <c r="AO1538" s="118">
        <v>672</v>
      </c>
      <c r="AP1538" s="118">
        <f t="shared" si="23"/>
        <v>1270</v>
      </c>
    </row>
    <row r="1539" spans="1:42" ht="12.75">
      <c r="A1539" s="106">
        <v>2018</v>
      </c>
      <c r="B1539" s="106">
        <v>-138868</v>
      </c>
      <c r="C1539" s="106">
        <v>0</v>
      </c>
      <c r="D1539" s="106">
        <v>138868</v>
      </c>
      <c r="E1539" s="106" t="s">
        <v>2477</v>
      </c>
      <c r="F1539" s="106" t="s">
        <v>2478</v>
      </c>
      <c r="G1539" s="106" t="s">
        <v>63</v>
      </c>
      <c r="H1539" s="106">
        <v>7</v>
      </c>
      <c r="I1539" s="106" t="s">
        <v>3641</v>
      </c>
      <c r="J1539" s="106">
        <v>20600</v>
      </c>
      <c r="K1539" s="106">
        <v>21070</v>
      </c>
      <c r="L1539" s="106">
        <v>17754</v>
      </c>
      <c r="M1539" s="106">
        <v>0.62</v>
      </c>
      <c r="N1539" s="106">
        <v>0.8</v>
      </c>
      <c r="O1539" s="106">
        <v>0.87</v>
      </c>
      <c r="P1539" s="106">
        <v>7663</v>
      </c>
      <c r="Q1539" s="106">
        <v>4866.6099644128117</v>
      </c>
      <c r="R1539" s="106">
        <v>0.32809553175799577</v>
      </c>
      <c r="S1539" s="106">
        <v>19494.947330960855</v>
      </c>
      <c r="T1539" s="106">
        <v>18540.944483985764</v>
      </c>
      <c r="U1539" s="106">
        <v>16152.801423487545</v>
      </c>
      <c r="V1539" s="106">
        <v>0.617001045971731</v>
      </c>
      <c r="W1539" s="106">
        <v>49270.504109589048</v>
      </c>
      <c r="X1539" s="110">
        <v>0.46023583775940041</v>
      </c>
      <c r="Y1539" s="106">
        <v>341.29268292682929</v>
      </c>
      <c r="Z1539" s="106">
        <v>11.422764227642276</v>
      </c>
      <c r="AA1539" s="106">
        <v>94168.821576763483</v>
      </c>
      <c r="AB1539" s="106">
        <v>540.61997665499416</v>
      </c>
      <c r="AC1539" s="106">
        <v>1.0619226016169601</v>
      </c>
      <c r="AD1539" s="106">
        <v>16.666666666666664</v>
      </c>
      <c r="AE1539" s="106">
        <v>174.18672199170123</v>
      </c>
      <c r="AF1539" s="106">
        <v>8.3010166620630432E-2</v>
      </c>
      <c r="AG1539" s="106">
        <v>19500</v>
      </c>
      <c r="AH1539" s="106">
        <v>12803.827758007117</v>
      </c>
      <c r="AI1539" s="106">
        <v>19494.947330960855</v>
      </c>
      <c r="AJ1539" s="106">
        <v>19624.758718861209</v>
      </c>
      <c r="AK1539" s="104">
        <v>16152.801423487545</v>
      </c>
      <c r="AL1539" s="118"/>
      <c r="AM1539" s="118">
        <v>1926</v>
      </c>
      <c r="AN1539" s="118">
        <v>41979</v>
      </c>
      <c r="AO1539" s="118">
        <v>241</v>
      </c>
      <c r="AP1539" s="118">
        <f t="shared" si="23"/>
        <v>1100</v>
      </c>
    </row>
    <row r="1540" spans="1:42" ht="12.75">
      <c r="A1540" s="106">
        <v>2018</v>
      </c>
      <c r="B1540" s="106">
        <v>-136516</v>
      </c>
      <c r="C1540" s="106">
        <v>0</v>
      </c>
      <c r="D1540" s="106">
        <v>136516</v>
      </c>
      <c r="E1540" s="106" t="s">
        <v>2479</v>
      </c>
      <c r="F1540" s="106" t="s">
        <v>2480</v>
      </c>
      <c r="G1540" s="106" t="s">
        <v>258</v>
      </c>
      <c r="H1540" s="106">
        <v>3</v>
      </c>
      <c r="I1540" s="104" t="s">
        <v>26</v>
      </c>
      <c r="J1540" s="106">
        <v>3366</v>
      </c>
      <c r="K1540" s="106">
        <v>7265</v>
      </c>
      <c r="L1540" s="106">
        <v>7262</v>
      </c>
      <c r="M1540" s="106">
        <v>0.63</v>
      </c>
      <c r="N1540" s="106">
        <v>0.09</v>
      </c>
      <c r="O1540" s="106">
        <v>0.05</v>
      </c>
      <c r="P1540" s="106">
        <v>1775</v>
      </c>
      <c r="Q1540" s="106">
        <v>230.17336581404791</v>
      </c>
      <c r="R1540" s="106">
        <v>7.1173964844706311E-2</v>
      </c>
      <c r="S1540" s="106">
        <v>9956.3418595209096</v>
      </c>
      <c r="T1540" s="106">
        <v>11201.299634591962</v>
      </c>
      <c r="U1540" s="106">
        <v>9591.0336957723321</v>
      </c>
      <c r="V1540" s="106">
        <v>0.31318638391496778</v>
      </c>
      <c r="W1540" s="106">
        <v>89617.020665322576</v>
      </c>
      <c r="X1540" s="110">
        <v>0.71607223283582833</v>
      </c>
      <c r="Y1540" s="106">
        <v>929.0086834733894</v>
      </c>
      <c r="Z1540" s="106">
        <v>31.04621848739496</v>
      </c>
      <c r="AA1540" s="106">
        <v>23821.226211113197</v>
      </c>
      <c r="AB1540" s="106">
        <v>320.51942348442452</v>
      </c>
      <c r="AC1540" s="106">
        <v>4.197936710468225</v>
      </c>
      <c r="AD1540" s="106">
        <v>46.017014694508894</v>
      </c>
      <c r="AE1540" s="106">
        <v>74.32069467787116</v>
      </c>
      <c r="AF1540" s="106">
        <v>-5.9183751643936175E-2</v>
      </c>
      <c r="AG1540" s="106">
        <v>2483</v>
      </c>
      <c r="AH1540" s="106">
        <v>8814.2262823115434</v>
      </c>
      <c r="AI1540" s="106">
        <v>8814.2262823115434</v>
      </c>
      <c r="AJ1540" s="106">
        <v>9959.2065232101777</v>
      </c>
      <c r="AK1540" s="104">
        <v>11133.371904181891</v>
      </c>
      <c r="AL1540" s="119">
        <v>29756353</v>
      </c>
      <c r="AM1540" s="118">
        <v>10659</v>
      </c>
      <c r="AN1540" s="118">
        <v>221104.06666666668</v>
      </c>
      <c r="AO1540" s="118">
        <v>2125</v>
      </c>
      <c r="AP1540" s="118">
        <f t="shared" si="23"/>
        <v>883</v>
      </c>
    </row>
    <row r="1541" spans="1:42" ht="12.75">
      <c r="A1541" s="106">
        <v>2018</v>
      </c>
      <c r="B1541" s="106">
        <v>-121345</v>
      </c>
      <c r="C1541" s="106">
        <v>0</v>
      </c>
      <c r="D1541" s="106">
        <v>121345</v>
      </c>
      <c r="E1541" s="106" t="s">
        <v>2481</v>
      </c>
      <c r="F1541" s="106" t="s">
        <v>751</v>
      </c>
      <c r="G1541" s="106" t="s">
        <v>121</v>
      </c>
      <c r="H1541" s="106">
        <v>7</v>
      </c>
      <c r="I1541" s="106" t="s">
        <v>3641</v>
      </c>
      <c r="J1541" s="106">
        <v>51075</v>
      </c>
      <c r="K1541" s="106">
        <v>16988</v>
      </c>
      <c r="L1541" s="106">
        <v>4916</v>
      </c>
      <c r="M1541" s="106">
        <v>0.23</v>
      </c>
      <c r="N1541" s="106">
        <v>0.21</v>
      </c>
      <c r="O1541" s="106">
        <v>0.57999999999999996</v>
      </c>
      <c r="P1541" s="106">
        <v>49268</v>
      </c>
      <c r="Q1541" s="106">
        <v>27041.189931350113</v>
      </c>
      <c r="R1541" s="106">
        <v>0.54865181711606092</v>
      </c>
      <c r="S1541" s="106">
        <v>50562.929061784896</v>
      </c>
      <c r="T1541" s="106">
        <v>100804.34782608696</v>
      </c>
      <c r="U1541" s="106">
        <v>79098.711103129986</v>
      </c>
      <c r="V1541" s="106">
        <v>0.28123623041034396</v>
      </c>
      <c r="W1541" s="106">
        <v>108700.21413276231</v>
      </c>
      <c r="X1541" s="110">
        <v>0.48014823558789144</v>
      </c>
      <c r="Y1541" s="106">
        <v>224.41369472182598</v>
      </c>
      <c r="Z1541" s="106">
        <v>7.4807417974322403</v>
      </c>
      <c r="AA1541" s="106">
        <v>329986.98569993133</v>
      </c>
      <c r="AB1541" s="106">
        <v>2636.7242650038374</v>
      </c>
      <c r="AC1541" s="106">
        <v>0.30304225419039249</v>
      </c>
      <c r="AD1541" s="106">
        <v>26.418663303909206</v>
      </c>
      <c r="AE1541" s="106">
        <v>125.15035799522673</v>
      </c>
      <c r="AF1541" s="106">
        <v>4.1578538872087921E-2</v>
      </c>
      <c r="AG1541" s="106">
        <v>50720</v>
      </c>
      <c r="AH1541" s="106">
        <v>39405.606407322652</v>
      </c>
      <c r="AI1541" s="106">
        <v>50562.929061784896</v>
      </c>
      <c r="AJ1541" s="106">
        <v>158074.37070938214</v>
      </c>
      <c r="AK1541" s="104">
        <v>82945.65217391304</v>
      </c>
      <c r="AM1541" s="118">
        <v>1599</v>
      </c>
      <c r="AN1541" s="118">
        <v>52438</v>
      </c>
      <c r="AO1541" s="118">
        <v>419</v>
      </c>
      <c r="AP1541" s="118">
        <f t="shared" si="23"/>
        <v>355</v>
      </c>
    </row>
    <row r="1542" spans="1:42" ht="12.75">
      <c r="A1542" s="106">
        <v>2018</v>
      </c>
      <c r="B1542" s="106">
        <v>-121363</v>
      </c>
      <c r="C1542" s="106">
        <v>0</v>
      </c>
      <c r="D1542" s="106">
        <v>121363</v>
      </c>
      <c r="E1542" s="106" t="s">
        <v>4177</v>
      </c>
      <c r="F1542" s="106" t="s">
        <v>4178</v>
      </c>
      <c r="G1542" s="106" t="s">
        <v>121</v>
      </c>
      <c r="H1542" s="106">
        <v>4</v>
      </c>
      <c r="I1542" s="106" t="s">
        <v>24</v>
      </c>
      <c r="J1542" s="106">
        <v>1322</v>
      </c>
      <c r="K1542" s="106">
        <v>5858</v>
      </c>
      <c r="L1542" s="106">
        <v>4544</v>
      </c>
      <c r="M1542" s="106">
        <v>0.69</v>
      </c>
      <c r="N1542" s="106">
        <v>0</v>
      </c>
      <c r="O1542" s="106">
        <v>0.08</v>
      </c>
      <c r="P1542" s="106">
        <v>800</v>
      </c>
      <c r="Q1542" s="106"/>
      <c r="R1542" s="106"/>
      <c r="S1542" s="106">
        <v>14265.353941267387</v>
      </c>
      <c r="T1542" s="106">
        <v>17408.792503863988</v>
      </c>
      <c r="U1542" s="106">
        <v>12546.55486862442</v>
      </c>
      <c r="V1542" s="106">
        <v>0.12468871729783886</v>
      </c>
      <c r="W1542" s="106">
        <v>128603.20419847329</v>
      </c>
      <c r="X1542" s="110">
        <v>0.49857316632912696</v>
      </c>
      <c r="Y1542" s="106">
        <v>856.23529411764696</v>
      </c>
      <c r="Z1542" s="106">
        <v>28.544117647058822</v>
      </c>
      <c r="AA1542" s="106">
        <v>44663.664374140302</v>
      </c>
      <c r="AB1542" s="106">
        <v>418.26159315746082</v>
      </c>
      <c r="AC1542" s="106">
        <v>2.2389564627370504</v>
      </c>
      <c r="AD1542" s="106">
        <v>29.208517476898354</v>
      </c>
      <c r="AE1542" s="106">
        <v>106.78404401650619</v>
      </c>
      <c r="AF1542" s="106"/>
      <c r="AG1542" s="106">
        <v>1288</v>
      </c>
      <c r="AH1542" s="106">
        <v>12168.584234930448</v>
      </c>
      <c r="AI1542" s="106">
        <v>12168.584234930448</v>
      </c>
      <c r="AJ1542" s="106">
        <v>14409.57573415765</v>
      </c>
      <c r="AK1542" s="104">
        <v>16442.713292117463</v>
      </c>
      <c r="AL1542" s="118">
        <v>17836860</v>
      </c>
      <c r="AM1542" s="118">
        <v>4054</v>
      </c>
      <c r="AN1542" s="118">
        <v>77632</v>
      </c>
      <c r="AO1542" s="118">
        <v>504</v>
      </c>
      <c r="AP1542" s="118">
        <f t="shared" ref="AP1542:AP1605" si="24">J1542-AG1542</f>
        <v>34</v>
      </c>
    </row>
    <row r="1543" spans="1:42" ht="12.75">
      <c r="A1543" s="106">
        <v>2018</v>
      </c>
      <c r="B1543" s="106">
        <v>-209746</v>
      </c>
      <c r="C1543" s="106">
        <v>0</v>
      </c>
      <c r="D1543" s="106">
        <v>209746</v>
      </c>
      <c r="E1543" s="106" t="s">
        <v>2482</v>
      </c>
      <c r="F1543" s="106" t="s">
        <v>1578</v>
      </c>
      <c r="G1543" s="106" t="s">
        <v>405</v>
      </c>
      <c r="H1543" s="106">
        <v>4</v>
      </c>
      <c r="I1543" s="106" t="s">
        <v>24</v>
      </c>
      <c r="J1543" s="106">
        <v>4088</v>
      </c>
      <c r="K1543" s="106">
        <v>7910</v>
      </c>
      <c r="L1543" s="106">
        <v>7023</v>
      </c>
      <c r="M1543" s="106">
        <v>0.44</v>
      </c>
      <c r="N1543" s="106">
        <v>0.2</v>
      </c>
      <c r="O1543" s="106">
        <v>0</v>
      </c>
      <c r="P1543" s="106"/>
      <c r="Q1543" s="106">
        <v>1.3263790849673203</v>
      </c>
      <c r="R1543" s="106">
        <v>2.4890801140170797E-4</v>
      </c>
      <c r="S1543" s="106">
        <v>19001.800052287581</v>
      </c>
      <c r="T1543" s="106">
        <v>17202.966954248364</v>
      </c>
      <c r="U1543" s="106">
        <v>14458.547921568628</v>
      </c>
      <c r="V1543" s="106">
        <v>0.36846479406176474</v>
      </c>
      <c r="W1543" s="106">
        <v>106373.39883833495</v>
      </c>
      <c r="X1543" s="110">
        <v>0.66797245550678574</v>
      </c>
      <c r="Y1543" s="106">
        <v>1031.5169796244506</v>
      </c>
      <c r="Z1543" s="106">
        <v>22.922493008389935</v>
      </c>
      <c r="AA1543" s="106">
        <v>51734.280449017773</v>
      </c>
      <c r="AB1543" s="106">
        <v>321.29957159240507</v>
      </c>
      <c r="AC1543" s="106">
        <v>1.9329543028736298</v>
      </c>
      <c r="AD1543" s="106">
        <v>31.314078153377466</v>
      </c>
      <c r="AE1543" s="106">
        <v>161.0157156220767</v>
      </c>
      <c r="AF1543" s="106">
        <v>0.23668770103546838</v>
      </c>
      <c r="AG1543" s="106">
        <v>3744</v>
      </c>
      <c r="AH1543" s="106">
        <v>18720.790326797385</v>
      </c>
      <c r="AI1543" s="106">
        <v>18720.790326797385</v>
      </c>
      <c r="AJ1543" s="106">
        <v>19120.23539869281</v>
      </c>
      <c r="AK1543" s="104">
        <v>15510.760052287582</v>
      </c>
      <c r="AL1543" s="119">
        <v>193293249</v>
      </c>
      <c r="AM1543" s="118">
        <v>28005</v>
      </c>
      <c r="AN1543" s="118">
        <v>860629</v>
      </c>
      <c r="AO1543" s="118">
        <v>3834</v>
      </c>
      <c r="AP1543" s="118">
        <f t="shared" si="24"/>
        <v>344</v>
      </c>
    </row>
    <row r="1544" spans="1:42" ht="12.75">
      <c r="A1544" s="106">
        <v>2018</v>
      </c>
      <c r="B1544" s="106">
        <v>-209807</v>
      </c>
      <c r="C1544" s="106">
        <v>0</v>
      </c>
      <c r="D1544" s="106">
        <v>209807</v>
      </c>
      <c r="E1544" s="106" t="s">
        <v>2483</v>
      </c>
      <c r="F1544" s="106" t="s">
        <v>1578</v>
      </c>
      <c r="G1544" s="106" t="s">
        <v>405</v>
      </c>
      <c r="H1544" s="106">
        <v>1</v>
      </c>
      <c r="I1544" s="106" t="s">
        <v>23</v>
      </c>
      <c r="J1544" s="106">
        <v>8783</v>
      </c>
      <c r="K1544" s="106">
        <v>13758</v>
      </c>
      <c r="L1544" s="106">
        <v>11928</v>
      </c>
      <c r="M1544" s="106">
        <v>0.53</v>
      </c>
      <c r="N1544" s="106">
        <v>0.45</v>
      </c>
      <c r="O1544" s="106">
        <v>0.66</v>
      </c>
      <c r="P1544" s="106">
        <v>3950</v>
      </c>
      <c r="Q1544" s="106">
        <v>1489.9610376944458</v>
      </c>
      <c r="R1544" s="106">
        <v>0.12635439236081933</v>
      </c>
      <c r="S1544" s="106">
        <v>25055.954357048813</v>
      </c>
      <c r="T1544" s="106">
        <v>26574.299019846883</v>
      </c>
      <c r="U1544" s="106">
        <v>15130.309694996482</v>
      </c>
      <c r="V1544" s="106">
        <v>0.68088230628565327</v>
      </c>
      <c r="W1544" s="106">
        <v>128792.92053222656</v>
      </c>
      <c r="X1544" s="110">
        <v>0.6453521057495778</v>
      </c>
      <c r="Y1544" s="106">
        <v>722.45469343461741</v>
      </c>
      <c r="Z1544" s="106">
        <v>16.690450352685836</v>
      </c>
      <c r="AA1544" s="106">
        <v>44388.735467137747</v>
      </c>
      <c r="AB1544" s="106">
        <v>349.54673985788736</v>
      </c>
      <c r="AC1544" s="106">
        <v>2.2528238064820041</v>
      </c>
      <c r="AD1544" s="106">
        <v>33.988135758047264</v>
      </c>
      <c r="AE1544" s="106">
        <v>126.98941344778255</v>
      </c>
      <c r="AF1544" s="106">
        <v>-3.9714067725804348E-3</v>
      </c>
      <c r="AG1544" s="106">
        <v>7403</v>
      </c>
      <c r="AH1544" s="106">
        <v>23671.098210367192</v>
      </c>
      <c r="AI1544" s="106">
        <v>24239.731701370263</v>
      </c>
      <c r="AJ1544" s="106">
        <v>25183.12859023748</v>
      </c>
      <c r="AK1544" s="104">
        <v>21195.560052664943</v>
      </c>
      <c r="AL1544" s="118">
        <v>94343801</v>
      </c>
      <c r="AM1544" s="118">
        <v>21167</v>
      </c>
      <c r="AN1544" s="118">
        <v>887656</v>
      </c>
      <c r="AO1544" s="118">
        <v>4571</v>
      </c>
      <c r="AP1544" s="118">
        <f t="shared" si="24"/>
        <v>1380</v>
      </c>
    </row>
    <row r="1545" spans="1:42" ht="12.75">
      <c r="A1545" s="106">
        <v>2018</v>
      </c>
      <c r="B1545" s="106">
        <v>-148007</v>
      </c>
      <c r="C1545" s="106">
        <v>0</v>
      </c>
      <c r="D1545" s="106">
        <v>148007</v>
      </c>
      <c r="E1545" s="106" t="s">
        <v>2484</v>
      </c>
      <c r="F1545" s="106" t="s">
        <v>2485</v>
      </c>
      <c r="G1545" s="106" t="s">
        <v>243</v>
      </c>
      <c r="H1545" s="106">
        <v>4</v>
      </c>
      <c r="I1545" s="106" t="s">
        <v>24</v>
      </c>
      <c r="J1545" s="106">
        <v>4104</v>
      </c>
      <c r="K1545" s="106">
        <v>7404</v>
      </c>
      <c r="L1545" s="106">
        <v>7035</v>
      </c>
      <c r="M1545" s="106">
        <v>0.62</v>
      </c>
      <c r="N1545" s="106">
        <v>0.19</v>
      </c>
      <c r="O1545" s="106">
        <v>0.09</v>
      </c>
      <c r="P1545" s="106">
        <v>4440</v>
      </c>
      <c r="Q1545" s="106">
        <v>4676.6265746850631</v>
      </c>
      <c r="R1545" s="106">
        <v>1.0708913601674208</v>
      </c>
      <c r="S1545" s="106">
        <v>17355.59178164367</v>
      </c>
      <c r="T1545" s="106">
        <v>15133.703959208158</v>
      </c>
      <c r="U1545" s="106">
        <v>12411.181654713113</v>
      </c>
      <c r="V1545" s="106">
        <v>-2.4944077970678564E-2</v>
      </c>
      <c r="W1545" s="106">
        <v>102037.28927911275</v>
      </c>
      <c r="X1545" s="110">
        <v>0.72938040048502684</v>
      </c>
      <c r="Y1545" s="106">
        <v>696.12529002320173</v>
      </c>
      <c r="Z1545" s="106">
        <v>23.206496519721576</v>
      </c>
      <c r="AA1545" s="106">
        <v>49734.230332708561</v>
      </c>
      <c r="AB1545" s="106">
        <v>413.74742162597261</v>
      </c>
      <c r="AC1545" s="106">
        <v>2.0106875954654777</v>
      </c>
      <c r="AD1545" s="106">
        <v>33.973050224581463</v>
      </c>
      <c r="AE1545" s="106">
        <v>120.20432692307692</v>
      </c>
      <c r="AF1545" s="106">
        <v>0.18282302217231516</v>
      </c>
      <c r="AG1545" s="106">
        <v>3372</v>
      </c>
      <c r="AH1545" s="106">
        <v>19989.30173965207</v>
      </c>
      <c r="AI1545" s="106">
        <v>19989.30173965207</v>
      </c>
      <c r="AJ1545" s="106">
        <v>17402.035092981405</v>
      </c>
      <c r="AK1545" s="104">
        <v>14170.680863827234</v>
      </c>
      <c r="AL1545" s="119">
        <v>28205293</v>
      </c>
      <c r="AM1545" s="118">
        <v>4403</v>
      </c>
      <c r="AN1545" s="118">
        <v>100010</v>
      </c>
      <c r="AO1545" s="118">
        <v>419</v>
      </c>
      <c r="AP1545" s="118">
        <f t="shared" si="24"/>
        <v>732</v>
      </c>
    </row>
    <row r="1546" spans="1:42" ht="12.75">
      <c r="A1546" s="106">
        <v>2018</v>
      </c>
      <c r="B1546" s="106">
        <v>-227526</v>
      </c>
      <c r="C1546" s="106">
        <v>0</v>
      </c>
      <c r="D1546" s="106">
        <v>227526</v>
      </c>
      <c r="E1546" s="106" t="s">
        <v>2486</v>
      </c>
      <c r="F1546" s="106" t="s">
        <v>2487</v>
      </c>
      <c r="G1546" s="106" t="s">
        <v>60</v>
      </c>
      <c r="H1546" s="106">
        <v>1</v>
      </c>
      <c r="I1546" s="106" t="s">
        <v>23</v>
      </c>
      <c r="J1546" s="106">
        <v>9657</v>
      </c>
      <c r="K1546" s="106">
        <v>11646</v>
      </c>
      <c r="L1546" s="106">
        <v>9950</v>
      </c>
      <c r="M1546" s="106">
        <v>0.71</v>
      </c>
      <c r="N1546" s="106">
        <v>0.75</v>
      </c>
      <c r="O1546" s="106">
        <v>0.63</v>
      </c>
      <c r="P1546" s="106">
        <v>6523</v>
      </c>
      <c r="Q1546" s="106">
        <v>1744.1062835786031</v>
      </c>
      <c r="R1546" s="106">
        <v>0.16471194030800645</v>
      </c>
      <c r="S1546" s="106">
        <v>25907.472669936931</v>
      </c>
      <c r="T1546" s="106">
        <v>28652.413805185704</v>
      </c>
      <c r="U1546" s="106">
        <v>14394.974272468709</v>
      </c>
      <c r="V1546" s="106">
        <v>0.61443117639490774</v>
      </c>
      <c r="W1546" s="106">
        <v>92717.846625766877</v>
      </c>
      <c r="X1546" s="110">
        <v>0.43123355113160333</v>
      </c>
      <c r="Y1546" s="106">
        <v>468.29032258064512</v>
      </c>
      <c r="Z1546" s="106">
        <v>15.93424317617866</v>
      </c>
      <c r="AA1546" s="106">
        <v>81622.364053560988</v>
      </c>
      <c r="AB1546" s="106">
        <v>489.80943981145617</v>
      </c>
      <c r="AC1546" s="106">
        <v>1.2251544188842598</v>
      </c>
      <c r="AD1546" s="106">
        <v>17.995471338338696</v>
      </c>
      <c r="AE1546" s="106">
        <v>166.64105960264899</v>
      </c>
      <c r="AF1546" s="106">
        <v>6.9695448122724379E-2</v>
      </c>
      <c r="AG1546" s="106">
        <v>6016</v>
      </c>
      <c r="AH1546" s="106">
        <v>26810.37000700771</v>
      </c>
      <c r="AI1546" s="106">
        <v>27020.112123335668</v>
      </c>
      <c r="AJ1546" s="106">
        <v>27408.854590049054</v>
      </c>
      <c r="AK1546" s="104">
        <v>22139.596823172156</v>
      </c>
      <c r="AL1546" s="118">
        <v>58264709</v>
      </c>
      <c r="AM1546" s="118">
        <v>7975</v>
      </c>
      <c r="AN1546" s="118">
        <v>251628</v>
      </c>
      <c r="AO1546" s="118">
        <v>1104</v>
      </c>
      <c r="AP1546" s="118">
        <f t="shared" si="24"/>
        <v>3641</v>
      </c>
    </row>
    <row r="1547" spans="1:42" ht="12.75">
      <c r="A1547" s="106">
        <v>2018</v>
      </c>
      <c r="B1547" s="106">
        <v>-155715</v>
      </c>
      <c r="C1547" s="106">
        <v>0</v>
      </c>
      <c r="D1547" s="106">
        <v>155715</v>
      </c>
      <c r="E1547" s="106" t="s">
        <v>2488</v>
      </c>
      <c r="F1547" s="106" t="s">
        <v>2489</v>
      </c>
      <c r="G1547" s="106" t="s">
        <v>129</v>
      </c>
      <c r="H1547" s="106">
        <v>4</v>
      </c>
      <c r="I1547" s="106" t="s">
        <v>24</v>
      </c>
      <c r="J1547" s="106">
        <v>3392</v>
      </c>
      <c r="K1547" s="106">
        <v>8766</v>
      </c>
      <c r="L1547" s="106">
        <v>6952</v>
      </c>
      <c r="M1547" s="106">
        <v>0.49</v>
      </c>
      <c r="N1547" s="106">
        <v>0.5</v>
      </c>
      <c r="O1547" s="106">
        <v>0.78</v>
      </c>
      <c r="P1547" s="106">
        <v>2496</v>
      </c>
      <c r="Q1547" s="106">
        <v>449.28555045871559</v>
      </c>
      <c r="R1547" s="106">
        <v>0.32294219423994908</v>
      </c>
      <c r="S1547" s="106">
        <v>19889.791284403669</v>
      </c>
      <c r="T1547" s="106">
        <v>17129.369266055044</v>
      </c>
      <c r="U1547" s="106">
        <v>10751.905963302752</v>
      </c>
      <c r="V1547" s="106">
        <v>8.7606827123247411E-2</v>
      </c>
      <c r="W1547" s="106">
        <v>54776.442622950817</v>
      </c>
      <c r="X1547" s="110">
        <v>0.44739981294533437</v>
      </c>
      <c r="Y1547" s="106">
        <v>740.40566037735846</v>
      </c>
      <c r="Z1547" s="106">
        <v>24.679245283018865</v>
      </c>
      <c r="AA1547" s="106">
        <v>24737.894459102903</v>
      </c>
      <c r="AB1547" s="106">
        <v>358.38316578112455</v>
      </c>
      <c r="AC1547" s="106">
        <v>4.0423812206540717</v>
      </c>
      <c r="AD1547" s="106">
        <v>49.737532808398946</v>
      </c>
      <c r="AE1547" s="106">
        <v>69.026385224274406</v>
      </c>
      <c r="AF1547" s="106">
        <v>9.5322677615376716E-2</v>
      </c>
      <c r="AG1547" s="106">
        <v>1952</v>
      </c>
      <c r="AH1547" s="106">
        <v>17764.522935779816</v>
      </c>
      <c r="AI1547" s="106">
        <v>18003.284403669724</v>
      </c>
      <c r="AJ1547" s="106">
        <v>19892.538990825688</v>
      </c>
      <c r="AK1547" s="104">
        <v>12670.451834862386</v>
      </c>
      <c r="AL1547" s="119">
        <v>9205053</v>
      </c>
      <c r="AM1547" s="119">
        <v>1114</v>
      </c>
      <c r="AN1547" s="118">
        <v>26161</v>
      </c>
      <c r="AO1547" s="119">
        <v>165</v>
      </c>
      <c r="AP1547" s="118">
        <f t="shared" si="24"/>
        <v>1440</v>
      </c>
    </row>
    <row r="1548" spans="1:42" ht="12.75">
      <c r="A1548" s="106">
        <v>2018</v>
      </c>
      <c r="B1548" s="106">
        <v>-218539</v>
      </c>
      <c r="C1548" s="106">
        <v>0</v>
      </c>
      <c r="D1548" s="106">
        <v>218539</v>
      </c>
      <c r="E1548" s="106" t="s">
        <v>2490</v>
      </c>
      <c r="F1548" s="106" t="s">
        <v>1417</v>
      </c>
      <c r="G1548" s="106" t="s">
        <v>79</v>
      </c>
      <c r="H1548" s="106">
        <v>7</v>
      </c>
      <c r="I1548" s="106" t="s">
        <v>3641</v>
      </c>
      <c r="J1548" s="106">
        <v>37842</v>
      </c>
      <c r="K1548" s="106">
        <v>19628</v>
      </c>
      <c r="L1548" s="106">
        <v>15350</v>
      </c>
      <c r="M1548" s="106">
        <v>0.35</v>
      </c>
      <c r="N1548" s="106">
        <v>0.57999999999999996</v>
      </c>
      <c r="O1548" s="106">
        <v>1</v>
      </c>
      <c r="P1548" s="106">
        <v>25416</v>
      </c>
      <c r="Q1548" s="106">
        <v>18747.372147915026</v>
      </c>
      <c r="R1548" s="106">
        <v>0.54009052874423291</v>
      </c>
      <c r="S1548" s="106">
        <v>30685.990558615264</v>
      </c>
      <c r="T1548" s="106">
        <v>35377.636506687646</v>
      </c>
      <c r="U1548" s="106">
        <v>30582.417781274587</v>
      </c>
      <c r="V1548" s="106">
        <v>0.52200465481920066</v>
      </c>
      <c r="W1548" s="106">
        <v>76040.91685144123</v>
      </c>
      <c r="X1548" s="110">
        <v>0.50846171918339289</v>
      </c>
      <c r="Y1548" s="106">
        <v>281.44936708860763</v>
      </c>
      <c r="Z1548" s="106">
        <v>12.066455696202532</v>
      </c>
      <c r="AA1548" s="106">
        <v>148359.74427480917</v>
      </c>
      <c r="AB1548" s="106">
        <v>1311.1466302367942</v>
      </c>
      <c r="AC1548" s="106">
        <v>0.6740372901611934</v>
      </c>
      <c r="AD1548" s="106">
        <v>20.96</v>
      </c>
      <c r="AE1548" s="106">
        <v>113.15267175572519</v>
      </c>
      <c r="AF1548" s="106">
        <v>2.3740008513056805E-2</v>
      </c>
      <c r="AG1548" s="106">
        <v>34982</v>
      </c>
      <c r="AH1548" s="106">
        <v>27050.76553894571</v>
      </c>
      <c r="AI1548" s="106">
        <v>30685.990558615264</v>
      </c>
      <c r="AJ1548" s="106">
        <v>38000.116443745086</v>
      </c>
      <c r="AK1548" s="104">
        <v>30582.417781274587</v>
      </c>
      <c r="AL1548" s="118"/>
      <c r="AM1548" s="118">
        <v>1016</v>
      </c>
      <c r="AN1548" s="118">
        <v>29646</v>
      </c>
      <c r="AO1548" s="118">
        <v>193</v>
      </c>
      <c r="AP1548" s="118">
        <f t="shared" si="24"/>
        <v>2860</v>
      </c>
    </row>
    <row r="1549" spans="1:42" ht="12.75">
      <c r="A1549" s="106">
        <v>2018</v>
      </c>
      <c r="B1549" s="106">
        <v>-105589</v>
      </c>
      <c r="C1549" s="106">
        <v>0</v>
      </c>
      <c r="D1549" s="106">
        <v>105589</v>
      </c>
      <c r="E1549" s="106" t="s">
        <v>2491</v>
      </c>
      <c r="F1549" s="106" t="s">
        <v>1175</v>
      </c>
      <c r="G1549" s="106" t="s">
        <v>147</v>
      </c>
      <c r="H1549" s="106">
        <v>6</v>
      </c>
      <c r="I1549" s="106" t="s">
        <v>3640</v>
      </c>
      <c r="J1549" s="106">
        <v>30501</v>
      </c>
      <c r="K1549" s="106">
        <v>22968</v>
      </c>
      <c r="L1549" s="106">
        <v>14993</v>
      </c>
      <c r="M1549" s="106">
        <v>0.47</v>
      </c>
      <c r="N1549" s="106">
        <v>0.7</v>
      </c>
      <c r="O1549" s="106">
        <v>1</v>
      </c>
      <c r="P1549" s="106">
        <v>16336</v>
      </c>
      <c r="Q1549" s="106">
        <v>6338.2546583850935</v>
      </c>
      <c r="R1549" s="106">
        <v>0.28418491280909486</v>
      </c>
      <c r="S1549" s="106">
        <v>22219.458074534163</v>
      </c>
      <c r="T1549" s="106">
        <v>22147.344720496894</v>
      </c>
      <c r="U1549" s="106">
        <v>17455.062111801242</v>
      </c>
      <c r="V1549" s="106">
        <v>0.91463563044766238</v>
      </c>
      <c r="W1549" s="106">
        <v>55876.378973105129</v>
      </c>
      <c r="X1549" s="110">
        <v>0.53410024195657402</v>
      </c>
      <c r="Y1549" s="106">
        <v>283.10106382978722</v>
      </c>
      <c r="Z1549" s="106">
        <v>10.276595744680851</v>
      </c>
      <c r="AA1549" s="106">
        <v>60435.806451612902</v>
      </c>
      <c r="AB1549" s="106">
        <v>633.62042725889182</v>
      </c>
      <c r="AC1549" s="106">
        <v>1.6546482271244882</v>
      </c>
      <c r="AD1549" s="106">
        <v>34.317343173431738</v>
      </c>
      <c r="AE1549" s="106">
        <v>95.381720430107521</v>
      </c>
      <c r="AF1549" s="106">
        <v>2.0566663113601641E-2</v>
      </c>
      <c r="AG1549" s="106">
        <v>28896</v>
      </c>
      <c r="AH1549" s="106">
        <v>21620.195652173912</v>
      </c>
      <c r="AI1549" s="106">
        <v>22219.458074534163</v>
      </c>
      <c r="AJ1549" s="106">
        <v>22605.959627329194</v>
      </c>
      <c r="AK1549" s="104">
        <v>17455.062111801242</v>
      </c>
      <c r="AL1549" s="118"/>
      <c r="AM1549" s="118">
        <v>390</v>
      </c>
      <c r="AN1549" s="118">
        <v>17741</v>
      </c>
      <c r="AO1549" s="118">
        <v>79</v>
      </c>
      <c r="AP1549" s="118">
        <f t="shared" si="24"/>
        <v>1605</v>
      </c>
    </row>
    <row r="1550" spans="1:42" ht="12.75">
      <c r="A1550" s="106">
        <v>2018</v>
      </c>
      <c r="B1550" s="106">
        <v>-163657</v>
      </c>
      <c r="C1550" s="106">
        <v>0</v>
      </c>
      <c r="D1550" s="106">
        <v>163657</v>
      </c>
      <c r="E1550" s="106" t="s">
        <v>2492</v>
      </c>
      <c r="F1550" s="106" t="s">
        <v>1196</v>
      </c>
      <c r="G1550" s="106" t="s">
        <v>124</v>
      </c>
      <c r="H1550" s="106">
        <v>4</v>
      </c>
      <c r="I1550" s="106" t="s">
        <v>24</v>
      </c>
      <c r="J1550" s="106">
        <v>3770</v>
      </c>
      <c r="K1550" s="106">
        <v>8793</v>
      </c>
      <c r="L1550" s="106">
        <v>8104</v>
      </c>
      <c r="M1550" s="106">
        <v>0.54</v>
      </c>
      <c r="N1550" s="106">
        <v>0.22</v>
      </c>
      <c r="O1550" s="106">
        <v>0.21</v>
      </c>
      <c r="P1550" s="106">
        <v>2821</v>
      </c>
      <c r="Q1550" s="106">
        <v>165.35230125523012</v>
      </c>
      <c r="R1550" s="106">
        <v>2.9483506695435552E-2</v>
      </c>
      <c r="S1550" s="106">
        <v>18182.235564853556</v>
      </c>
      <c r="T1550" s="106">
        <v>18623.063877266388</v>
      </c>
      <c r="U1550" s="106">
        <v>16076.007941065276</v>
      </c>
      <c r="V1550" s="106">
        <v>0.33857572384005219</v>
      </c>
      <c r="W1550" s="106">
        <v>73497.076836476219</v>
      </c>
      <c r="X1550" s="110">
        <v>0.65188911684382189</v>
      </c>
      <c r="Y1550" s="106">
        <v>368.54768703597938</v>
      </c>
      <c r="Z1550" s="106">
        <v>12.284408909194743</v>
      </c>
      <c r="AA1550" s="106">
        <v>98181.411360679747</v>
      </c>
      <c r="AB1550" s="106">
        <v>535.84451109641168</v>
      </c>
      <c r="AC1550" s="106">
        <v>1.0185227388170197</v>
      </c>
      <c r="AD1550" s="106">
        <v>18.718112244897959</v>
      </c>
      <c r="AE1550" s="106">
        <v>183.22742759795571</v>
      </c>
      <c r="AF1550" s="106">
        <v>0.2879780603783727</v>
      </c>
      <c r="AG1550" s="106">
        <v>2568</v>
      </c>
      <c r="AH1550" s="106">
        <v>17071.222175732219</v>
      </c>
      <c r="AI1550" s="106">
        <v>17591.944630404461</v>
      </c>
      <c r="AJ1550" s="106">
        <v>18193.191771269176</v>
      </c>
      <c r="AK1550" s="104">
        <v>17017.253695955369</v>
      </c>
      <c r="AL1550" s="118">
        <v>68366696</v>
      </c>
      <c r="AM1550" s="118">
        <v>12113</v>
      </c>
      <c r="AN1550" s="118">
        <v>215109</v>
      </c>
      <c r="AO1550" s="118">
        <v>1057</v>
      </c>
      <c r="AP1550" s="118">
        <f t="shared" si="24"/>
        <v>1202</v>
      </c>
    </row>
    <row r="1551" spans="1:42" ht="12.75">
      <c r="A1551" s="106">
        <v>2018</v>
      </c>
      <c r="B1551" s="106">
        <v>-186131</v>
      </c>
      <c r="C1551" s="106">
        <v>0</v>
      </c>
      <c r="D1551" s="106">
        <v>186131</v>
      </c>
      <c r="E1551" s="106" t="s">
        <v>2493</v>
      </c>
      <c r="F1551" s="106" t="s">
        <v>2494</v>
      </c>
      <c r="G1551" s="106" t="s">
        <v>234</v>
      </c>
      <c r="H1551" s="106">
        <v>5</v>
      </c>
      <c r="I1551" s="106" t="s">
        <v>3639</v>
      </c>
      <c r="J1551" s="106">
        <v>47140</v>
      </c>
      <c r="K1551" s="107">
        <v>16192</v>
      </c>
      <c r="L1551" s="107">
        <v>2586</v>
      </c>
      <c r="M1551" s="107">
        <v>0.22</v>
      </c>
      <c r="N1551" s="107">
        <v>0.08</v>
      </c>
      <c r="O1551" s="107">
        <v>0.6</v>
      </c>
      <c r="P1551" s="107">
        <v>48295</v>
      </c>
      <c r="Q1551" s="106">
        <v>37013.89196975153</v>
      </c>
      <c r="R1551" s="106">
        <v>0.83516664454814571</v>
      </c>
      <c r="S1551" s="106">
        <v>111503.30092425879</v>
      </c>
      <c r="T1551" s="106">
        <v>206235.38590805425</v>
      </c>
      <c r="U1551" s="106">
        <v>102782.69333756866</v>
      </c>
      <c r="V1551" s="106">
        <v>7.1074975372348567E-2</v>
      </c>
      <c r="W1551" s="106">
        <v>147314.01071858252</v>
      </c>
      <c r="X1551" s="110">
        <v>0.52261418842508822</v>
      </c>
      <c r="Y1551" s="106">
        <v>198.32052117263842</v>
      </c>
      <c r="Z1551" s="106">
        <v>8.1410423452768725</v>
      </c>
      <c r="AA1551" s="106">
        <v>373270.5397538293</v>
      </c>
      <c r="AB1551" s="106">
        <v>4219.2217622015714</v>
      </c>
      <c r="AC1551" s="106">
        <v>0.26790220322758301</v>
      </c>
      <c r="AD1551" s="106">
        <v>28.0029296875</v>
      </c>
      <c r="AE1551" s="106">
        <v>88.469049694856153</v>
      </c>
      <c r="AF1551" s="106">
        <v>0.10450338405829208</v>
      </c>
      <c r="AG1551" s="106">
        <v>47140</v>
      </c>
      <c r="AH1551" s="106">
        <v>61397.343176089307</v>
      </c>
      <c r="AI1551" s="106">
        <v>105813.13959908775</v>
      </c>
      <c r="AJ1551" s="106">
        <v>500403.55299483857</v>
      </c>
      <c r="AK1551" s="104">
        <v>180313.04765334295</v>
      </c>
      <c r="AM1551" s="118">
        <v>5394</v>
      </c>
      <c r="AN1551" s="118">
        <v>202948</v>
      </c>
      <c r="AO1551" s="118">
        <v>1299</v>
      </c>
      <c r="AP1551" s="118">
        <f t="shared" si="24"/>
        <v>0</v>
      </c>
    </row>
    <row r="1552" spans="1:42" ht="12.75">
      <c r="A1552" s="106">
        <v>2018</v>
      </c>
      <c r="B1552" s="106">
        <v>-148016</v>
      </c>
      <c r="C1552" s="106">
        <v>0</v>
      </c>
      <c r="D1552" s="106">
        <v>148016</v>
      </c>
      <c r="E1552" s="106" t="s">
        <v>2495</v>
      </c>
      <c r="F1552" s="106" t="s">
        <v>2496</v>
      </c>
      <c r="G1552" s="106" t="s">
        <v>243</v>
      </c>
      <c r="H1552" s="106">
        <v>7</v>
      </c>
      <c r="I1552" s="106" t="s">
        <v>3641</v>
      </c>
      <c r="J1552" s="106">
        <v>28920</v>
      </c>
      <c r="K1552" s="106">
        <v>13734</v>
      </c>
      <c r="L1552" s="106"/>
      <c r="M1552" s="106">
        <v>0</v>
      </c>
      <c r="N1552" s="106">
        <v>0.49</v>
      </c>
      <c r="O1552" s="106">
        <v>0.98</v>
      </c>
      <c r="P1552" s="106">
        <v>28616</v>
      </c>
      <c r="Q1552" s="106">
        <v>24390.560267857141</v>
      </c>
      <c r="R1552" s="106">
        <v>0.84854637803225874</v>
      </c>
      <c r="S1552" s="106">
        <v>37394.261160714283</v>
      </c>
      <c r="T1552" s="106">
        <v>102829.87723214286</v>
      </c>
      <c r="U1552" s="106">
        <v>79182.81696428571</v>
      </c>
      <c r="V1552" s="106">
        <v>5.4978755931614179E-2</v>
      </c>
      <c r="W1552" s="106">
        <v>69767.79363449692</v>
      </c>
      <c r="X1552" s="110">
        <v>0.49169451059997782</v>
      </c>
      <c r="Y1552" s="106">
        <v>180.90134529147983</v>
      </c>
      <c r="Z1552" s="106">
        <v>6.0269058295964131</v>
      </c>
      <c r="AA1552" s="106">
        <v>308468.71304347826</v>
      </c>
      <c r="AB1552" s="106">
        <v>2638.0532460771919</v>
      </c>
      <c r="AC1552" s="106">
        <v>0.32418198595688741</v>
      </c>
      <c r="AD1552" s="106">
        <v>25.784753363228702</v>
      </c>
      <c r="AE1552" s="106">
        <v>116.9304347826087</v>
      </c>
      <c r="AF1552" s="106">
        <v>3.3926588418192294E-2</v>
      </c>
      <c r="AG1552" s="106">
        <v>28320</v>
      </c>
      <c r="AH1552" s="106">
        <v>23038.191964285714</v>
      </c>
      <c r="AI1552" s="106">
        <v>37394.261160714283</v>
      </c>
      <c r="AJ1552" s="106">
        <v>137959.47767857142</v>
      </c>
      <c r="AK1552" s="104">
        <v>79182.81696428571</v>
      </c>
      <c r="AM1552" s="118">
        <v>455</v>
      </c>
      <c r="AN1552" s="118">
        <v>13447</v>
      </c>
      <c r="AO1552" s="118">
        <v>115</v>
      </c>
      <c r="AP1552" s="118">
        <f t="shared" si="24"/>
        <v>600</v>
      </c>
    </row>
    <row r="1553" spans="1:42" ht="12.75">
      <c r="A1553" s="106">
        <v>2018</v>
      </c>
      <c r="B1553" s="106">
        <v>-455770</v>
      </c>
      <c r="C1553" s="106">
        <v>0</v>
      </c>
      <c r="D1553" s="106">
        <v>455770</v>
      </c>
      <c r="E1553" s="106" t="s">
        <v>2497</v>
      </c>
      <c r="F1553" s="106" t="s">
        <v>532</v>
      </c>
      <c r="G1553" s="106" t="s">
        <v>121</v>
      </c>
      <c r="H1553" s="106">
        <v>7</v>
      </c>
      <c r="I1553" s="106" t="s">
        <v>3641</v>
      </c>
      <c r="J1553" s="106">
        <v>29372</v>
      </c>
      <c r="K1553" s="107">
        <v>20678</v>
      </c>
      <c r="L1553" s="107">
        <v>18532</v>
      </c>
      <c r="M1553" s="107">
        <v>0.39</v>
      </c>
      <c r="N1553" s="107">
        <v>0.84</v>
      </c>
      <c r="O1553" s="107">
        <v>1</v>
      </c>
      <c r="P1553" s="107">
        <v>19510</v>
      </c>
      <c r="Q1553" s="106">
        <v>12535.025316455696</v>
      </c>
      <c r="R1553" s="106">
        <v>0.62091992386689943</v>
      </c>
      <c r="S1553" s="106">
        <v>35648.126582278484</v>
      </c>
      <c r="T1553" s="106">
        <v>36443.335443037977</v>
      </c>
      <c r="U1553" s="106">
        <v>36443.335443037977</v>
      </c>
      <c r="V1553" s="106">
        <v>0.20999186008728307</v>
      </c>
      <c r="W1553" s="106">
        <v>70117.68421052632</v>
      </c>
      <c r="X1553" s="110">
        <v>0.46273884183300346</v>
      </c>
      <c r="Y1553" s="106">
        <v>429.90909090909093</v>
      </c>
      <c r="Z1553" s="106">
        <v>14.363636363636363</v>
      </c>
      <c r="AA1553" s="106">
        <v>287902.34999999998</v>
      </c>
      <c r="AB1553" s="106">
        <v>1217.6035102558681</v>
      </c>
      <c r="AC1553" s="106">
        <v>0.34733999218832357</v>
      </c>
      <c r="AD1553" s="106">
        <v>12.269938650306749</v>
      </c>
      <c r="AE1553" s="106">
        <v>236.45</v>
      </c>
      <c r="AF1553" s="106">
        <v>0.15459635060385113</v>
      </c>
      <c r="AG1553" s="106">
        <v>28522</v>
      </c>
      <c r="AH1553" s="106">
        <v>8092.0443037974683</v>
      </c>
      <c r="AI1553" s="106">
        <v>23113.101265822785</v>
      </c>
      <c r="AJ1553" s="106">
        <v>35713.6582278481</v>
      </c>
      <c r="AK1553" s="104">
        <v>36443.335443037977</v>
      </c>
      <c r="AL1553" s="118"/>
      <c r="AM1553" s="118">
        <v>167</v>
      </c>
      <c r="AN1553" s="118">
        <v>4729</v>
      </c>
      <c r="AO1553" s="118">
        <v>20</v>
      </c>
      <c r="AP1553" s="118">
        <f t="shared" si="24"/>
        <v>850</v>
      </c>
    </row>
    <row r="1554" spans="1:42" ht="12.75">
      <c r="A1554" s="106">
        <v>2018</v>
      </c>
      <c r="B1554" s="106">
        <v>-217402</v>
      </c>
      <c r="C1554" s="106">
        <v>0</v>
      </c>
      <c r="D1554" s="106">
        <v>217402</v>
      </c>
      <c r="E1554" s="106" t="s">
        <v>2498</v>
      </c>
      <c r="F1554" s="106" t="s">
        <v>468</v>
      </c>
      <c r="G1554" s="106" t="s">
        <v>469</v>
      </c>
      <c r="H1554" s="106">
        <v>6</v>
      </c>
      <c r="I1554" s="106" t="s">
        <v>3640</v>
      </c>
      <c r="J1554" s="106">
        <v>48764</v>
      </c>
      <c r="K1554" s="106">
        <v>37842</v>
      </c>
      <c r="L1554" s="106">
        <v>19020</v>
      </c>
      <c r="M1554" s="106">
        <v>0.14000000000000001</v>
      </c>
      <c r="N1554" s="106">
        <v>0.53</v>
      </c>
      <c r="O1554" s="106">
        <v>0.72</v>
      </c>
      <c r="P1554" s="106">
        <v>25766</v>
      </c>
      <c r="Q1554" s="106">
        <v>15530.795990812278</v>
      </c>
      <c r="R1554" s="106">
        <v>0.36611244257633219</v>
      </c>
      <c r="S1554" s="106">
        <v>43006.391313426604</v>
      </c>
      <c r="T1554" s="106">
        <v>41943.171434537478</v>
      </c>
      <c r="U1554" s="106">
        <v>29182.599286560755</v>
      </c>
      <c r="V1554" s="106">
        <v>0.92144089142438212</v>
      </c>
      <c r="W1554" s="106">
        <v>112236.26801152737</v>
      </c>
      <c r="X1554" s="110">
        <v>0.51704140367356033</v>
      </c>
      <c r="Y1554" s="106">
        <v>395.5846585594013</v>
      </c>
      <c r="Z1554" s="106">
        <v>13.439663236669785</v>
      </c>
      <c r="AA1554" s="106">
        <v>106197.16412107862</v>
      </c>
      <c r="AB1554" s="106">
        <v>991.45479556852627</v>
      </c>
      <c r="AC1554" s="106">
        <v>0.94164473060680753</v>
      </c>
      <c r="AD1554" s="106">
        <v>30.718954248366014</v>
      </c>
      <c r="AE1554" s="106">
        <v>107.11246200607903</v>
      </c>
      <c r="AF1554" s="106">
        <v>3.1435022761427622E-2</v>
      </c>
      <c r="AG1554" s="106">
        <v>47870</v>
      </c>
      <c r="AH1554" s="106">
        <v>39924.100647316765</v>
      </c>
      <c r="AI1554" s="106">
        <v>43183.600334098977</v>
      </c>
      <c r="AJ1554" s="106">
        <v>45407.317185216118</v>
      </c>
      <c r="AK1554" s="104">
        <v>29518.223428690748</v>
      </c>
      <c r="AL1554" s="118">
        <v>183484</v>
      </c>
      <c r="AM1554" s="118">
        <v>4078</v>
      </c>
      <c r="AN1554" s="118">
        <v>140960</v>
      </c>
      <c r="AO1554" s="118">
        <v>919</v>
      </c>
      <c r="AP1554" s="118">
        <f t="shared" si="24"/>
        <v>894</v>
      </c>
    </row>
    <row r="1555" spans="1:42" ht="12.75">
      <c r="A1555" s="106">
        <v>2018</v>
      </c>
      <c r="B1555" s="106">
        <v>-127884</v>
      </c>
      <c r="C1555" s="106">
        <v>0</v>
      </c>
      <c r="D1555" s="106">
        <v>127884</v>
      </c>
      <c r="E1555" s="106" t="s">
        <v>2499</v>
      </c>
      <c r="F1555" s="106" t="s">
        <v>894</v>
      </c>
      <c r="G1555" s="106" t="s">
        <v>66</v>
      </c>
      <c r="H1555" s="106">
        <v>4</v>
      </c>
      <c r="I1555" s="106" t="s">
        <v>24</v>
      </c>
      <c r="J1555" s="106">
        <v>5050</v>
      </c>
      <c r="K1555" s="106">
        <v>11934</v>
      </c>
      <c r="L1555" s="106">
        <v>11114</v>
      </c>
      <c r="M1555" s="106">
        <v>0.77</v>
      </c>
      <c r="N1555" s="106">
        <v>0.45</v>
      </c>
      <c r="O1555" s="106">
        <v>0.17</v>
      </c>
      <c r="P1555" s="106">
        <v>1629</v>
      </c>
      <c r="Q1555" s="106">
        <v>2.3921213493321258</v>
      </c>
      <c r="R1555" s="106">
        <v>3.5542191147491716E-4</v>
      </c>
      <c r="S1555" s="106">
        <v>9652.4582295675791</v>
      </c>
      <c r="T1555" s="106">
        <v>9802.2368123160522</v>
      </c>
      <c r="U1555" s="106">
        <v>8628.1792398294074</v>
      </c>
      <c r="V1555" s="106">
        <v>0.77976810147007414</v>
      </c>
      <c r="W1555" s="106">
        <v>72859.537500000006</v>
      </c>
      <c r="X1555" s="110">
        <v>0.67312204132991871</v>
      </c>
      <c r="Y1555" s="106">
        <v>732.11602209944749</v>
      </c>
      <c r="Z1555" s="106">
        <v>24.403314917127073</v>
      </c>
      <c r="AA1555" s="106">
        <v>12741.781244509024</v>
      </c>
      <c r="AB1555" s="106">
        <v>287.59946346642585</v>
      </c>
      <c r="AC1555" s="106">
        <v>7.8481962671501879</v>
      </c>
      <c r="AD1555" s="106">
        <v>83.037201554691848</v>
      </c>
      <c r="AE1555" s="106">
        <v>44.303911735205617</v>
      </c>
      <c r="AF1555" s="106">
        <v>0.13645415063910213</v>
      </c>
      <c r="AG1555" s="106">
        <v>4300</v>
      </c>
      <c r="AH1555" s="106">
        <v>10393.239981888159</v>
      </c>
      <c r="AI1555" s="106">
        <v>10393.239981888159</v>
      </c>
      <c r="AJ1555" s="106">
        <v>9675.8453701607432</v>
      </c>
      <c r="AK1555" s="104">
        <v>9010.5032827711111</v>
      </c>
      <c r="AL1555" s="118"/>
      <c r="AM1555" s="118">
        <v>5991</v>
      </c>
      <c r="AN1555" s="118">
        <v>132513</v>
      </c>
      <c r="AO1555" s="118">
        <v>706</v>
      </c>
      <c r="AP1555" s="118">
        <f t="shared" si="24"/>
        <v>750</v>
      </c>
    </row>
    <row r="1556" spans="1:42" ht="12.75">
      <c r="A1556" s="106">
        <v>2018</v>
      </c>
      <c r="B1556" s="106">
        <v>-490805</v>
      </c>
      <c r="C1556" s="106">
        <v>0</v>
      </c>
      <c r="D1556" s="106">
        <v>490805</v>
      </c>
      <c r="E1556" s="106" t="s">
        <v>4179</v>
      </c>
      <c r="F1556" s="106" t="s">
        <v>2501</v>
      </c>
      <c r="G1556" s="106" t="s">
        <v>161</v>
      </c>
      <c r="H1556" s="106">
        <v>2</v>
      </c>
      <c r="I1556" s="106" t="s">
        <v>25</v>
      </c>
      <c r="J1556" s="106">
        <v>7116</v>
      </c>
      <c r="K1556" s="106">
        <v>9747</v>
      </c>
      <c r="L1556" s="106">
        <v>6940</v>
      </c>
      <c r="M1556" s="106">
        <v>0.43</v>
      </c>
      <c r="N1556" s="106">
        <v>0.42</v>
      </c>
      <c r="O1556" s="106">
        <v>0.33</v>
      </c>
      <c r="P1556" s="106">
        <v>4314</v>
      </c>
      <c r="Q1556" s="106">
        <v>789.38750000000005</v>
      </c>
      <c r="R1556" s="106">
        <v>8.9174564927446298E-2</v>
      </c>
      <c r="S1556" s="106">
        <v>17042.540537383178</v>
      </c>
      <c r="T1556" s="106">
        <v>17875.272546728971</v>
      </c>
      <c r="U1556" s="106">
        <v>14773.465376010752</v>
      </c>
      <c r="V1556" s="106">
        <v>0.54576039594450831</v>
      </c>
      <c r="W1556" s="106">
        <v>85936.513661202189</v>
      </c>
      <c r="X1556" s="110">
        <v>0.61667115421343188</v>
      </c>
      <c r="Y1556" s="106">
        <v>548.73280231716149</v>
      </c>
      <c r="Z1556" s="106">
        <v>18.595220854453295</v>
      </c>
      <c r="AA1556" s="106">
        <v>52191.854568160146</v>
      </c>
      <c r="AB1556" s="106">
        <v>500.63683142775943</v>
      </c>
      <c r="AC1556" s="106">
        <v>1.9160077913959663</v>
      </c>
      <c r="AD1556" s="106">
        <v>27.844173753160195</v>
      </c>
      <c r="AE1556" s="106">
        <v>104.25092860090797</v>
      </c>
      <c r="AF1556" s="106">
        <v>4.9030135644423968E-2</v>
      </c>
      <c r="AG1556" s="106">
        <v>6419</v>
      </c>
      <c r="AH1556" s="106">
        <v>15578.686799065421</v>
      </c>
      <c r="AI1556" s="106">
        <v>16094.580841121495</v>
      </c>
      <c r="AJ1556" s="106">
        <v>17492.962149532712</v>
      </c>
      <c r="AK1556" s="104">
        <v>16860.191004672899</v>
      </c>
      <c r="AL1556" s="118">
        <v>48508973</v>
      </c>
      <c r="AM1556" s="118">
        <v>11134</v>
      </c>
      <c r="AN1556" s="118">
        <v>252600</v>
      </c>
      <c r="AO1556" s="118">
        <v>2016</v>
      </c>
      <c r="AP1556" s="118">
        <f t="shared" si="24"/>
        <v>697</v>
      </c>
    </row>
    <row r="1557" spans="1:42" ht="12.75">
      <c r="A1557" s="106">
        <v>2018</v>
      </c>
      <c r="B1557" s="106">
        <v>-243780</v>
      </c>
      <c r="C1557" s="106">
        <v>0</v>
      </c>
      <c r="D1557" s="106">
        <v>243780</v>
      </c>
      <c r="E1557" s="106" t="s">
        <v>2502</v>
      </c>
      <c r="F1557" s="106" t="s">
        <v>2503</v>
      </c>
      <c r="G1557" s="106" t="s">
        <v>161</v>
      </c>
      <c r="H1557" s="106">
        <v>1</v>
      </c>
      <c r="I1557" s="106" t="s">
        <v>23</v>
      </c>
      <c r="J1557" s="106">
        <v>9992</v>
      </c>
      <c r="K1557" s="106">
        <v>11898</v>
      </c>
      <c r="L1557" s="106">
        <v>4855</v>
      </c>
      <c r="M1557" s="106">
        <v>0.17</v>
      </c>
      <c r="N1557" s="106">
        <v>0.34</v>
      </c>
      <c r="O1557" s="106">
        <v>0.48</v>
      </c>
      <c r="P1557" s="106">
        <v>6761</v>
      </c>
      <c r="Q1557" s="106">
        <v>3051.0232136898803</v>
      </c>
      <c r="R1557" s="106">
        <v>0.16375396233877779</v>
      </c>
      <c r="S1557" s="106">
        <v>44400.604008770679</v>
      </c>
      <c r="T1557" s="106">
        <v>44751.544473044472</v>
      </c>
      <c r="U1557" s="106">
        <v>24478.877666643704</v>
      </c>
      <c r="V1557" s="106">
        <v>0.63649686021457674</v>
      </c>
      <c r="W1557" s="106">
        <v>112240.95493405371</v>
      </c>
      <c r="X1557" s="110">
        <v>0.6269530613671741</v>
      </c>
      <c r="Y1557" s="106">
        <v>418.92715470609448</v>
      </c>
      <c r="Z1557" s="106">
        <v>15.130905156869817</v>
      </c>
      <c r="AA1557" s="106">
        <v>92455.193909176029</v>
      </c>
      <c r="AB1557" s="106">
        <v>884.13360690465709</v>
      </c>
      <c r="AC1557" s="106">
        <v>1.0816049999120185</v>
      </c>
      <c r="AD1557" s="106">
        <v>28.513860369609855</v>
      </c>
      <c r="AE1557" s="106">
        <v>104.57151858853182</v>
      </c>
      <c r="AF1557" s="106">
        <v>3.7447552259925895E-2</v>
      </c>
      <c r="AG1557" s="106">
        <v>9208</v>
      </c>
      <c r="AH1557" s="106">
        <v>41304.571357071356</v>
      </c>
      <c r="AI1557" s="106">
        <v>43344.087635254305</v>
      </c>
      <c r="AJ1557" s="106">
        <v>47170.801777968445</v>
      </c>
      <c r="AK1557" s="104">
        <v>38639.716335383004</v>
      </c>
      <c r="AL1557" s="118">
        <v>310050562</v>
      </c>
      <c r="AM1557" s="118">
        <v>32132</v>
      </c>
      <c r="AN1557" s="118">
        <v>1161685</v>
      </c>
      <c r="AO1557" s="118">
        <v>7047</v>
      </c>
      <c r="AP1557" s="118">
        <f t="shared" si="24"/>
        <v>784</v>
      </c>
    </row>
    <row r="1558" spans="1:42" ht="12.75">
      <c r="A1558" s="106">
        <v>2018</v>
      </c>
      <c r="B1558" s="106">
        <v>-199412</v>
      </c>
      <c r="C1558" s="106">
        <v>0</v>
      </c>
      <c r="D1558" s="106">
        <v>199412</v>
      </c>
      <c r="E1558" s="106" t="s">
        <v>2504</v>
      </c>
      <c r="F1558" s="106" t="s">
        <v>605</v>
      </c>
      <c r="G1558" s="106" t="s">
        <v>90</v>
      </c>
      <c r="H1558" s="106">
        <v>6</v>
      </c>
      <c r="I1558" s="106" t="s">
        <v>3640</v>
      </c>
      <c r="J1558" s="106">
        <v>33532</v>
      </c>
      <c r="K1558" s="106">
        <v>21651</v>
      </c>
      <c r="L1558" s="106">
        <v>15525</v>
      </c>
      <c r="M1558" s="106">
        <v>0.32</v>
      </c>
      <c r="N1558" s="106">
        <v>0.85</v>
      </c>
      <c r="O1558" s="106">
        <v>0.99</v>
      </c>
      <c r="P1558" s="106">
        <v>23781</v>
      </c>
      <c r="Q1558" s="106">
        <v>11494.155487804877</v>
      </c>
      <c r="R1558" s="106">
        <v>0.48573382033994217</v>
      </c>
      <c r="S1558" s="106">
        <v>31686.18205574913</v>
      </c>
      <c r="T1558" s="106">
        <v>27026.47299651568</v>
      </c>
      <c r="U1558" s="106">
        <v>24735.499128919862</v>
      </c>
      <c r="V1558" s="106">
        <v>0.4919783713070478</v>
      </c>
      <c r="W1558" s="106">
        <v>79481.532526475028</v>
      </c>
      <c r="X1558" s="110">
        <v>0.56443661139963075</v>
      </c>
      <c r="Y1558" s="106">
        <v>354.46570397111913</v>
      </c>
      <c r="Z1558" s="106">
        <v>12.433212996389893</v>
      </c>
      <c r="AA1558" s="106">
        <v>85146.485757121438</v>
      </c>
      <c r="AB1558" s="106">
        <v>867.6205505820526</v>
      </c>
      <c r="AC1558" s="106">
        <v>1.1744465917859239</v>
      </c>
      <c r="AD1558" s="106">
        <v>34.739583333333336</v>
      </c>
      <c r="AE1558" s="106">
        <v>98.137931034482762</v>
      </c>
      <c r="AF1558" s="106">
        <v>0.117978521193427</v>
      </c>
      <c r="AG1558" s="106">
        <v>32302</v>
      </c>
      <c r="AH1558" s="106">
        <v>19314.131533101045</v>
      </c>
      <c r="AI1558" s="106">
        <v>31686.18205574913</v>
      </c>
      <c r="AJ1558" s="106">
        <v>36462.629355400699</v>
      </c>
      <c r="AK1558" s="104">
        <v>24735.499128919862</v>
      </c>
      <c r="AL1558" s="118"/>
      <c r="AM1558" s="118">
        <v>1719</v>
      </c>
      <c r="AN1558" s="118">
        <v>65458</v>
      </c>
      <c r="AO1558" s="118">
        <v>379</v>
      </c>
      <c r="AP1558" s="118">
        <f t="shared" si="24"/>
        <v>1230</v>
      </c>
    </row>
    <row r="1559" spans="1:42" ht="12.75">
      <c r="A1559" s="106">
        <v>2018</v>
      </c>
      <c r="B1559" s="106">
        <v>-167525</v>
      </c>
      <c r="C1559" s="106">
        <v>0</v>
      </c>
      <c r="D1559" s="106">
        <v>167525</v>
      </c>
      <c r="E1559" s="106" t="s">
        <v>2505</v>
      </c>
      <c r="F1559" s="106" t="s">
        <v>1121</v>
      </c>
      <c r="G1559" s="106" t="s">
        <v>150</v>
      </c>
      <c r="H1559" s="106">
        <v>4</v>
      </c>
      <c r="I1559" s="106" t="s">
        <v>24</v>
      </c>
      <c r="J1559" s="106">
        <v>6306</v>
      </c>
      <c r="K1559" s="106">
        <v>12980</v>
      </c>
      <c r="L1559" s="106">
        <v>12621</v>
      </c>
      <c r="M1559" s="106">
        <v>0.54</v>
      </c>
      <c r="N1559" s="106">
        <v>0.39</v>
      </c>
      <c r="O1559" s="106">
        <v>0.04</v>
      </c>
      <c r="P1559" s="106">
        <v>1400</v>
      </c>
      <c r="Q1559" s="106"/>
      <c r="R1559" s="106"/>
      <c r="S1559" s="106">
        <v>10593.009938614441</v>
      </c>
      <c r="T1559" s="106">
        <v>10820.867290266004</v>
      </c>
      <c r="U1559" s="106">
        <v>10350.282958199357</v>
      </c>
      <c r="V1559" s="106">
        <v>0.92349040697160478</v>
      </c>
      <c r="W1559" s="106">
        <v>88117.71531100478</v>
      </c>
      <c r="X1559" s="110">
        <v>0.66333529516180789</v>
      </c>
      <c r="Y1559" s="106">
        <v>641.49374999999998</v>
      </c>
      <c r="Z1559" s="106">
        <v>21.381250000000001</v>
      </c>
      <c r="AA1559" s="106">
        <v>40282.500568828211</v>
      </c>
      <c r="AB1559" s="106">
        <v>344.97917945420357</v>
      </c>
      <c r="AC1559" s="106">
        <v>2.4824675377124663</v>
      </c>
      <c r="AD1559" s="106">
        <v>27.754973160719924</v>
      </c>
      <c r="AE1559" s="106">
        <v>116.7679180887372</v>
      </c>
      <c r="AF1559" s="106">
        <v>6.482306155068672E-2</v>
      </c>
      <c r="AG1559" s="106">
        <v>5496</v>
      </c>
      <c r="AH1559" s="106">
        <v>10295.381467407191</v>
      </c>
      <c r="AI1559" s="106">
        <v>10308.769365682549</v>
      </c>
      <c r="AJ1559" s="106">
        <v>10612.456883952062</v>
      </c>
      <c r="AK1559" s="104">
        <v>10820.866997953815</v>
      </c>
      <c r="AL1559" s="118"/>
      <c r="AM1559" s="118">
        <v>5342</v>
      </c>
      <c r="AN1559" s="118">
        <v>102639</v>
      </c>
      <c r="AO1559" s="118">
        <v>758</v>
      </c>
      <c r="AP1559" s="118">
        <f t="shared" si="24"/>
        <v>810</v>
      </c>
    </row>
    <row r="1560" spans="1:42" ht="12.75">
      <c r="A1560" s="106">
        <v>2018</v>
      </c>
      <c r="B1560" s="106">
        <v>-148131</v>
      </c>
      <c r="C1560" s="106">
        <v>0</v>
      </c>
      <c r="D1560" s="106">
        <v>148131</v>
      </c>
      <c r="E1560" s="106" t="s">
        <v>2506</v>
      </c>
      <c r="F1560" s="106" t="s">
        <v>1121</v>
      </c>
      <c r="G1560" s="106" t="s">
        <v>243</v>
      </c>
      <c r="H1560" s="106">
        <v>6</v>
      </c>
      <c r="I1560" s="106" t="s">
        <v>3640</v>
      </c>
      <c r="J1560" s="106">
        <v>27770</v>
      </c>
      <c r="K1560" s="106">
        <v>18547</v>
      </c>
      <c r="L1560" s="106">
        <v>10905</v>
      </c>
      <c r="M1560" s="106">
        <v>0.39</v>
      </c>
      <c r="N1560" s="106">
        <v>0.9</v>
      </c>
      <c r="O1560" s="106">
        <v>1</v>
      </c>
      <c r="P1560" s="106">
        <v>18362</v>
      </c>
      <c r="Q1560" s="106">
        <v>14288.740191804707</v>
      </c>
      <c r="R1560" s="106">
        <v>0.64471374721975494</v>
      </c>
      <c r="S1560" s="106">
        <v>16468.480383609414</v>
      </c>
      <c r="T1560" s="106">
        <v>20077.645161290322</v>
      </c>
      <c r="U1560" s="106">
        <v>11678.865736704447</v>
      </c>
      <c r="V1560" s="106">
        <v>0.6742248365683241</v>
      </c>
      <c r="W1560" s="106">
        <v>58281.425101214576</v>
      </c>
      <c r="X1560" s="110">
        <v>0.4167347002758558</v>
      </c>
      <c r="Y1560" s="106">
        <v>486.62019230769232</v>
      </c>
      <c r="Z1560" s="106">
        <v>16.543269230769234</v>
      </c>
      <c r="AA1560" s="106">
        <v>53157.376984126982</v>
      </c>
      <c r="AB1560" s="106">
        <v>397.03781973383917</v>
      </c>
      <c r="AC1560" s="106">
        <v>1.8812064415793208</v>
      </c>
      <c r="AD1560" s="106">
        <v>26.222684703433924</v>
      </c>
      <c r="AE1560" s="106">
        <v>133.88492063492063</v>
      </c>
      <c r="AF1560" s="106">
        <v>-0.11936030063479454</v>
      </c>
      <c r="AG1560" s="106">
        <v>26540</v>
      </c>
      <c r="AH1560" s="106">
        <v>13415.912816041848</v>
      </c>
      <c r="AI1560" s="106">
        <v>16468.480383609414</v>
      </c>
      <c r="AJ1560" s="106">
        <v>17277.91891891892</v>
      </c>
      <c r="AK1560" s="104">
        <v>11678.865736704447</v>
      </c>
      <c r="AL1560" s="118"/>
      <c r="AM1560" s="118">
        <v>989</v>
      </c>
      <c r="AN1560" s="118">
        <v>33739</v>
      </c>
      <c r="AO1560" s="118">
        <v>222</v>
      </c>
      <c r="AP1560" s="118">
        <f t="shared" si="24"/>
        <v>1230</v>
      </c>
    </row>
    <row r="1561" spans="1:42" ht="12.75">
      <c r="A1561" s="106">
        <v>2018</v>
      </c>
      <c r="B1561" s="106">
        <v>-130217</v>
      </c>
      <c r="C1561" s="106">
        <v>0</v>
      </c>
      <c r="D1561" s="106">
        <v>130217</v>
      </c>
      <c r="E1561" s="106" t="s">
        <v>2507</v>
      </c>
      <c r="F1561" s="106" t="s">
        <v>2508</v>
      </c>
      <c r="G1561" s="106" t="s">
        <v>99</v>
      </c>
      <c r="H1561" s="106">
        <v>4</v>
      </c>
      <c r="I1561" s="106" t="s">
        <v>24</v>
      </c>
      <c r="J1561" s="106">
        <v>4306</v>
      </c>
      <c r="K1561" s="106">
        <v>7864</v>
      </c>
      <c r="L1561" s="106">
        <v>7375</v>
      </c>
      <c r="M1561" s="106">
        <v>0.51</v>
      </c>
      <c r="N1561" s="106">
        <v>0</v>
      </c>
      <c r="O1561" s="106">
        <v>0.6</v>
      </c>
      <c r="P1561" s="106">
        <v>620</v>
      </c>
      <c r="Q1561" s="106">
        <v>1048.0831234256927</v>
      </c>
      <c r="R1561" s="106">
        <v>0.15319244974309856</v>
      </c>
      <c r="S1561" s="106">
        <v>21636.154911838792</v>
      </c>
      <c r="T1561" s="106">
        <v>23588.400503778339</v>
      </c>
      <c r="U1561" s="106">
        <v>18701.815694122761</v>
      </c>
      <c r="V1561" s="106">
        <v>0.30978423713314857</v>
      </c>
      <c r="W1561" s="106">
        <v>115730.4298245614</v>
      </c>
      <c r="X1561" s="110">
        <v>0.70442282875020223</v>
      </c>
      <c r="Y1561" s="106">
        <v>422.76923076923083</v>
      </c>
      <c r="Z1561" s="106">
        <v>14.094674556213018</v>
      </c>
      <c r="AA1561" s="106">
        <v>57779.150432425959</v>
      </c>
      <c r="AB1561" s="106">
        <v>623.4985581597864</v>
      </c>
      <c r="AC1561" s="106">
        <v>1.7307281130232659</v>
      </c>
      <c r="AD1561" s="106">
        <v>30.342384887839437</v>
      </c>
      <c r="AE1561" s="106">
        <v>92.669260700389103</v>
      </c>
      <c r="AF1561" s="106">
        <v>-1.4061908072775171E-2</v>
      </c>
      <c r="AG1561" s="106">
        <v>3816</v>
      </c>
      <c r="AH1561" s="106">
        <v>20923.498740554158</v>
      </c>
      <c r="AI1561" s="106">
        <v>21162.969773299748</v>
      </c>
      <c r="AJ1561" s="106">
        <v>21781.518891687658</v>
      </c>
      <c r="AK1561" s="104">
        <v>19815.968513853903</v>
      </c>
      <c r="AL1561" s="118">
        <v>10976209</v>
      </c>
      <c r="AM1561" s="118">
        <v>1524</v>
      </c>
      <c r="AN1561" s="118">
        <v>23816</v>
      </c>
      <c r="AO1561" s="118">
        <v>172</v>
      </c>
      <c r="AP1561" s="118">
        <f t="shared" si="24"/>
        <v>490</v>
      </c>
    </row>
    <row r="1562" spans="1:42" ht="12.75">
      <c r="A1562" s="106">
        <v>2018</v>
      </c>
      <c r="B1562" s="106">
        <v>-130226</v>
      </c>
      <c r="C1562" s="106">
        <v>0</v>
      </c>
      <c r="D1562" s="106">
        <v>130226</v>
      </c>
      <c r="E1562" s="106" t="s">
        <v>2509</v>
      </c>
      <c r="F1562" s="106" t="s">
        <v>2510</v>
      </c>
      <c r="G1562" s="106" t="s">
        <v>99</v>
      </c>
      <c r="H1562" s="106">
        <v>6</v>
      </c>
      <c r="I1562" s="106" t="s">
        <v>3640</v>
      </c>
      <c r="J1562" s="106">
        <v>46780</v>
      </c>
      <c r="K1562" s="106">
        <v>40208</v>
      </c>
      <c r="L1562" s="106">
        <v>32775</v>
      </c>
      <c r="M1562" s="106">
        <v>0.17</v>
      </c>
      <c r="N1562" s="106">
        <v>0.67</v>
      </c>
      <c r="O1562" s="106">
        <v>0.98</v>
      </c>
      <c r="P1562" s="106">
        <v>21984</v>
      </c>
      <c r="Q1562" s="106">
        <v>13435.401409086804</v>
      </c>
      <c r="R1562" s="106">
        <v>0.3555924031948543</v>
      </c>
      <c r="S1562" s="106">
        <v>32925.550447114081</v>
      </c>
      <c r="T1562" s="106">
        <v>29739.009303585946</v>
      </c>
      <c r="U1562" s="106">
        <v>22529.773846232172</v>
      </c>
      <c r="V1562" s="106">
        <v>1.0806921366205315</v>
      </c>
      <c r="W1562" s="106">
        <v>120561.83351212186</v>
      </c>
      <c r="X1562" s="110">
        <v>0.56892411789395136</v>
      </c>
      <c r="Y1562" s="106">
        <v>447.36850152905197</v>
      </c>
      <c r="Z1562" s="106">
        <v>16.928134556574925</v>
      </c>
      <c r="AA1562" s="106">
        <v>92517.480063663344</v>
      </c>
      <c r="AB1562" s="106">
        <v>852.51206085069805</v>
      </c>
      <c r="AC1562" s="106">
        <v>1.0808768238303481</v>
      </c>
      <c r="AD1562" s="106">
        <v>29.409839642194829</v>
      </c>
      <c r="AE1562" s="106">
        <v>108.52336795252225</v>
      </c>
      <c r="AF1562" s="106">
        <v>8.9273654723093371E-2</v>
      </c>
      <c r="AG1562" s="106">
        <v>44420</v>
      </c>
      <c r="AH1562" s="106">
        <v>31765.897570228524</v>
      </c>
      <c r="AI1562" s="106">
        <v>32784.411164303136</v>
      </c>
      <c r="AJ1562" s="106">
        <v>37079.646915364465</v>
      </c>
      <c r="AK1562" s="104">
        <v>23073.885376208113</v>
      </c>
      <c r="AM1562" s="118">
        <v>7305</v>
      </c>
      <c r="AN1562" s="118">
        <v>292579</v>
      </c>
      <c r="AO1562" s="118">
        <v>1543</v>
      </c>
      <c r="AP1562" s="118">
        <f t="shared" si="24"/>
        <v>2360</v>
      </c>
    </row>
    <row r="1563" spans="1:42" ht="12.75">
      <c r="A1563" s="106">
        <v>2018</v>
      </c>
      <c r="B1563" s="106">
        <v>-167534</v>
      </c>
      <c r="C1563" s="106">
        <v>0</v>
      </c>
      <c r="D1563" s="106">
        <v>167534</v>
      </c>
      <c r="E1563" s="106" t="s">
        <v>2511</v>
      </c>
      <c r="F1563" s="106" t="s">
        <v>225</v>
      </c>
      <c r="G1563" s="106" t="s">
        <v>150</v>
      </c>
      <c r="H1563" s="106">
        <v>4</v>
      </c>
      <c r="I1563" s="106" t="s">
        <v>24</v>
      </c>
      <c r="J1563" s="106">
        <v>5538</v>
      </c>
      <c r="K1563" s="106">
        <v>7254</v>
      </c>
      <c r="L1563" s="106">
        <v>6110</v>
      </c>
      <c r="M1563" s="106">
        <v>0.56999999999999995</v>
      </c>
      <c r="N1563" s="106">
        <v>0.5</v>
      </c>
      <c r="O1563" s="106">
        <v>0.12</v>
      </c>
      <c r="P1563" s="106">
        <v>1460</v>
      </c>
      <c r="Q1563" s="106">
        <v>442.74200206398348</v>
      </c>
      <c r="R1563" s="106">
        <v>5.4208037300525487E-2</v>
      </c>
      <c r="S1563" s="106">
        <v>15007.967182662538</v>
      </c>
      <c r="T1563" s="106">
        <v>15334.854076367388</v>
      </c>
      <c r="U1563" s="106">
        <v>15046.392051212892</v>
      </c>
      <c r="V1563" s="106">
        <v>0.51339340662930077</v>
      </c>
      <c r="W1563" s="106">
        <v>75946.514605647521</v>
      </c>
      <c r="X1563" s="110">
        <v>0.69986391711749463</v>
      </c>
      <c r="Y1563" s="106">
        <v>543.67705735660854</v>
      </c>
      <c r="Z1563" s="106">
        <v>18.123441396508728</v>
      </c>
      <c r="AA1563" s="106">
        <v>47001.785614523826</v>
      </c>
      <c r="AB1563" s="106">
        <v>501.57055715188523</v>
      </c>
      <c r="AC1563" s="106">
        <v>2.1275787439254095</v>
      </c>
      <c r="AD1563" s="106">
        <v>36.314680402715993</v>
      </c>
      <c r="AE1563" s="106">
        <v>93.709219858156033</v>
      </c>
      <c r="AF1563" s="106">
        <v>2.8640399144841235E-3</v>
      </c>
      <c r="AG1563" s="106">
        <v>576</v>
      </c>
      <c r="AH1563" s="106">
        <v>15501.304643962849</v>
      </c>
      <c r="AI1563" s="106">
        <v>15581.29060887513</v>
      </c>
      <c r="AJ1563" s="106">
        <v>15027.701341589267</v>
      </c>
      <c r="AK1563" s="104">
        <v>15263.846646026832</v>
      </c>
      <c r="AL1563" s="118">
        <v>28349318</v>
      </c>
      <c r="AM1563" s="118">
        <v>7368</v>
      </c>
      <c r="AN1563" s="118">
        <v>145343</v>
      </c>
      <c r="AO1563" s="118">
        <v>988</v>
      </c>
      <c r="AP1563" s="118">
        <f t="shared" si="24"/>
        <v>4962</v>
      </c>
    </row>
    <row r="1564" spans="1:42" ht="12.75">
      <c r="A1564" s="106">
        <v>2018</v>
      </c>
      <c r="B1564" s="106">
        <v>-233277</v>
      </c>
      <c r="C1564" s="106">
        <v>0</v>
      </c>
      <c r="D1564" s="106">
        <v>233277</v>
      </c>
      <c r="E1564" s="106" t="s">
        <v>2512</v>
      </c>
      <c r="F1564" s="106" t="s">
        <v>2513</v>
      </c>
      <c r="G1564" s="106" t="s">
        <v>261</v>
      </c>
      <c r="H1564" s="106">
        <v>2</v>
      </c>
      <c r="I1564" s="106" t="s">
        <v>25</v>
      </c>
      <c r="J1564" s="106">
        <v>10627</v>
      </c>
      <c r="K1564" s="106">
        <v>15636</v>
      </c>
      <c r="L1564" s="106">
        <v>13309</v>
      </c>
      <c r="M1564" s="106">
        <v>0.41</v>
      </c>
      <c r="N1564" s="106">
        <v>0.72</v>
      </c>
      <c r="O1564" s="106">
        <v>0.28999999999999998</v>
      </c>
      <c r="P1564" s="106">
        <v>5336</v>
      </c>
      <c r="Q1564" s="106">
        <v>878.90238779571087</v>
      </c>
      <c r="R1564" s="106">
        <v>0.10386557209607936</v>
      </c>
      <c r="S1564" s="106">
        <v>22885.151558699978</v>
      </c>
      <c r="T1564" s="106">
        <v>24385.239995578155</v>
      </c>
      <c r="U1564" s="106">
        <v>16177.583772291566</v>
      </c>
      <c r="V1564" s="106">
        <v>0.46873623987900093</v>
      </c>
      <c r="W1564" s="106">
        <v>83717.801002147462</v>
      </c>
      <c r="X1564" s="110">
        <v>0.53018886296449363</v>
      </c>
      <c r="Y1564" s="106">
        <v>497.41084788029929</v>
      </c>
      <c r="Z1564" s="106">
        <v>16.918952618453865</v>
      </c>
      <c r="AA1564" s="106">
        <v>63737.989026197523</v>
      </c>
      <c r="AB1564" s="106">
        <v>550.26498615956257</v>
      </c>
      <c r="AC1564" s="106">
        <v>1.56892304774313</v>
      </c>
      <c r="AD1564" s="106">
        <v>25.760125659149558</v>
      </c>
      <c r="AE1564" s="106">
        <v>115.83144599303135</v>
      </c>
      <c r="AF1564" s="106">
        <v>7.0246354171136938E-3</v>
      </c>
      <c r="AG1564" s="106">
        <v>7407</v>
      </c>
      <c r="AH1564" s="106">
        <v>23150.053062126906</v>
      </c>
      <c r="AI1564" s="106">
        <v>23435.372540349326</v>
      </c>
      <c r="AJ1564" s="106">
        <v>23023.608445721868</v>
      </c>
      <c r="AK1564" s="104">
        <v>17520.944063674553</v>
      </c>
      <c r="AL1564" s="118">
        <v>61270010</v>
      </c>
      <c r="AM1564" s="118">
        <v>8418</v>
      </c>
      <c r="AN1564" s="118">
        <v>265949</v>
      </c>
      <c r="AO1564" s="118">
        <v>1910</v>
      </c>
      <c r="AP1564" s="118">
        <f t="shared" si="24"/>
        <v>3220</v>
      </c>
    </row>
    <row r="1565" spans="1:42" ht="12.75">
      <c r="A1565" s="106">
        <v>2018</v>
      </c>
      <c r="B1565" s="106">
        <v>-174604</v>
      </c>
      <c r="C1565" s="106">
        <v>0</v>
      </c>
      <c r="D1565" s="106">
        <v>174604</v>
      </c>
      <c r="E1565" s="106" t="s">
        <v>2514</v>
      </c>
      <c r="F1565" s="106" t="s">
        <v>2515</v>
      </c>
      <c r="G1565" s="106" t="s">
        <v>113</v>
      </c>
      <c r="H1565" s="106">
        <v>4</v>
      </c>
      <c r="I1565" s="106" t="s">
        <v>24</v>
      </c>
      <c r="J1565" s="106">
        <v>5325</v>
      </c>
      <c r="K1565" s="106">
        <v>9085</v>
      </c>
      <c r="L1565" s="106">
        <v>7856</v>
      </c>
      <c r="M1565" s="106">
        <v>0.6</v>
      </c>
      <c r="N1565" s="106">
        <v>0.5</v>
      </c>
      <c r="O1565" s="106">
        <v>0.03</v>
      </c>
      <c r="P1565" s="106">
        <v>1228</v>
      </c>
      <c r="Q1565" s="106">
        <v>8.4745762711864412</v>
      </c>
      <c r="R1565" s="106">
        <v>1.6542597187758478E-3</v>
      </c>
      <c r="S1565" s="106">
        <v>18105.932203389832</v>
      </c>
      <c r="T1565" s="106">
        <v>20360.169491525423</v>
      </c>
      <c r="U1565" s="106">
        <v>15257.000119848863</v>
      </c>
      <c r="V1565" s="106">
        <v>0.3352170636092045</v>
      </c>
      <c r="W1565" s="106">
        <v>131041.66666666667</v>
      </c>
      <c r="X1565" s="110">
        <v>0.65452653485952128</v>
      </c>
      <c r="Y1565" s="106">
        <v>573.40540540540542</v>
      </c>
      <c r="Z1565" s="106">
        <v>19.135135135135137</v>
      </c>
      <c r="AA1565" s="106">
        <v>56260.187941942684</v>
      </c>
      <c r="AB1565" s="106">
        <v>509.14197232527317</v>
      </c>
      <c r="AC1565" s="106">
        <v>1.7774558468093693</v>
      </c>
      <c r="AD1565" s="106">
        <v>28.318584070796462</v>
      </c>
      <c r="AE1565" s="106">
        <v>110.5</v>
      </c>
      <c r="AF1565" s="106">
        <v>7.1223434807581851E-2</v>
      </c>
      <c r="AG1565" s="106">
        <v>4729</v>
      </c>
      <c r="AH1565" s="106">
        <v>18076.271186440677</v>
      </c>
      <c r="AI1565" s="106">
        <v>18394.067796610168</v>
      </c>
      <c r="AJ1565" s="106">
        <v>18207.627118644068</v>
      </c>
      <c r="AK1565" s="104">
        <v>15974.576271186441</v>
      </c>
      <c r="AL1565" s="118">
        <v>1918000</v>
      </c>
      <c r="AM1565" s="118">
        <v>269</v>
      </c>
      <c r="AN1565" s="118">
        <v>7072</v>
      </c>
      <c r="AO1565" s="118">
        <v>60</v>
      </c>
      <c r="AP1565" s="118">
        <f t="shared" si="24"/>
        <v>596</v>
      </c>
    </row>
    <row r="1566" spans="1:42" ht="12.75">
      <c r="A1566" s="106">
        <v>2018</v>
      </c>
      <c r="B1566" s="106">
        <v>-186201</v>
      </c>
      <c r="C1566" s="106">
        <v>0</v>
      </c>
      <c r="D1566" s="106">
        <v>186201</v>
      </c>
      <c r="E1566" s="106" t="s">
        <v>2516</v>
      </c>
      <c r="F1566" s="106" t="s">
        <v>2517</v>
      </c>
      <c r="G1566" s="106" t="s">
        <v>234</v>
      </c>
      <c r="H1566" s="106">
        <v>2</v>
      </c>
      <c r="I1566" s="106" t="s">
        <v>25</v>
      </c>
      <c r="J1566" s="106">
        <v>14080</v>
      </c>
      <c r="K1566" s="106">
        <v>16528</v>
      </c>
      <c r="L1566" s="106">
        <v>10838</v>
      </c>
      <c r="M1566" s="106">
        <v>0.28999999999999998</v>
      </c>
      <c r="N1566" s="106">
        <v>0.6</v>
      </c>
      <c r="O1566" s="106">
        <v>0.37</v>
      </c>
      <c r="P1566" s="106">
        <v>9276</v>
      </c>
      <c r="Q1566" s="106">
        <v>1976.4593062041361</v>
      </c>
      <c r="R1566" s="106">
        <v>0.14572568646016501</v>
      </c>
      <c r="S1566" s="106">
        <v>27722.314876584391</v>
      </c>
      <c r="T1566" s="106">
        <v>28503.335557038026</v>
      </c>
      <c r="U1566" s="106">
        <v>20891.450523332725</v>
      </c>
      <c r="V1566" s="106">
        <v>0.55460083688407813</v>
      </c>
      <c r="W1566" s="106">
        <v>111043.27535002121</v>
      </c>
      <c r="X1566" s="110">
        <v>0.5104735936713749</v>
      </c>
      <c r="Y1566" s="106">
        <v>597.58585858585855</v>
      </c>
      <c r="Z1566" s="106">
        <v>20.188552188552187</v>
      </c>
      <c r="AA1566" s="106">
        <v>80092.798809400905</v>
      </c>
      <c r="AB1566" s="106">
        <v>705.78668006458656</v>
      </c>
      <c r="AC1566" s="106">
        <v>1.2485516986111673</v>
      </c>
      <c r="AD1566" s="106">
        <v>28.670944087992666</v>
      </c>
      <c r="AE1566" s="106">
        <v>113.48017902813299</v>
      </c>
      <c r="AF1566" s="106">
        <v>6.6774999658614524E-3</v>
      </c>
      <c r="AG1566" s="106">
        <v>11640</v>
      </c>
      <c r="AH1566" s="106">
        <v>28794.93962641761</v>
      </c>
      <c r="AI1566" s="106">
        <v>28794.93962641761</v>
      </c>
      <c r="AJ1566" s="106">
        <v>27808.372248165444</v>
      </c>
      <c r="AK1566" s="104">
        <v>21052.701801200801</v>
      </c>
      <c r="AL1566" s="118">
        <v>52699000</v>
      </c>
      <c r="AM1566" s="118">
        <v>5618</v>
      </c>
      <c r="AN1566" s="118">
        <v>177483</v>
      </c>
      <c r="AO1566" s="118">
        <v>1333</v>
      </c>
      <c r="AP1566" s="118">
        <f t="shared" si="24"/>
        <v>2440</v>
      </c>
    </row>
    <row r="1567" spans="1:42" ht="12.75">
      <c r="A1567" s="106">
        <v>2018</v>
      </c>
      <c r="B1567" s="106">
        <v>-233301</v>
      </c>
      <c r="C1567" s="106">
        <v>0</v>
      </c>
      <c r="D1567" s="106">
        <v>233301</v>
      </c>
      <c r="E1567" s="106" t="s">
        <v>2518</v>
      </c>
      <c r="F1567" s="106" t="s">
        <v>685</v>
      </c>
      <c r="G1567" s="106" t="s">
        <v>261</v>
      </c>
      <c r="H1567" s="106">
        <v>7</v>
      </c>
      <c r="I1567" s="106" t="s">
        <v>3641</v>
      </c>
      <c r="J1567" s="106">
        <v>38155</v>
      </c>
      <c r="K1567" s="106">
        <v>25988</v>
      </c>
      <c r="L1567" s="106">
        <v>19871</v>
      </c>
      <c r="M1567" s="106">
        <v>0.45</v>
      </c>
      <c r="N1567" s="106">
        <v>0.8</v>
      </c>
      <c r="O1567" s="106">
        <v>1</v>
      </c>
      <c r="P1567" s="106">
        <v>23975</v>
      </c>
      <c r="Q1567" s="106">
        <v>21467.740579710146</v>
      </c>
      <c r="R1567" s="106">
        <v>0.61737457382571115</v>
      </c>
      <c r="S1567" s="106">
        <v>33581.484057971014</v>
      </c>
      <c r="T1567" s="106">
        <v>44273.927536231888</v>
      </c>
      <c r="U1567" s="106">
        <v>37618.547826086957</v>
      </c>
      <c r="V1567" s="106">
        <v>0.35367910171354727</v>
      </c>
      <c r="W1567" s="106">
        <v>68962.960832313343</v>
      </c>
      <c r="X1567" s="110">
        <v>0.61477975882033498</v>
      </c>
      <c r="Y1567" s="106">
        <v>288.21028037383178</v>
      </c>
      <c r="Z1567" s="106">
        <v>9.6728971962616832</v>
      </c>
      <c r="AA1567" s="106">
        <v>160227.14814814815</v>
      </c>
      <c r="AB1567" s="106">
        <v>1262.5515832482124</v>
      </c>
      <c r="AC1567" s="106">
        <v>0.62411396043533574</v>
      </c>
      <c r="AD1567" s="106">
        <v>24.14307004470939</v>
      </c>
      <c r="AE1567" s="106">
        <v>126.9074074074074</v>
      </c>
      <c r="AF1567" s="106">
        <v>4.1601145937613014E-2</v>
      </c>
      <c r="AG1567" s="106">
        <v>37540</v>
      </c>
      <c r="AH1567" s="106">
        <v>24568.72463768116</v>
      </c>
      <c r="AI1567" s="106">
        <v>33922.975362318837</v>
      </c>
      <c r="AJ1567" s="106">
        <v>56006.804347826088</v>
      </c>
      <c r="AK1567" s="104">
        <v>37618.547826086957</v>
      </c>
      <c r="AM1567" s="118">
        <v>663</v>
      </c>
      <c r="AN1567" s="118">
        <v>20559</v>
      </c>
      <c r="AO1567" s="118">
        <v>148</v>
      </c>
      <c r="AP1567" s="118">
        <f t="shared" si="24"/>
        <v>615</v>
      </c>
    </row>
    <row r="1568" spans="1:42" ht="12.75">
      <c r="A1568" s="106">
        <v>2018</v>
      </c>
      <c r="B1568" s="106">
        <v>-199421</v>
      </c>
      <c r="C1568" s="106">
        <v>0</v>
      </c>
      <c r="D1568" s="106">
        <v>199421</v>
      </c>
      <c r="E1568" s="106" t="s">
        <v>2519</v>
      </c>
      <c r="F1568" s="106" t="s">
        <v>2520</v>
      </c>
      <c r="G1568" s="106" t="s">
        <v>90</v>
      </c>
      <c r="H1568" s="106">
        <v>4</v>
      </c>
      <c r="I1568" s="106" t="s">
        <v>24</v>
      </c>
      <c r="J1568" s="106">
        <v>2373</v>
      </c>
      <c r="K1568" s="106">
        <v>6041</v>
      </c>
      <c r="L1568" s="106">
        <v>4590</v>
      </c>
      <c r="M1568" s="106">
        <v>0.62</v>
      </c>
      <c r="N1568" s="106">
        <v>0.01</v>
      </c>
      <c r="O1568" s="106">
        <v>0.17</v>
      </c>
      <c r="P1568" s="106">
        <v>876</v>
      </c>
      <c r="Q1568" s="106">
        <v>121.60922063666301</v>
      </c>
      <c r="R1568" s="106">
        <v>5.8779305159915293E-2</v>
      </c>
      <c r="S1568" s="106">
        <v>14326.038968166849</v>
      </c>
      <c r="T1568" s="106">
        <v>15886.604829857301</v>
      </c>
      <c r="U1568" s="106">
        <v>10897.88199780461</v>
      </c>
      <c r="V1568" s="106">
        <v>0.17868636898145498</v>
      </c>
      <c r="W1568" s="106">
        <v>43573.822014051519</v>
      </c>
      <c r="X1568" s="110">
        <v>0.64279733072557244</v>
      </c>
      <c r="Y1568" s="106">
        <v>264.47903225806448</v>
      </c>
      <c r="Z1568" s="106">
        <v>8.816129032258063</v>
      </c>
      <c r="AA1568" s="106">
        <v>35584.12365591398</v>
      </c>
      <c r="AB1568" s="106">
        <v>363.26937924221079</v>
      </c>
      <c r="AC1568" s="106">
        <v>2.8102420328505207</v>
      </c>
      <c r="AD1568" s="106">
        <v>34.962406015037594</v>
      </c>
      <c r="AE1568" s="106">
        <v>97.95519713261649</v>
      </c>
      <c r="AF1568" s="106">
        <v>2.3180118193703976E-2</v>
      </c>
      <c r="AG1568" s="106">
        <v>2280</v>
      </c>
      <c r="AH1568" s="106">
        <v>12742.838090010977</v>
      </c>
      <c r="AI1568" s="106">
        <v>12981.666300768386</v>
      </c>
      <c r="AJ1568" s="106">
        <v>14337.387486278814</v>
      </c>
      <c r="AK1568" s="104">
        <v>12537.914379802414</v>
      </c>
      <c r="AL1568" s="118">
        <v>16197692</v>
      </c>
      <c r="AM1568" s="118">
        <v>2747</v>
      </c>
      <c r="AN1568" s="118">
        <v>54659</v>
      </c>
      <c r="AO1568" s="118">
        <v>432</v>
      </c>
      <c r="AP1568" s="118">
        <f t="shared" si="24"/>
        <v>93</v>
      </c>
    </row>
    <row r="1569" spans="1:42" ht="12.75">
      <c r="A1569" s="106">
        <v>2018</v>
      </c>
      <c r="B1569" s="106">
        <v>-233295</v>
      </c>
      <c r="C1569" s="106">
        <v>0</v>
      </c>
      <c r="D1569" s="106">
        <v>233295</v>
      </c>
      <c r="E1569" s="106" t="s">
        <v>2521</v>
      </c>
      <c r="F1569" s="106" t="s">
        <v>220</v>
      </c>
      <c r="G1569" s="106" t="s">
        <v>261</v>
      </c>
      <c r="H1569" s="106">
        <v>7</v>
      </c>
      <c r="I1569" s="106" t="s">
        <v>3641</v>
      </c>
      <c r="J1569" s="106">
        <v>40000</v>
      </c>
      <c r="K1569" s="106">
        <v>27275</v>
      </c>
      <c r="L1569" s="106">
        <v>21586</v>
      </c>
      <c r="M1569" s="106">
        <v>0.22</v>
      </c>
      <c r="N1569" s="106">
        <v>0.68</v>
      </c>
      <c r="O1569" s="106">
        <v>1</v>
      </c>
      <c r="P1569" s="106">
        <v>22789</v>
      </c>
      <c r="Q1569" s="106">
        <v>21270.826268241835</v>
      </c>
      <c r="R1569" s="106">
        <v>0.51461706449469113</v>
      </c>
      <c r="S1569" s="106">
        <v>66804.687282835308</v>
      </c>
      <c r="T1569" s="106">
        <v>36784.88533703961</v>
      </c>
      <c r="U1569" s="106">
        <v>29748.594162612924</v>
      </c>
      <c r="V1569" s="106">
        <v>0.67440104445344118</v>
      </c>
      <c r="W1569" s="106">
        <v>79269.243589743593</v>
      </c>
      <c r="X1569" s="110">
        <v>0.58403533115638595</v>
      </c>
      <c r="Y1569" s="106">
        <v>331.13554987212274</v>
      </c>
      <c r="Z1569" s="106">
        <v>11.040920716112531</v>
      </c>
      <c r="AA1569" s="106">
        <v>133775.70937500001</v>
      </c>
      <c r="AB1569" s="106">
        <v>991.8955234255526</v>
      </c>
      <c r="AC1569" s="106">
        <v>0.74751986341317056</v>
      </c>
      <c r="AD1569" s="106">
        <v>22.253129346314328</v>
      </c>
      <c r="AE1569" s="106">
        <v>134.86875000000001</v>
      </c>
      <c r="AF1569" s="106">
        <v>0.26267514950540771</v>
      </c>
      <c r="AG1569" s="106">
        <v>38750</v>
      </c>
      <c r="AH1569" s="106">
        <v>31169.045170257123</v>
      </c>
      <c r="AI1569" s="106">
        <v>69225.840166782495</v>
      </c>
      <c r="AJ1569" s="106">
        <v>76804.705350938151</v>
      </c>
      <c r="AK1569" s="104">
        <v>29748.594162612924</v>
      </c>
      <c r="AM1569" s="118">
        <v>1453</v>
      </c>
      <c r="AN1569" s="118">
        <v>43158</v>
      </c>
      <c r="AO1569" s="118">
        <v>320</v>
      </c>
      <c r="AP1569" s="118">
        <f t="shared" si="24"/>
        <v>1250</v>
      </c>
    </row>
    <row r="1570" spans="1:42" ht="12.75">
      <c r="A1570" s="106">
        <v>2018</v>
      </c>
      <c r="B1570" s="106">
        <v>-227687</v>
      </c>
      <c r="C1570" s="106">
        <v>0</v>
      </c>
      <c r="D1570" s="106">
        <v>227687</v>
      </c>
      <c r="E1570" s="106" t="s">
        <v>2522</v>
      </c>
      <c r="F1570" s="106" t="s">
        <v>2523</v>
      </c>
      <c r="G1570" s="106" t="s">
        <v>60</v>
      </c>
      <c r="H1570" s="106">
        <v>4</v>
      </c>
      <c r="I1570" s="106" t="s">
        <v>24</v>
      </c>
      <c r="J1570" s="106">
        <v>3065</v>
      </c>
      <c r="K1570" s="106">
        <v>5794</v>
      </c>
      <c r="L1570" s="106">
        <v>5384</v>
      </c>
      <c r="M1570" s="106">
        <v>0.47</v>
      </c>
      <c r="N1570" s="106">
        <v>0.23</v>
      </c>
      <c r="O1570" s="106">
        <v>0.3</v>
      </c>
      <c r="P1570" s="106">
        <v>5226</v>
      </c>
      <c r="Q1570" s="106">
        <v>1368.3213135866065</v>
      </c>
      <c r="R1570" s="106">
        <v>0.25694643115816296</v>
      </c>
      <c r="S1570" s="106">
        <v>10593.451384417256</v>
      </c>
      <c r="T1570" s="106">
        <v>9997.9620090148092</v>
      </c>
      <c r="U1570" s="106">
        <v>6601.8622021893107</v>
      </c>
      <c r="V1570" s="106">
        <v>0.59937575419216726</v>
      </c>
      <c r="W1570" s="106">
        <v>49423.363083164295</v>
      </c>
      <c r="X1570" s="110">
        <v>0.5230883177415101</v>
      </c>
      <c r="Y1570" s="106">
        <v>554.46428571428567</v>
      </c>
      <c r="Z1570" s="106">
        <v>18.488095238095237</v>
      </c>
      <c r="AA1570" s="106">
        <v>25890.636363636364</v>
      </c>
      <c r="AB1570" s="106">
        <v>220.13294685990337</v>
      </c>
      <c r="AC1570" s="106">
        <v>3.8624002359575416</v>
      </c>
      <c r="AD1570" s="106">
        <v>26.523777628935029</v>
      </c>
      <c r="AE1570" s="106">
        <v>117.61363636363636</v>
      </c>
      <c r="AF1570" s="106">
        <v>0.14254051184576366</v>
      </c>
      <c r="AG1570" s="106">
        <v>1500</v>
      </c>
      <c r="AH1570" s="106">
        <v>9872.1384417256922</v>
      </c>
      <c r="AI1570" s="106">
        <v>10201.88216355441</v>
      </c>
      <c r="AJ1570" s="106">
        <v>10724.310367031552</v>
      </c>
      <c r="AK1570" s="104">
        <v>7123.1049581455245</v>
      </c>
      <c r="AL1570" s="118">
        <v>5254526</v>
      </c>
      <c r="AM1570" s="118">
        <v>2412</v>
      </c>
      <c r="AN1570" s="118">
        <v>46575</v>
      </c>
      <c r="AO1570" s="118">
        <v>244</v>
      </c>
      <c r="AP1570" s="118">
        <f t="shared" si="24"/>
        <v>1565</v>
      </c>
    </row>
    <row r="1571" spans="1:42" ht="12.75">
      <c r="A1571" s="106">
        <v>2018</v>
      </c>
      <c r="B1571" s="106">
        <v>-178891</v>
      </c>
      <c r="C1571" s="106">
        <v>0</v>
      </c>
      <c r="D1571" s="106">
        <v>178891</v>
      </c>
      <c r="E1571" s="106" t="s">
        <v>2524</v>
      </c>
      <c r="F1571" s="106" t="s">
        <v>1259</v>
      </c>
      <c r="G1571" s="106" t="s">
        <v>264</v>
      </c>
      <c r="H1571" s="106">
        <v>7</v>
      </c>
      <c r="I1571" s="106" t="s">
        <v>3641</v>
      </c>
      <c r="J1571" s="106">
        <v>14457</v>
      </c>
      <c r="K1571" s="106">
        <v>15291</v>
      </c>
      <c r="L1571" s="106">
        <v>14447</v>
      </c>
      <c r="M1571" s="106">
        <v>0.46</v>
      </c>
      <c r="N1571" s="106">
        <v>0.66</v>
      </c>
      <c r="O1571" s="106">
        <v>0.56999999999999995</v>
      </c>
      <c r="P1571" s="106">
        <v>3584</v>
      </c>
      <c r="Q1571" s="106">
        <v>870.36619718309862</v>
      </c>
      <c r="R1571" s="106">
        <v>7.1571601183324243E-2</v>
      </c>
      <c r="S1571" s="106">
        <v>17795.329812206572</v>
      </c>
      <c r="T1571" s="106">
        <v>17495.343896713614</v>
      </c>
      <c r="U1571" s="106">
        <v>13227.845070422536</v>
      </c>
      <c r="V1571" s="106">
        <v>0.85353355473284942</v>
      </c>
      <c r="W1571" s="106">
        <v>58588.329949238578</v>
      </c>
      <c r="X1571" s="110">
        <v>0.3871553551504951</v>
      </c>
      <c r="Y1571" s="106">
        <v>438.07714285714286</v>
      </c>
      <c r="Z1571" s="106">
        <v>14.605714285714285</v>
      </c>
      <c r="AA1571" s="106">
        <v>32572.612716763007</v>
      </c>
      <c r="AB1571" s="106">
        <v>441.02306834412724</v>
      </c>
      <c r="AC1571" s="106">
        <v>3.0700638253847075</v>
      </c>
      <c r="AD1571" s="106">
        <v>50.695970695970693</v>
      </c>
      <c r="AE1571" s="106">
        <v>73.856936416184965</v>
      </c>
      <c r="AF1571" s="106">
        <v>2.53795431479601E-2</v>
      </c>
      <c r="AG1571" s="106">
        <v>14232</v>
      </c>
      <c r="AH1571" s="106">
        <v>14745.602112676057</v>
      </c>
      <c r="AI1571" s="106">
        <v>15808.419600938967</v>
      </c>
      <c r="AJ1571" s="106">
        <v>18971.285211267605</v>
      </c>
      <c r="AK1571" s="104">
        <v>13227.845070422536</v>
      </c>
      <c r="AM1571" s="118">
        <v>1642</v>
      </c>
      <c r="AN1571" s="118">
        <v>51109</v>
      </c>
      <c r="AO1571" s="118">
        <v>453</v>
      </c>
      <c r="AP1571" s="118">
        <f t="shared" si="24"/>
        <v>225</v>
      </c>
    </row>
    <row r="1572" spans="1:42" ht="12.75">
      <c r="A1572" s="106">
        <v>2018</v>
      </c>
      <c r="B1572" s="106">
        <v>-233310</v>
      </c>
      <c r="C1572" s="106">
        <v>0</v>
      </c>
      <c r="D1572" s="106">
        <v>233310</v>
      </c>
      <c r="E1572" s="106" t="s">
        <v>2525</v>
      </c>
      <c r="F1572" s="106" t="s">
        <v>2526</v>
      </c>
      <c r="G1572" s="106" t="s">
        <v>261</v>
      </c>
      <c r="H1572" s="106">
        <v>4</v>
      </c>
      <c r="I1572" s="106" t="s">
        <v>24</v>
      </c>
      <c r="J1572" s="106">
        <v>4708</v>
      </c>
      <c r="K1572" s="106">
        <v>7555</v>
      </c>
      <c r="L1572" s="106">
        <v>6632</v>
      </c>
      <c r="M1572" s="106">
        <v>0.53</v>
      </c>
      <c r="N1572" s="106">
        <v>0</v>
      </c>
      <c r="O1572" s="106">
        <v>0.33</v>
      </c>
      <c r="P1572" s="106">
        <v>1822</v>
      </c>
      <c r="Q1572" s="106">
        <v>56.140914036996733</v>
      </c>
      <c r="R1572" s="106">
        <v>1.2193564130333951E-2</v>
      </c>
      <c r="S1572" s="106">
        <v>10581.227421109903</v>
      </c>
      <c r="T1572" s="106">
        <v>10574.417845484222</v>
      </c>
      <c r="U1572" s="106">
        <v>9337.8032650849873</v>
      </c>
      <c r="V1572" s="106">
        <v>0.48705268757203463</v>
      </c>
      <c r="W1572" s="106">
        <v>80704.464000000007</v>
      </c>
      <c r="X1572" s="110">
        <v>0.69206093092224752</v>
      </c>
      <c r="Y1572" s="106">
        <v>741.72645739910308</v>
      </c>
      <c r="Z1572" s="106">
        <v>24.726457399103136</v>
      </c>
      <c r="AA1572" s="106">
        <v>20215.40918872345</v>
      </c>
      <c r="AB1572" s="106">
        <v>311.28833592502417</v>
      </c>
      <c r="AC1572" s="106">
        <v>4.9467215363506938</v>
      </c>
      <c r="AD1572" s="106">
        <v>54.076433121019107</v>
      </c>
      <c r="AE1572" s="106">
        <v>64.941107184923439</v>
      </c>
      <c r="AF1572" s="106">
        <v>1.563214701035074E-2</v>
      </c>
      <c r="AG1572" s="106">
        <v>4253</v>
      </c>
      <c r="AH1572" s="106">
        <v>10200.901523394994</v>
      </c>
      <c r="AI1572" s="106">
        <v>10251.27421109902</v>
      </c>
      <c r="AJ1572" s="106">
        <v>10581.686071817192</v>
      </c>
      <c r="AK1572" s="104">
        <v>10124.215451577802</v>
      </c>
      <c r="AL1572" s="119">
        <v>8496312</v>
      </c>
      <c r="AM1572" s="118">
        <v>3229</v>
      </c>
      <c r="AN1572" s="118">
        <v>55135</v>
      </c>
      <c r="AO1572" s="118">
        <v>285</v>
      </c>
      <c r="AP1572" s="118">
        <f t="shared" si="24"/>
        <v>455</v>
      </c>
    </row>
    <row r="1573" spans="1:42" ht="12.75">
      <c r="A1573" s="106">
        <v>2018</v>
      </c>
      <c r="B1573" s="106">
        <v>-186645</v>
      </c>
      <c r="C1573" s="106">
        <v>0</v>
      </c>
      <c r="D1573" s="106">
        <v>186645</v>
      </c>
      <c r="E1573" s="106" t="s">
        <v>2527</v>
      </c>
      <c r="F1573" s="106" t="s">
        <v>2528</v>
      </c>
      <c r="G1573" s="106" t="s">
        <v>234</v>
      </c>
      <c r="H1573" s="106">
        <v>4</v>
      </c>
      <c r="I1573" s="106" t="s">
        <v>24</v>
      </c>
      <c r="J1573" s="106">
        <v>4416</v>
      </c>
      <c r="K1573" s="106">
        <v>6704</v>
      </c>
      <c r="L1573" s="106">
        <v>5564</v>
      </c>
      <c r="M1573" s="106">
        <v>0.4</v>
      </c>
      <c r="N1573" s="106">
        <v>0.12</v>
      </c>
      <c r="O1573" s="106">
        <v>0.05</v>
      </c>
      <c r="P1573" s="106">
        <v>1125</v>
      </c>
      <c r="Q1573" s="106">
        <v>76.082189273293068</v>
      </c>
      <c r="R1573" s="106">
        <v>1.2702840745373992E-2</v>
      </c>
      <c r="S1573" s="106">
        <v>11382.529379461834</v>
      </c>
      <c r="T1573" s="106">
        <v>12444.169686985173</v>
      </c>
      <c r="U1573" s="106">
        <v>10473.966683105007</v>
      </c>
      <c r="V1573" s="106">
        <v>0.56457136485738946</v>
      </c>
      <c r="W1573" s="106">
        <v>74530.001224739739</v>
      </c>
      <c r="X1573" s="110">
        <v>0.59675893938526736</v>
      </c>
      <c r="Y1573" s="106">
        <v>660.80241935483866</v>
      </c>
      <c r="Z1573" s="106">
        <v>22.028225806451612</v>
      </c>
      <c r="AA1573" s="106">
        <v>50104.448327322818</v>
      </c>
      <c r="AB1573" s="106">
        <v>349.15565746558531</v>
      </c>
      <c r="AC1573" s="106">
        <v>1.9958307762759715</v>
      </c>
      <c r="AD1573" s="106">
        <v>23.061389337641359</v>
      </c>
      <c r="AE1573" s="106">
        <v>143.5017513134851</v>
      </c>
      <c r="AF1573" s="106">
        <v>-4.5767977763329359E-2</v>
      </c>
      <c r="AG1573" s="106">
        <v>3528</v>
      </c>
      <c r="AH1573" s="106">
        <v>11702.238513637196</v>
      </c>
      <c r="AI1573" s="106">
        <v>11702.238513637196</v>
      </c>
      <c r="AJ1573" s="106">
        <v>11383.944902068461</v>
      </c>
      <c r="AK1573" s="104">
        <v>11455.304045396302</v>
      </c>
      <c r="AL1573" s="118">
        <v>18975907</v>
      </c>
      <c r="AM1573" s="118">
        <v>8079</v>
      </c>
      <c r="AN1573" s="118">
        <v>163879</v>
      </c>
      <c r="AO1573" s="118">
        <v>1055</v>
      </c>
      <c r="AP1573" s="118">
        <f t="shared" si="24"/>
        <v>888</v>
      </c>
    </row>
    <row r="1574" spans="1:42" ht="12.75">
      <c r="A1574" s="106">
        <v>2018</v>
      </c>
      <c r="B1574" s="106">
        <v>-215585</v>
      </c>
      <c r="C1574" s="106">
        <v>0</v>
      </c>
      <c r="D1574" s="106">
        <v>215585</v>
      </c>
      <c r="E1574" s="106" t="s">
        <v>2529</v>
      </c>
      <c r="F1574" s="106" t="s">
        <v>103</v>
      </c>
      <c r="G1574" s="106" t="s">
        <v>104</v>
      </c>
      <c r="H1574" s="106">
        <v>4</v>
      </c>
      <c r="I1574" s="106" t="s">
        <v>24</v>
      </c>
      <c r="J1574" s="106">
        <v>5460</v>
      </c>
      <c r="K1574" s="106">
        <v>9260</v>
      </c>
      <c r="L1574" s="106">
        <v>9638</v>
      </c>
      <c r="M1574" s="106">
        <v>0.68</v>
      </c>
      <c r="N1574" s="106">
        <v>0.4</v>
      </c>
      <c r="O1574" s="106">
        <v>0.2</v>
      </c>
      <c r="P1574" s="106">
        <v>2427</v>
      </c>
      <c r="Q1574" s="106">
        <v>216.53779616397142</v>
      </c>
      <c r="R1574" s="106">
        <v>3.3055176219085228E-2</v>
      </c>
      <c r="S1574" s="106">
        <v>16181.320045129749</v>
      </c>
      <c r="T1574" s="106">
        <v>16187.279052275291</v>
      </c>
      <c r="U1574" s="106">
        <v>12261.191049266641</v>
      </c>
      <c r="V1574" s="106">
        <v>0.51661054777167903</v>
      </c>
      <c r="W1574" s="106">
        <v>79415.797068771135</v>
      </c>
      <c r="X1574" s="110">
        <v>0.54552803397148941</v>
      </c>
      <c r="Y1574" s="106">
        <v>598.27559055118115</v>
      </c>
      <c r="Z1574" s="106">
        <v>20.937007874015748</v>
      </c>
      <c r="AA1574" s="106">
        <v>68349.071278825999</v>
      </c>
      <c r="AB1574" s="106">
        <v>429.08762716995039</v>
      </c>
      <c r="AC1574" s="106">
        <v>1.4630776706834232</v>
      </c>
      <c r="AD1574" s="106">
        <v>22.44705882352941</v>
      </c>
      <c r="AE1574" s="106">
        <v>159.28930817610063</v>
      </c>
      <c r="AF1574" s="106">
        <v>5.341740999806871E-2</v>
      </c>
      <c r="AG1574" s="106">
        <v>3870</v>
      </c>
      <c r="AH1574" s="106">
        <v>13033.509966152689</v>
      </c>
      <c r="AI1574" s="106">
        <v>13033.509966152689</v>
      </c>
      <c r="AJ1574" s="106">
        <v>16202.220759684093</v>
      </c>
      <c r="AK1574" s="104">
        <v>15947.625047010155</v>
      </c>
      <c r="AL1574" s="118">
        <v>12077798</v>
      </c>
      <c r="AM1574" s="118">
        <v>4207</v>
      </c>
      <c r="AN1574" s="118">
        <v>75981</v>
      </c>
      <c r="AO1574" s="118">
        <v>441</v>
      </c>
      <c r="AP1574" s="118">
        <f t="shared" si="24"/>
        <v>1590</v>
      </c>
    </row>
    <row r="1575" spans="1:42" ht="12.75">
      <c r="A1575" s="106">
        <v>2018</v>
      </c>
      <c r="B1575" s="106">
        <v>-127909</v>
      </c>
      <c r="C1575" s="106">
        <v>0</v>
      </c>
      <c r="D1575" s="106">
        <v>127909</v>
      </c>
      <c r="E1575" s="106" t="s">
        <v>2530</v>
      </c>
      <c r="F1575" s="106" t="s">
        <v>784</v>
      </c>
      <c r="G1575" s="106" t="s">
        <v>66</v>
      </c>
      <c r="H1575" s="106">
        <v>4</v>
      </c>
      <c r="I1575" s="106" t="s">
        <v>24</v>
      </c>
      <c r="J1575" s="107">
        <v>4008</v>
      </c>
      <c r="K1575" s="107">
        <v>8493</v>
      </c>
      <c r="L1575" s="107">
        <v>8176</v>
      </c>
      <c r="M1575" s="107">
        <v>0.31</v>
      </c>
      <c r="N1575" s="107">
        <v>0.18</v>
      </c>
      <c r="O1575" s="107">
        <v>0.12</v>
      </c>
      <c r="P1575" s="107">
        <v>2626</v>
      </c>
      <c r="Q1575" s="106">
        <v>195.76293667102559</v>
      </c>
      <c r="R1575" s="106">
        <v>2.3858063239409536E-2</v>
      </c>
      <c r="S1575" s="106">
        <v>11542.190547356622</v>
      </c>
      <c r="T1575" s="106">
        <v>11595.55520269008</v>
      </c>
      <c r="U1575" s="106">
        <v>9291.3655976188238</v>
      </c>
      <c r="V1575" s="106">
        <v>0.86204256017940795</v>
      </c>
      <c r="W1575" s="106">
        <v>72555.803051317605</v>
      </c>
      <c r="X1575" s="110">
        <v>0.56185903347757837</v>
      </c>
      <c r="Y1575" s="106">
        <v>813.37691001697806</v>
      </c>
      <c r="Z1575" s="106">
        <v>27.264855687606115</v>
      </c>
      <c r="AA1575" s="106">
        <v>16185.056961943887</v>
      </c>
      <c r="AB1575" s="106">
        <v>311.45184850966268</v>
      </c>
      <c r="AC1575" s="106">
        <v>6.1785386505052893</v>
      </c>
      <c r="AD1575" s="106">
        <v>70.111795573807882</v>
      </c>
      <c r="AE1575" s="106">
        <v>51.96648226488773</v>
      </c>
      <c r="AF1575" s="107">
        <v>2.3998544880693539E-2</v>
      </c>
      <c r="AG1575" s="106">
        <v>3469</v>
      </c>
      <c r="AH1575" s="106">
        <v>11844.417336073229</v>
      </c>
      <c r="AI1575" s="106">
        <v>11844.417336073229</v>
      </c>
      <c r="AJ1575" s="106">
        <v>11692.821595367084</v>
      </c>
      <c r="AK1575" s="104">
        <v>10291.139174294787</v>
      </c>
      <c r="AM1575" s="118">
        <v>7323</v>
      </c>
      <c r="AN1575" s="118">
        <v>159693</v>
      </c>
      <c r="AO1575" s="118">
        <v>702</v>
      </c>
      <c r="AP1575" s="118">
        <f t="shared" si="24"/>
        <v>539</v>
      </c>
    </row>
    <row r="1576" spans="1:42" ht="12.75">
      <c r="A1576" s="106">
        <v>2018</v>
      </c>
      <c r="B1576" s="106">
        <v>-207069</v>
      </c>
      <c r="C1576" s="106">
        <v>0</v>
      </c>
      <c r="D1576" s="106">
        <v>207069</v>
      </c>
      <c r="E1576" s="106" t="s">
        <v>2531</v>
      </c>
      <c r="F1576" s="106" t="s">
        <v>2532</v>
      </c>
      <c r="G1576" s="106" t="s">
        <v>271</v>
      </c>
      <c r="H1576" s="106">
        <v>4</v>
      </c>
      <c r="I1576" s="106" t="s">
        <v>24</v>
      </c>
      <c r="J1576" s="106">
        <v>5074</v>
      </c>
      <c r="K1576" s="106">
        <v>6679</v>
      </c>
      <c r="L1576" s="106">
        <v>5112</v>
      </c>
      <c r="M1576" s="106">
        <v>0.51</v>
      </c>
      <c r="N1576" s="106">
        <v>0.24</v>
      </c>
      <c r="O1576" s="106">
        <v>0.47</v>
      </c>
      <c r="P1576" s="106">
        <v>4265</v>
      </c>
      <c r="Q1576" s="106">
        <v>849.85370051635107</v>
      </c>
      <c r="R1576" s="106">
        <v>0.17922930654068181</v>
      </c>
      <c r="S1576" s="106">
        <v>12638.675559380379</v>
      </c>
      <c r="T1576" s="106">
        <v>12453.808089500861</v>
      </c>
      <c r="U1576" s="106">
        <v>9628.4583692291908</v>
      </c>
      <c r="V1576" s="106">
        <v>0.40420364862146718</v>
      </c>
      <c r="W1576" s="106">
        <v>52074.554565701561</v>
      </c>
      <c r="X1576" s="110">
        <v>0.53857024149481825</v>
      </c>
      <c r="Y1576" s="106">
        <v>736.45774647887333</v>
      </c>
      <c r="Z1576" s="106">
        <v>24.549295774647891</v>
      </c>
      <c r="AA1576" s="106">
        <v>49725.638333530311</v>
      </c>
      <c r="AB1576" s="106">
        <v>320.9578193592564</v>
      </c>
      <c r="AC1576" s="106">
        <v>2.0110350183794297</v>
      </c>
      <c r="AD1576" s="106">
        <v>21.028037383177569</v>
      </c>
      <c r="AE1576" s="106">
        <v>154.92888888888888</v>
      </c>
      <c r="AF1576" s="106">
        <v>2.4149349818119754</v>
      </c>
      <c r="AG1576" s="106">
        <v>4424</v>
      </c>
      <c r="AH1576" s="106">
        <v>12304.203098106713</v>
      </c>
      <c r="AI1576" s="106">
        <v>12684.982788296042</v>
      </c>
      <c r="AJ1576" s="106">
        <v>12653.993115318417</v>
      </c>
      <c r="AK1576" s="104">
        <v>11277.672117039587</v>
      </c>
      <c r="AL1576" s="118">
        <v>4548753</v>
      </c>
      <c r="AM1576" s="118">
        <v>2023</v>
      </c>
      <c r="AN1576" s="118">
        <v>34859</v>
      </c>
      <c r="AO1576" s="118">
        <v>175</v>
      </c>
      <c r="AP1576" s="118">
        <f t="shared" si="24"/>
        <v>650</v>
      </c>
    </row>
    <row r="1577" spans="1:42" ht="12.75">
      <c r="A1577" s="106">
        <v>2018</v>
      </c>
      <c r="B1577" s="106">
        <v>-209922</v>
      </c>
      <c r="C1577" s="106">
        <v>0</v>
      </c>
      <c r="D1577" s="106">
        <v>209922</v>
      </c>
      <c r="E1577" s="106" t="s">
        <v>2533</v>
      </c>
      <c r="F1577" s="106" t="s">
        <v>1578</v>
      </c>
      <c r="G1577" s="106" t="s">
        <v>405</v>
      </c>
      <c r="H1577" s="106">
        <v>7</v>
      </c>
      <c r="I1577" s="106" t="s">
        <v>3641</v>
      </c>
      <c r="J1577" s="106">
        <v>54200</v>
      </c>
      <c r="K1577" s="106">
        <v>31977</v>
      </c>
      <c r="L1577" s="106">
        <v>14805</v>
      </c>
      <c r="M1577" s="106">
        <v>0.14000000000000001</v>
      </c>
      <c r="N1577" s="106">
        <v>0.45</v>
      </c>
      <c r="O1577" s="106">
        <v>0.52</v>
      </c>
      <c r="P1577" s="106">
        <v>36227</v>
      </c>
      <c r="Q1577" s="106">
        <v>18404.225558659218</v>
      </c>
      <c r="R1577" s="106">
        <v>0.35318799836408238</v>
      </c>
      <c r="S1577" s="106">
        <v>59213.639664804468</v>
      </c>
      <c r="T1577" s="106">
        <v>67083.668296089381</v>
      </c>
      <c r="U1577" s="106">
        <v>52840.939789898024</v>
      </c>
      <c r="V1577" s="106">
        <v>0.63785086148153636</v>
      </c>
      <c r="W1577" s="106">
        <v>101601.39780077619</v>
      </c>
      <c r="X1577" s="110">
        <v>0.54503964984192332</v>
      </c>
      <c r="Y1577" s="106">
        <v>248.01619433198383</v>
      </c>
      <c r="Z1577" s="106">
        <v>8.6963562753036445</v>
      </c>
      <c r="AA1577" s="106">
        <v>263652.35463112884</v>
      </c>
      <c r="AB1577" s="106">
        <v>1852.7969093813413</v>
      </c>
      <c r="AC1577" s="106">
        <v>0.37928733896538935</v>
      </c>
      <c r="AD1577" s="106">
        <v>20.041899441340782</v>
      </c>
      <c r="AE1577" s="106">
        <v>142.29965156794424</v>
      </c>
      <c r="AF1577" s="106">
        <v>5.9191623165418074E-2</v>
      </c>
      <c r="AG1577" s="106">
        <v>53900</v>
      </c>
      <c r="AH1577" s="106">
        <v>45746.511871508381</v>
      </c>
      <c r="AI1577" s="106">
        <v>59216.870810055865</v>
      </c>
      <c r="AJ1577" s="106">
        <v>95689.607541899444</v>
      </c>
      <c r="AK1577" s="104">
        <v>55099.703910614524</v>
      </c>
      <c r="AL1577" s="118"/>
      <c r="AM1577" s="118">
        <v>1447</v>
      </c>
      <c r="AN1577" s="118">
        <v>40840</v>
      </c>
      <c r="AO1577" s="118">
        <v>284</v>
      </c>
      <c r="AP1577" s="118">
        <f t="shared" si="24"/>
        <v>300</v>
      </c>
    </row>
    <row r="1578" spans="1:42" ht="12.75">
      <c r="A1578" s="106">
        <v>2018</v>
      </c>
      <c r="B1578" s="106">
        <v>-117052</v>
      </c>
      <c r="C1578" s="106">
        <v>0</v>
      </c>
      <c r="D1578" s="106">
        <v>117052</v>
      </c>
      <c r="E1578" s="106" t="s">
        <v>2534</v>
      </c>
      <c r="F1578" s="106" t="s">
        <v>2535</v>
      </c>
      <c r="G1578" s="106" t="s">
        <v>121</v>
      </c>
      <c r="H1578" s="106">
        <v>4</v>
      </c>
      <c r="I1578" s="106" t="s">
        <v>24</v>
      </c>
      <c r="J1578" s="106">
        <v>1304</v>
      </c>
      <c r="K1578" s="106">
        <v>4324</v>
      </c>
      <c r="L1578" s="106">
        <v>3001</v>
      </c>
      <c r="M1578" s="106">
        <v>0.61</v>
      </c>
      <c r="N1578" s="106">
        <v>0.03</v>
      </c>
      <c r="O1578" s="106">
        <v>0.01</v>
      </c>
      <c r="P1578" s="106">
        <v>655</v>
      </c>
      <c r="Q1578" s="106">
        <v>161.1349508404694</v>
      </c>
      <c r="R1578" s="106">
        <v>0.10041139225808607</v>
      </c>
      <c r="S1578" s="106">
        <v>12859.493815413891</v>
      </c>
      <c r="T1578" s="106">
        <v>14457.151601649222</v>
      </c>
      <c r="U1578" s="106">
        <v>10321.152531219297</v>
      </c>
      <c r="V1578" s="106">
        <v>0.13986933585135081</v>
      </c>
      <c r="W1578" s="106">
        <v>124359.93541202672</v>
      </c>
      <c r="X1578" s="110">
        <v>0.61247748330483209</v>
      </c>
      <c r="Y1578" s="106">
        <v>680.54316546762595</v>
      </c>
      <c r="Z1578" s="106">
        <v>22.68345323741007</v>
      </c>
      <c r="AA1578" s="106">
        <v>33021.404293185638</v>
      </c>
      <c r="AB1578" s="106">
        <v>344.01841452219657</v>
      </c>
      <c r="AC1578" s="106">
        <v>3.0283388044958528</v>
      </c>
      <c r="AD1578" s="106">
        <v>33.930108452401448</v>
      </c>
      <c r="AE1578" s="106">
        <v>95.987316083206494</v>
      </c>
      <c r="AF1578" s="106"/>
      <c r="AG1578" s="106">
        <v>1104</v>
      </c>
      <c r="AH1578" s="106">
        <v>11278.674278464954</v>
      </c>
      <c r="AI1578" s="106">
        <v>11287.688867745004</v>
      </c>
      <c r="AJ1578" s="106">
        <v>13001.040437678401</v>
      </c>
      <c r="AK1578" s="104">
        <v>13906.550586742786</v>
      </c>
      <c r="AL1578" s="118">
        <v>39953489</v>
      </c>
      <c r="AM1578" s="118">
        <v>10562</v>
      </c>
      <c r="AN1578" s="118">
        <v>189191</v>
      </c>
      <c r="AO1578" s="118">
        <v>938</v>
      </c>
      <c r="AP1578" s="118">
        <f t="shared" si="24"/>
        <v>200</v>
      </c>
    </row>
    <row r="1579" spans="1:42" ht="12.75">
      <c r="A1579" s="106">
        <v>2018</v>
      </c>
      <c r="B1579" s="106">
        <v>-231651</v>
      </c>
      <c r="C1579" s="106">
        <v>0</v>
      </c>
      <c r="D1579" s="106">
        <v>231651</v>
      </c>
      <c r="E1579" s="106" t="s">
        <v>2536</v>
      </c>
      <c r="F1579" s="106" t="s">
        <v>2537</v>
      </c>
      <c r="G1579" s="106" t="s">
        <v>261</v>
      </c>
      <c r="H1579" s="106">
        <v>5</v>
      </c>
      <c r="I1579" s="106" t="s">
        <v>3639</v>
      </c>
      <c r="J1579" s="106">
        <v>17288</v>
      </c>
      <c r="K1579" s="106">
        <v>16779</v>
      </c>
      <c r="L1579" s="106">
        <v>17740</v>
      </c>
      <c r="M1579" s="106">
        <v>0.43</v>
      </c>
      <c r="N1579" s="106">
        <v>0.93</v>
      </c>
      <c r="O1579" s="106">
        <v>0.86</v>
      </c>
      <c r="P1579" s="106">
        <v>9479</v>
      </c>
      <c r="Q1579" s="106">
        <v>3517.953833000855</v>
      </c>
      <c r="R1579" s="106">
        <v>0.21819708351745468</v>
      </c>
      <c r="S1579" s="106">
        <v>15499.002564833287</v>
      </c>
      <c r="T1579" s="106">
        <v>19525.648332858364</v>
      </c>
      <c r="U1579" s="106">
        <v>15201.146999329389</v>
      </c>
      <c r="V1579" s="106">
        <v>0.82920540034243229</v>
      </c>
      <c r="W1579" s="106">
        <v>102385.51596483109</v>
      </c>
      <c r="X1579" s="110">
        <v>0.53821179149243603</v>
      </c>
      <c r="Y1579" s="106">
        <v>1005.806517311609</v>
      </c>
      <c r="Z1579" s="106">
        <v>42.879837067209778</v>
      </c>
      <c r="AA1579" s="106">
        <v>53022.688688515729</v>
      </c>
      <c r="AB1579" s="106">
        <v>648.05973648707993</v>
      </c>
      <c r="AC1579" s="106">
        <v>1.8859850843750057</v>
      </c>
      <c r="AD1579" s="106">
        <v>34.870017331022531</v>
      </c>
      <c r="AE1579" s="106">
        <v>81.817594433399606</v>
      </c>
      <c r="AF1579" s="106">
        <v>-0.24432992936682024</v>
      </c>
      <c r="AG1579" s="106">
        <v>16650</v>
      </c>
      <c r="AH1579" s="106">
        <v>15293.445426047307</v>
      </c>
      <c r="AI1579" s="106">
        <v>15499.002564833287</v>
      </c>
      <c r="AJ1579" s="106">
        <v>16208.463949843261</v>
      </c>
      <c r="AK1579" s="104">
        <v>15356.483328583641</v>
      </c>
      <c r="AM1579" s="119">
        <v>4279</v>
      </c>
      <c r="AN1579" s="118">
        <v>164617</v>
      </c>
      <c r="AO1579" s="119">
        <v>591</v>
      </c>
      <c r="AP1579" s="118">
        <f t="shared" si="24"/>
        <v>638</v>
      </c>
    </row>
    <row r="1580" spans="1:42" ht="12.75">
      <c r="A1580" s="106">
        <v>2018</v>
      </c>
      <c r="B1580" s="106">
        <v>-127918</v>
      </c>
      <c r="C1580" s="106">
        <v>0</v>
      </c>
      <c r="D1580" s="106">
        <v>127918</v>
      </c>
      <c r="E1580" s="106" t="s">
        <v>2538</v>
      </c>
      <c r="F1580" s="106" t="s">
        <v>912</v>
      </c>
      <c r="G1580" s="106" t="s">
        <v>66</v>
      </c>
      <c r="H1580" s="106">
        <v>6</v>
      </c>
      <c r="I1580" s="106" t="s">
        <v>3640</v>
      </c>
      <c r="J1580" s="106">
        <v>35610</v>
      </c>
      <c r="K1580" s="106">
        <v>26273</v>
      </c>
      <c r="L1580" s="106">
        <v>21691</v>
      </c>
      <c r="M1580" s="106">
        <v>0.33</v>
      </c>
      <c r="N1580" s="106">
        <v>0.59</v>
      </c>
      <c r="O1580" s="106">
        <v>0.99</v>
      </c>
      <c r="P1580" s="106">
        <v>18543</v>
      </c>
      <c r="Q1580" s="106">
        <v>6199.8407729179153</v>
      </c>
      <c r="R1580" s="106">
        <v>0.28238977866732196</v>
      </c>
      <c r="S1580" s="106">
        <v>21453.168214499699</v>
      </c>
      <c r="T1580" s="106">
        <v>20334.790742959856</v>
      </c>
      <c r="U1580" s="106">
        <v>19065.305422408626</v>
      </c>
      <c r="V1580" s="106">
        <v>0.82637355714837135</v>
      </c>
      <c r="W1580" s="106">
        <v>80299.46605444407</v>
      </c>
      <c r="X1580" s="110">
        <v>0.60116375917412379</v>
      </c>
      <c r="Y1580" s="106">
        <v>344.47271438695958</v>
      </c>
      <c r="Z1580" s="106">
        <v>14.194188518781004</v>
      </c>
      <c r="AA1580" s="106">
        <v>46065.86283025697</v>
      </c>
      <c r="AB1580" s="106">
        <v>785.59644358308083</v>
      </c>
      <c r="AC1580" s="106">
        <v>2.1708048836180276</v>
      </c>
      <c r="AD1580" s="106">
        <v>42.970451010886471</v>
      </c>
      <c r="AE1580" s="106">
        <v>58.638074556641335</v>
      </c>
      <c r="AF1580" s="106">
        <v>0.10930742975984684</v>
      </c>
      <c r="AG1580" s="106">
        <v>35260</v>
      </c>
      <c r="AH1580" s="106">
        <v>19288.426752546435</v>
      </c>
      <c r="AI1580" s="106">
        <v>21453.168214499699</v>
      </c>
      <c r="AJ1580" s="106">
        <v>22372.31920311564</v>
      </c>
      <c r="AK1580" s="104">
        <v>19065.305422408626</v>
      </c>
      <c r="AM1580" s="118">
        <v>4084</v>
      </c>
      <c r="AN1580" s="118">
        <v>162017</v>
      </c>
      <c r="AO1580" s="118">
        <v>1075</v>
      </c>
      <c r="AP1580" s="118">
        <f t="shared" si="24"/>
        <v>350</v>
      </c>
    </row>
    <row r="1581" spans="1:42" ht="12.75">
      <c r="A1581" s="106">
        <v>2018</v>
      </c>
      <c r="B1581" s="106">
        <v>-101994</v>
      </c>
      <c r="C1581" s="106">
        <v>0</v>
      </c>
      <c r="D1581" s="106">
        <v>101994</v>
      </c>
      <c r="E1581" s="106" t="s">
        <v>2539</v>
      </c>
      <c r="F1581" s="106" t="s">
        <v>2540</v>
      </c>
      <c r="G1581" s="106" t="s">
        <v>85</v>
      </c>
      <c r="H1581" s="106">
        <v>4</v>
      </c>
      <c r="I1581" s="106" t="s">
        <v>24</v>
      </c>
      <c r="J1581" s="106">
        <v>4500</v>
      </c>
      <c r="K1581" s="106">
        <v>3413</v>
      </c>
      <c r="L1581" s="106">
        <v>3365</v>
      </c>
      <c r="M1581" s="106">
        <v>0.71</v>
      </c>
      <c r="N1581" s="106">
        <v>0</v>
      </c>
      <c r="O1581" s="106">
        <v>0.71</v>
      </c>
      <c r="P1581" s="106">
        <v>2868</v>
      </c>
      <c r="Q1581" s="106">
        <v>1752.2175324675325</v>
      </c>
      <c r="R1581" s="106">
        <v>0.34372808640540309</v>
      </c>
      <c r="S1581" s="106">
        <v>22179.675324675325</v>
      </c>
      <c r="T1581" s="106">
        <v>21512.175324675325</v>
      </c>
      <c r="U1581" s="106">
        <v>16275.474025974027</v>
      </c>
      <c r="V1581" s="106">
        <v>0.2055526940185276</v>
      </c>
      <c r="W1581" s="106">
        <v>73514.15094339622</v>
      </c>
      <c r="X1581" s="110">
        <v>0.58804663622986075</v>
      </c>
      <c r="Y1581" s="106">
        <v>419.77272727272725</v>
      </c>
      <c r="Z1581" s="106">
        <v>14</v>
      </c>
      <c r="AA1581" s="106">
        <v>41773.716666666667</v>
      </c>
      <c r="AB1581" s="106">
        <v>542.80952896589065</v>
      </c>
      <c r="AC1581" s="106">
        <v>2.3938497212960459</v>
      </c>
      <c r="AD1581" s="106">
        <v>47.619047619047613</v>
      </c>
      <c r="AE1581" s="106">
        <v>76.958333333333329</v>
      </c>
      <c r="AF1581" s="106">
        <v>-0.47184596069000273</v>
      </c>
      <c r="AG1581" s="106">
        <v>3570</v>
      </c>
      <c r="AH1581" s="106">
        <v>21727.064935064936</v>
      </c>
      <c r="AI1581" s="106">
        <v>21727.064935064936</v>
      </c>
      <c r="AJ1581" s="106">
        <v>22205.243506493505</v>
      </c>
      <c r="AK1581" s="104">
        <v>17638.006493506495</v>
      </c>
      <c r="AL1581" s="119">
        <v>4582381</v>
      </c>
      <c r="AM1581" s="118">
        <v>392</v>
      </c>
      <c r="AN1581" s="118">
        <v>9235</v>
      </c>
      <c r="AO1581" s="118">
        <v>18</v>
      </c>
      <c r="AP1581" s="118">
        <f t="shared" si="24"/>
        <v>930</v>
      </c>
    </row>
    <row r="1582" spans="1:42" ht="12.75">
      <c r="A1582" s="106">
        <v>2018</v>
      </c>
      <c r="B1582" s="106">
        <v>-140872</v>
      </c>
      <c r="C1582" s="106">
        <v>0</v>
      </c>
      <c r="D1582" s="106">
        <v>140872</v>
      </c>
      <c r="E1582" s="106" t="s">
        <v>2541</v>
      </c>
      <c r="F1582" s="106" t="s">
        <v>2542</v>
      </c>
      <c r="G1582" s="106" t="s">
        <v>63</v>
      </c>
      <c r="H1582" s="106">
        <v>7</v>
      </c>
      <c r="I1582" s="106" t="s">
        <v>3641</v>
      </c>
      <c r="J1582" s="106">
        <v>22422</v>
      </c>
      <c r="K1582" s="106">
        <v>21436</v>
      </c>
      <c r="L1582" s="106">
        <v>20688</v>
      </c>
      <c r="M1582" s="106">
        <v>0.47</v>
      </c>
      <c r="N1582" s="106">
        <v>0.72</v>
      </c>
      <c r="O1582" s="106">
        <v>0.94</v>
      </c>
      <c r="P1582" s="106">
        <v>9854</v>
      </c>
      <c r="Q1582" s="106">
        <v>7192.6736111111113</v>
      </c>
      <c r="R1582" s="106">
        <v>0.36679542490661854</v>
      </c>
      <c r="S1582" s="106">
        <v>19653.547222222223</v>
      </c>
      <c r="T1582" s="106">
        <v>21440.018749999999</v>
      </c>
      <c r="U1582" s="106">
        <v>17258.500694444443</v>
      </c>
      <c r="V1582" s="106">
        <v>0.71946127514214919</v>
      </c>
      <c r="W1582" s="106">
        <v>56404.35658914729</v>
      </c>
      <c r="X1582" s="110">
        <v>0.47135129280404925</v>
      </c>
      <c r="Y1582" s="106">
        <v>390.0640243902439</v>
      </c>
      <c r="Z1582" s="106">
        <v>13.170731707317074</v>
      </c>
      <c r="AA1582" s="106">
        <v>85110.414383561641</v>
      </c>
      <c r="AB1582" s="106">
        <v>582.74300654207798</v>
      </c>
      <c r="AC1582" s="106">
        <v>1.1749443440533189</v>
      </c>
      <c r="AD1582" s="106">
        <v>20.901932712956334</v>
      </c>
      <c r="AE1582" s="106">
        <v>146.05136986301369</v>
      </c>
      <c r="AF1582" s="106">
        <v>1.0438843063343979E-2</v>
      </c>
      <c r="AG1582" s="106">
        <v>21522</v>
      </c>
      <c r="AH1582" s="106">
        <v>16951.243750000001</v>
      </c>
      <c r="AI1582" s="106">
        <v>19653.547222222223</v>
      </c>
      <c r="AJ1582" s="106">
        <v>21932.356250000001</v>
      </c>
      <c r="AK1582" s="104">
        <v>17258.500694444443</v>
      </c>
      <c r="AL1582" s="118"/>
      <c r="AM1582" s="118">
        <v>1408</v>
      </c>
      <c r="AN1582" s="118">
        <v>42647</v>
      </c>
      <c r="AO1582" s="118">
        <v>255</v>
      </c>
      <c r="AP1582" s="118">
        <f t="shared" si="24"/>
        <v>900</v>
      </c>
    </row>
    <row r="1583" spans="1:42" ht="12.75">
      <c r="A1583" s="106">
        <v>2018</v>
      </c>
      <c r="B1583" s="106">
        <v>-460783</v>
      </c>
      <c r="C1583" s="106">
        <v>0</v>
      </c>
      <c r="D1583" s="106">
        <v>460783</v>
      </c>
      <c r="E1583" s="106" t="s">
        <v>2543</v>
      </c>
      <c r="F1583" s="106" t="s">
        <v>4180</v>
      </c>
      <c r="G1583" s="106" t="s">
        <v>258</v>
      </c>
      <c r="H1583" s="106">
        <v>7</v>
      </c>
      <c r="I1583" s="106" t="s">
        <v>3641</v>
      </c>
      <c r="J1583" s="106">
        <v>14316</v>
      </c>
      <c r="K1583" s="106">
        <v>16274</v>
      </c>
      <c r="L1583" s="106">
        <v>16516</v>
      </c>
      <c r="M1583" s="106">
        <v>0.78</v>
      </c>
      <c r="N1583" s="106">
        <v>0.82</v>
      </c>
      <c r="O1583" s="106">
        <v>0.36</v>
      </c>
      <c r="P1583" s="106">
        <v>602</v>
      </c>
      <c r="Q1583" s="106"/>
      <c r="R1583" s="106"/>
      <c r="S1583" s="106">
        <v>11446.623737373737</v>
      </c>
      <c r="T1583" s="106">
        <v>8880.424242424242</v>
      </c>
      <c r="U1583" s="106">
        <v>6425.0202020202023</v>
      </c>
      <c r="V1583" s="106">
        <v>1.7800910896007873</v>
      </c>
      <c r="W1583" s="106">
        <v>59918.0625</v>
      </c>
      <c r="X1583" s="110">
        <v>0.27261443283490416</v>
      </c>
      <c r="Y1583" s="106">
        <v>5940</v>
      </c>
      <c r="Z1583" s="106">
        <v>198</v>
      </c>
      <c r="AA1583" s="106">
        <v>39754.8125</v>
      </c>
      <c r="AB1583" s="106">
        <v>214.16734006734006</v>
      </c>
      <c r="AC1583" s="106">
        <v>2.5154187307511511</v>
      </c>
      <c r="AD1583" s="106">
        <v>23.970037453183522</v>
      </c>
      <c r="AE1583" s="106">
        <v>185.625</v>
      </c>
      <c r="AF1583" s="106">
        <v>-22.672236847976439</v>
      </c>
      <c r="AG1583" s="106">
        <v>14316</v>
      </c>
      <c r="AH1583" s="106">
        <v>11446.623737373737</v>
      </c>
      <c r="AI1583" s="106">
        <v>11446.623737373737</v>
      </c>
      <c r="AJ1583" s="106">
        <v>11446.623737373737</v>
      </c>
      <c r="AK1583" s="104">
        <v>6425.0202020202023</v>
      </c>
      <c r="AL1583" s="118"/>
      <c r="AM1583" s="118">
        <v>267</v>
      </c>
      <c r="AN1583" s="118">
        <v>11880</v>
      </c>
      <c r="AO1583" s="118">
        <v>46</v>
      </c>
      <c r="AP1583" s="118">
        <f t="shared" si="24"/>
        <v>0</v>
      </c>
    </row>
    <row r="1584" spans="1:42" ht="12.75">
      <c r="A1584" s="106">
        <v>2018</v>
      </c>
      <c r="B1584" s="106">
        <v>-372958</v>
      </c>
      <c r="C1584" s="106">
        <v>0</v>
      </c>
      <c r="D1584" s="106">
        <v>372958</v>
      </c>
      <c r="E1584" s="106" t="s">
        <v>2544</v>
      </c>
      <c r="F1584" s="106" t="s">
        <v>703</v>
      </c>
      <c r="G1584" s="106" t="s">
        <v>453</v>
      </c>
      <c r="H1584" s="106">
        <v>7</v>
      </c>
      <c r="I1584" s="106" t="s">
        <v>3641</v>
      </c>
      <c r="J1584" s="106">
        <v>16811</v>
      </c>
      <c r="K1584" s="106">
        <v>21271</v>
      </c>
      <c r="L1584" s="106">
        <v>21435</v>
      </c>
      <c r="M1584" s="106">
        <v>0.84</v>
      </c>
      <c r="N1584" s="106">
        <v>0.89</v>
      </c>
      <c r="O1584" s="106">
        <v>0.76</v>
      </c>
      <c r="P1584" s="106">
        <v>1097</v>
      </c>
      <c r="Q1584" s="106">
        <v>1028.8126888217523</v>
      </c>
      <c r="R1584" s="106">
        <v>8.6379781666798994E-2</v>
      </c>
      <c r="S1584" s="106">
        <v>11931.942598187312</v>
      </c>
      <c r="T1584" s="106">
        <v>13481.262839879155</v>
      </c>
      <c r="U1584" s="106">
        <v>2587.057401812689</v>
      </c>
      <c r="V1584" s="106">
        <v>4.2061411908687916</v>
      </c>
      <c r="W1584" s="106">
        <v>11981.366666666667</v>
      </c>
      <c r="X1584" s="110">
        <v>8.0550649015372802E-2</v>
      </c>
      <c r="Y1584" s="106">
        <v>758.34146341463406</v>
      </c>
      <c r="Z1584" s="106">
        <v>24.219512195121951</v>
      </c>
      <c r="AA1584" s="106">
        <v>8737.9183673469379</v>
      </c>
      <c r="AB1584" s="106">
        <v>82.624083365495949</v>
      </c>
      <c r="AC1584" s="106">
        <v>11.444373338814176</v>
      </c>
      <c r="AD1584" s="106">
        <v>34.146341463414636</v>
      </c>
      <c r="AE1584" s="106">
        <v>105.75510204081633</v>
      </c>
      <c r="AF1584" s="106">
        <v>-3.2143725940137182</v>
      </c>
      <c r="AG1584" s="106">
        <v>16811</v>
      </c>
      <c r="AH1584" s="106">
        <v>10903.12990936556</v>
      </c>
      <c r="AI1584" s="106">
        <v>10903.12990936556</v>
      </c>
      <c r="AJ1584" s="106">
        <v>11932.365558912386</v>
      </c>
      <c r="AK1584" s="104">
        <v>2587.057401812689</v>
      </c>
      <c r="AM1584" s="118">
        <v>287</v>
      </c>
      <c r="AN1584" s="118">
        <v>10364</v>
      </c>
      <c r="AO1584" s="118">
        <v>75</v>
      </c>
      <c r="AP1584" s="118">
        <f t="shared" si="24"/>
        <v>0</v>
      </c>
    </row>
    <row r="1585" spans="1:42" ht="12.75">
      <c r="A1585" s="106">
        <v>2018</v>
      </c>
      <c r="B1585" s="106">
        <v>-148256</v>
      </c>
      <c r="C1585" s="106">
        <v>0</v>
      </c>
      <c r="D1585" s="106">
        <v>148256</v>
      </c>
      <c r="E1585" s="106" t="s">
        <v>2545</v>
      </c>
      <c r="F1585" s="106" t="s">
        <v>2546</v>
      </c>
      <c r="G1585" s="106" t="s">
        <v>243</v>
      </c>
      <c r="H1585" s="106">
        <v>4</v>
      </c>
      <c r="I1585" s="106" t="s">
        <v>24</v>
      </c>
      <c r="J1585" s="106">
        <v>3750</v>
      </c>
      <c r="K1585" s="106">
        <v>7012</v>
      </c>
      <c r="L1585" s="106">
        <v>5506</v>
      </c>
      <c r="M1585" s="106">
        <v>0.5</v>
      </c>
      <c r="N1585" s="106">
        <v>0.03</v>
      </c>
      <c r="O1585" s="106">
        <v>0.52</v>
      </c>
      <c r="P1585" s="107">
        <v>2125</v>
      </c>
      <c r="Q1585" s="107"/>
      <c r="R1585" s="106"/>
      <c r="S1585" s="106">
        <v>21043.217074440396</v>
      </c>
      <c r="T1585" s="106">
        <v>17855.622592399792</v>
      </c>
      <c r="U1585" s="106">
        <v>13052.162848008922</v>
      </c>
      <c r="V1585" s="106">
        <v>0.30941178250976742</v>
      </c>
      <c r="W1585" s="106">
        <v>88691.531120331943</v>
      </c>
      <c r="X1585" s="110">
        <v>0.62315607362670755</v>
      </c>
      <c r="Y1585" s="106">
        <v>675.43359375</v>
      </c>
      <c r="Z1585" s="106">
        <v>22.51171875</v>
      </c>
      <c r="AA1585" s="106">
        <v>22897.903955274098</v>
      </c>
      <c r="AB1585" s="106">
        <v>435.01925553073789</v>
      </c>
      <c r="AC1585" s="106">
        <v>4.3672119594582757</v>
      </c>
      <c r="AD1585" s="106">
        <v>69.834183673469383</v>
      </c>
      <c r="AE1585" s="107">
        <v>52.6365296803653</v>
      </c>
      <c r="AF1585" s="106">
        <v>0.17980007922985922</v>
      </c>
      <c r="AG1585" s="106">
        <v>3300</v>
      </c>
      <c r="AH1585" s="106">
        <v>21315.796460176993</v>
      </c>
      <c r="AI1585" s="106">
        <v>21566.810515356585</v>
      </c>
      <c r="AJ1585" s="106">
        <v>21297.092139510671</v>
      </c>
      <c r="AK1585" s="104">
        <v>15878.313899010931</v>
      </c>
      <c r="AL1585" s="119">
        <v>25342378</v>
      </c>
      <c r="AM1585" s="118">
        <v>2333</v>
      </c>
      <c r="AN1585" s="118">
        <v>57637</v>
      </c>
      <c r="AO1585" s="118">
        <v>494</v>
      </c>
      <c r="AP1585" s="118">
        <f t="shared" si="24"/>
        <v>450</v>
      </c>
    </row>
    <row r="1586" spans="1:42" ht="12.75">
      <c r="A1586" s="106">
        <v>2018</v>
      </c>
      <c r="B1586" s="106">
        <v>-129428</v>
      </c>
      <c r="C1586" s="106">
        <v>0</v>
      </c>
      <c r="D1586" s="106">
        <v>129428</v>
      </c>
      <c r="E1586" s="106" t="s">
        <v>4181</v>
      </c>
      <c r="F1586" s="106" t="s">
        <v>591</v>
      </c>
      <c r="G1586" s="106" t="s">
        <v>99</v>
      </c>
      <c r="H1586" s="106">
        <v>6</v>
      </c>
      <c r="I1586" s="106" t="s">
        <v>3640</v>
      </c>
      <c r="J1586" s="106"/>
      <c r="K1586" s="106"/>
      <c r="L1586" s="106"/>
      <c r="M1586" s="106"/>
      <c r="N1586" s="106"/>
      <c r="O1586" s="106"/>
      <c r="P1586" s="106"/>
      <c r="Q1586" s="106">
        <v>1625</v>
      </c>
      <c r="R1586" s="106">
        <v>3.9513677811550151E-2</v>
      </c>
      <c r="S1586" s="106">
        <v>41458.333333333336</v>
      </c>
      <c r="T1586" s="106">
        <v>107666.66666666667</v>
      </c>
      <c r="U1586" s="106">
        <v>107666.66666666667</v>
      </c>
      <c r="V1586" s="106">
        <v>0.36687306501547989</v>
      </c>
      <c r="W1586" s="106">
        <v>127058.82352941176</v>
      </c>
      <c r="X1586" s="110">
        <v>0.55727554179566563</v>
      </c>
      <c r="Y1586" s="106">
        <v>190</v>
      </c>
      <c r="Z1586" s="106">
        <v>8</v>
      </c>
      <c r="AA1586" s="106">
        <v>287111.11111111112</v>
      </c>
      <c r="AB1586" s="106">
        <v>4533.333333333333</v>
      </c>
      <c r="AC1586" s="106">
        <v>0.34829721362229105</v>
      </c>
      <c r="AD1586" s="106">
        <v>56.25</v>
      </c>
      <c r="AE1586" s="106">
        <v>63.333333333333336</v>
      </c>
      <c r="AF1586" s="106">
        <v>-0.16953171310017784</v>
      </c>
      <c r="AG1586" s="106"/>
      <c r="AH1586" s="106">
        <v>41458.333333333336</v>
      </c>
      <c r="AI1586" s="106">
        <v>41458.333333333336</v>
      </c>
      <c r="AJ1586" s="106">
        <v>52250</v>
      </c>
      <c r="AK1586" s="104">
        <v>107666.66666666667</v>
      </c>
      <c r="AL1586" s="118"/>
      <c r="AM1586" s="118"/>
      <c r="AN1586" s="118">
        <v>570</v>
      </c>
      <c r="AO1586" s="118"/>
      <c r="AP1586" s="118">
        <f t="shared" si="24"/>
        <v>0</v>
      </c>
    </row>
    <row r="1587" spans="1:42" ht="12.75">
      <c r="A1587" s="106">
        <v>2018</v>
      </c>
      <c r="B1587" s="106">
        <v>-194824</v>
      </c>
      <c r="C1587" s="106">
        <v>0</v>
      </c>
      <c r="D1587" s="106">
        <v>194824</v>
      </c>
      <c r="E1587" s="106" t="s">
        <v>2547</v>
      </c>
      <c r="F1587" s="106" t="s">
        <v>1528</v>
      </c>
      <c r="G1587" s="106" t="s">
        <v>69</v>
      </c>
      <c r="H1587" s="106">
        <v>5</v>
      </c>
      <c r="I1587" s="106" t="s">
        <v>3639</v>
      </c>
      <c r="J1587" s="106">
        <v>52305</v>
      </c>
      <c r="K1587" s="106">
        <v>39308</v>
      </c>
      <c r="L1587" s="106">
        <v>21259</v>
      </c>
      <c r="M1587" s="106">
        <v>0.15</v>
      </c>
      <c r="N1587" s="106">
        <v>0.53</v>
      </c>
      <c r="O1587" s="106">
        <v>0.82</v>
      </c>
      <c r="P1587" s="106">
        <v>29196</v>
      </c>
      <c r="Q1587" s="106">
        <v>24310.301664789084</v>
      </c>
      <c r="R1587" s="106">
        <v>0.53063192780465951</v>
      </c>
      <c r="S1587" s="106">
        <v>53924.521216672925</v>
      </c>
      <c r="T1587" s="106">
        <v>53742.771310552009</v>
      </c>
      <c r="U1587" s="106">
        <v>27977.525915400183</v>
      </c>
      <c r="V1587" s="106">
        <v>0.76860146498320359</v>
      </c>
      <c r="W1587" s="106">
        <v>120767.7859988617</v>
      </c>
      <c r="X1587" s="110">
        <v>0.49420870103947584</v>
      </c>
      <c r="Y1587" s="106">
        <v>373.9538626609442</v>
      </c>
      <c r="Z1587" s="106">
        <v>12.85783261802575</v>
      </c>
      <c r="AA1587" s="106">
        <v>111980.18764435475</v>
      </c>
      <c r="AB1587" s="106">
        <v>961.96451275288177</v>
      </c>
      <c r="AC1587" s="106">
        <v>0.89301511368775877</v>
      </c>
      <c r="AD1587" s="106">
        <v>26.567283375482496</v>
      </c>
      <c r="AE1587" s="106">
        <v>116.40781563126252</v>
      </c>
      <c r="AF1587" s="106">
        <v>0.19125413957775178</v>
      </c>
      <c r="AG1587" s="106">
        <v>51000</v>
      </c>
      <c r="AH1587" s="106">
        <v>40598.197521592192</v>
      </c>
      <c r="AI1587" s="106">
        <v>47587.933408436598</v>
      </c>
      <c r="AJ1587" s="106">
        <v>60938.916009513079</v>
      </c>
      <c r="AK1587" s="104">
        <v>46578.295155839282</v>
      </c>
      <c r="AL1587" s="118">
        <v>607000</v>
      </c>
      <c r="AM1587" s="118">
        <v>6366</v>
      </c>
      <c r="AN1587" s="118">
        <v>232350</v>
      </c>
      <c r="AO1587" s="118">
        <v>1425</v>
      </c>
      <c r="AP1587" s="118">
        <f t="shared" si="24"/>
        <v>1305</v>
      </c>
    </row>
    <row r="1588" spans="1:42" ht="12.75">
      <c r="A1588" s="106">
        <v>2018</v>
      </c>
      <c r="B1588" s="106">
        <v>-236382</v>
      </c>
      <c r="C1588" s="106">
        <v>0</v>
      </c>
      <c r="D1588" s="106">
        <v>236382</v>
      </c>
      <c r="E1588" s="106" t="s">
        <v>2548</v>
      </c>
      <c r="F1588" s="106" t="s">
        <v>2549</v>
      </c>
      <c r="G1588" s="106" t="s">
        <v>182</v>
      </c>
      <c r="H1588" s="106">
        <v>4</v>
      </c>
      <c r="I1588" s="106" t="s">
        <v>24</v>
      </c>
      <c r="J1588" s="106">
        <v>5377</v>
      </c>
      <c r="K1588" s="106">
        <v>5908</v>
      </c>
      <c r="L1588" s="106">
        <v>5259</v>
      </c>
      <c r="M1588" s="106">
        <v>0.61</v>
      </c>
      <c r="N1588" s="106">
        <v>0.17</v>
      </c>
      <c r="O1588" s="106">
        <v>0.15</v>
      </c>
      <c r="P1588" s="106">
        <v>869</v>
      </c>
      <c r="Q1588" s="106">
        <v>695.24115755627008</v>
      </c>
      <c r="R1588" s="106">
        <v>0.17208759967874293</v>
      </c>
      <c r="S1588" s="106">
        <v>14935.622365130404</v>
      </c>
      <c r="T1588" s="106">
        <v>15902.334762415148</v>
      </c>
      <c r="U1588" s="106">
        <v>10167.268667381208</v>
      </c>
      <c r="V1588" s="106">
        <v>0.32897733991117145</v>
      </c>
      <c r="W1588" s="106">
        <v>92560.301123595505</v>
      </c>
      <c r="X1588" s="110">
        <v>0.61692123691338041</v>
      </c>
      <c r="Y1588" s="106">
        <v>983.96875</v>
      </c>
      <c r="Z1588" s="106">
        <v>21.8671875</v>
      </c>
      <c r="AA1588" s="106">
        <v>27575.760658914729</v>
      </c>
      <c r="AB1588" s="106">
        <v>225.95186108552736</v>
      </c>
      <c r="AC1588" s="106">
        <v>3.6263732209204482</v>
      </c>
      <c r="AD1588" s="106">
        <v>43.61792054099746</v>
      </c>
      <c r="AE1588" s="106">
        <v>122.04263565891473</v>
      </c>
      <c r="AF1588" s="106">
        <v>-3.8919306140464745E-2</v>
      </c>
      <c r="AG1588" s="106">
        <v>3518</v>
      </c>
      <c r="AH1588" s="106">
        <v>13652.073597713468</v>
      </c>
      <c r="AI1588" s="106">
        <v>13652.073597713468</v>
      </c>
      <c r="AJ1588" s="106">
        <v>14952.863522686674</v>
      </c>
      <c r="AK1588" s="104">
        <v>12061.96463022508</v>
      </c>
      <c r="AL1588" s="119">
        <v>19021512</v>
      </c>
      <c r="AM1588" s="118">
        <v>3763</v>
      </c>
      <c r="AN1588" s="118">
        <v>125948</v>
      </c>
      <c r="AO1588" s="118">
        <v>274</v>
      </c>
      <c r="AP1588" s="118">
        <f t="shared" si="24"/>
        <v>1859</v>
      </c>
    </row>
    <row r="1589" spans="1:42" ht="12.75">
      <c r="A1589" s="106">
        <v>2018</v>
      </c>
      <c r="B1589" s="106">
        <v>-217420</v>
      </c>
      <c r="C1589" s="106">
        <v>0</v>
      </c>
      <c r="D1589" s="106">
        <v>217420</v>
      </c>
      <c r="E1589" s="106" t="s">
        <v>2550</v>
      </c>
      <c r="F1589" s="106" t="s">
        <v>468</v>
      </c>
      <c r="G1589" s="106" t="s">
        <v>469</v>
      </c>
      <c r="H1589" s="106">
        <v>2</v>
      </c>
      <c r="I1589" s="106" t="s">
        <v>25</v>
      </c>
      <c r="J1589" s="106">
        <v>8776</v>
      </c>
      <c r="K1589" s="106">
        <v>9273</v>
      </c>
      <c r="L1589" s="106">
        <v>7909</v>
      </c>
      <c r="M1589" s="106">
        <v>0.56999999999999995</v>
      </c>
      <c r="N1589" s="106">
        <v>0.66</v>
      </c>
      <c r="O1589" s="106">
        <v>0.47</v>
      </c>
      <c r="P1589" s="106">
        <v>5174</v>
      </c>
      <c r="Q1589" s="106">
        <v>50.838209479227622</v>
      </c>
      <c r="R1589" s="106">
        <v>4.7832093263181436E-3</v>
      </c>
      <c r="S1589" s="106">
        <v>20988.242100643653</v>
      </c>
      <c r="T1589" s="106">
        <v>22663.486688121709</v>
      </c>
      <c r="U1589" s="106">
        <v>15825.573248781327</v>
      </c>
      <c r="V1589" s="106">
        <v>0.66838870662437788</v>
      </c>
      <c r="W1589" s="106">
        <v>101028.34323770492</v>
      </c>
      <c r="X1589" s="110">
        <v>0.63644996877412319</v>
      </c>
      <c r="Y1589" s="106">
        <v>428.60099573257469</v>
      </c>
      <c r="Z1589" s="106">
        <v>14.586059743954483</v>
      </c>
      <c r="AA1589" s="106">
        <v>63637.422781570087</v>
      </c>
      <c r="AB1589" s="106">
        <v>538.57260992711315</v>
      </c>
      <c r="AC1589" s="106">
        <v>1.5714024174618337</v>
      </c>
      <c r="AD1589" s="106">
        <v>25.60626600391625</v>
      </c>
      <c r="AE1589" s="106">
        <v>118.15941176470588</v>
      </c>
      <c r="AF1589" s="106">
        <v>0.11521651459848531</v>
      </c>
      <c r="AG1589" s="106">
        <v>7637</v>
      </c>
      <c r="AH1589" s="106">
        <v>22684.360298420128</v>
      </c>
      <c r="AI1589" s="106">
        <v>22779.329139847865</v>
      </c>
      <c r="AJ1589" s="106">
        <v>21027.957723815096</v>
      </c>
      <c r="AK1589" s="104">
        <v>19724.624049151549</v>
      </c>
      <c r="AL1589" s="119">
        <v>47903024</v>
      </c>
      <c r="AM1589" s="118">
        <v>7077</v>
      </c>
      <c r="AN1589" s="118">
        <v>200871</v>
      </c>
      <c r="AO1589" s="118">
        <v>1351</v>
      </c>
      <c r="AP1589" s="118">
        <f t="shared" si="24"/>
        <v>1139</v>
      </c>
    </row>
    <row r="1590" spans="1:42" ht="12.75">
      <c r="A1590" s="106">
        <v>2018</v>
      </c>
      <c r="B1590" s="106">
        <v>-221351</v>
      </c>
      <c r="C1590" s="106">
        <v>0</v>
      </c>
      <c r="D1590" s="106">
        <v>221351</v>
      </c>
      <c r="E1590" s="106" t="s">
        <v>2551</v>
      </c>
      <c r="F1590" s="106" t="s">
        <v>733</v>
      </c>
      <c r="G1590" s="106" t="s">
        <v>255</v>
      </c>
      <c r="H1590" s="106">
        <v>7</v>
      </c>
      <c r="I1590" s="106" t="s">
        <v>3641</v>
      </c>
      <c r="J1590" s="106">
        <v>46504</v>
      </c>
      <c r="K1590" s="106">
        <v>29915</v>
      </c>
      <c r="L1590" s="106">
        <v>14389</v>
      </c>
      <c r="M1590" s="106">
        <v>0.16</v>
      </c>
      <c r="N1590" s="106">
        <v>0.43</v>
      </c>
      <c r="O1590" s="106">
        <v>0.94</v>
      </c>
      <c r="P1590" s="106">
        <v>29289</v>
      </c>
      <c r="Q1590" s="106">
        <v>23797.039981403999</v>
      </c>
      <c r="R1590" s="106">
        <v>0.55587303722670445</v>
      </c>
      <c r="S1590" s="106">
        <v>38114.786610878662</v>
      </c>
      <c r="T1590" s="106">
        <v>41125.921896792192</v>
      </c>
      <c r="U1590" s="106">
        <v>32677.977219897723</v>
      </c>
      <c r="V1590" s="106">
        <v>0.58183428050251407</v>
      </c>
      <c r="W1590" s="106">
        <v>100866.31589537223</v>
      </c>
      <c r="X1590" s="110">
        <v>0.56669122866490096</v>
      </c>
      <c r="Y1590" s="106">
        <v>328.82453151618398</v>
      </c>
      <c r="Z1590" s="106">
        <v>10.993185689948893</v>
      </c>
      <c r="AA1590" s="106">
        <v>147359.18029350103</v>
      </c>
      <c r="AB1590" s="106">
        <v>1092.4825769350327</v>
      </c>
      <c r="AC1590" s="106">
        <v>0.67861398116375304</v>
      </c>
      <c r="AD1590" s="106">
        <v>23.790523690773068</v>
      </c>
      <c r="AE1590" s="106">
        <v>134.8846960167715</v>
      </c>
      <c r="AF1590" s="106">
        <v>4.4602536991474526E-2</v>
      </c>
      <c r="AG1590" s="106">
        <v>46194</v>
      </c>
      <c r="AH1590" s="106">
        <v>27963.799628079963</v>
      </c>
      <c r="AI1590" s="106">
        <v>38184.315667131566</v>
      </c>
      <c r="AJ1590" s="106">
        <v>51661.13761041376</v>
      </c>
      <c r="AK1590" s="104">
        <v>32677.977219897723</v>
      </c>
      <c r="AL1590" s="118"/>
      <c r="AM1590" s="118">
        <v>1988</v>
      </c>
      <c r="AN1590" s="118">
        <v>64340</v>
      </c>
      <c r="AO1590" s="118">
        <v>455</v>
      </c>
      <c r="AP1590" s="118">
        <f t="shared" si="24"/>
        <v>310</v>
      </c>
    </row>
    <row r="1591" spans="1:42" ht="12.75">
      <c r="A1591" s="106">
        <v>2018</v>
      </c>
      <c r="B1591" s="106">
        <v>-227757</v>
      </c>
      <c r="C1591" s="106">
        <v>0</v>
      </c>
      <c r="D1591" s="106">
        <v>227757</v>
      </c>
      <c r="E1591" s="106" t="s">
        <v>2552</v>
      </c>
      <c r="F1591" s="106" t="s">
        <v>1518</v>
      </c>
      <c r="G1591" s="106" t="s">
        <v>60</v>
      </c>
      <c r="H1591" s="106">
        <v>5</v>
      </c>
      <c r="I1591" s="106" t="s">
        <v>3639</v>
      </c>
      <c r="J1591" s="106">
        <v>45608</v>
      </c>
      <c r="K1591" s="106">
        <v>23202</v>
      </c>
      <c r="L1591" s="106">
        <v>6167</v>
      </c>
      <c r="M1591" s="106">
        <v>0.16</v>
      </c>
      <c r="N1591" s="106">
        <v>0.15</v>
      </c>
      <c r="O1591" s="106">
        <v>0.57999999999999996</v>
      </c>
      <c r="P1591" s="106">
        <v>37893</v>
      </c>
      <c r="Q1591" s="106">
        <v>18133.671397675047</v>
      </c>
      <c r="R1591" s="106">
        <v>0.45660368066002738</v>
      </c>
      <c r="S1591" s="106">
        <v>71673.965936739653</v>
      </c>
      <c r="T1591" s="106">
        <v>93630.440659637738</v>
      </c>
      <c r="U1591" s="106">
        <v>64330.355799913712</v>
      </c>
      <c r="V1591" s="106">
        <v>0.33546488944124631</v>
      </c>
      <c r="W1591" s="106">
        <v>137306.54969245711</v>
      </c>
      <c r="X1591" s="110">
        <v>0.61231904579039609</v>
      </c>
      <c r="Y1591" s="106">
        <v>271.79406474820144</v>
      </c>
      <c r="Z1591" s="106">
        <v>9.9793165467625897</v>
      </c>
      <c r="AA1591" s="106">
        <v>228038.31921790208</v>
      </c>
      <c r="AB1591" s="106">
        <v>2361.9830870403575</v>
      </c>
      <c r="AC1591" s="106">
        <v>0.4385227901300438</v>
      </c>
      <c r="AD1591" s="106">
        <v>30.592201700381121</v>
      </c>
      <c r="AE1591" s="106">
        <v>96.545280306660274</v>
      </c>
      <c r="AF1591" s="106">
        <v>7.1616348128371851E-2</v>
      </c>
      <c r="AG1591" s="106">
        <v>44900</v>
      </c>
      <c r="AH1591" s="106">
        <v>45507.042308732089</v>
      </c>
      <c r="AI1591" s="106">
        <v>70605.987969721551</v>
      </c>
      <c r="AJ1591" s="106">
        <v>158669.09975669099</v>
      </c>
      <c r="AK1591" s="104">
        <v>85194.376858610442</v>
      </c>
      <c r="AM1591" s="118">
        <v>4001</v>
      </c>
      <c r="AN1591" s="118">
        <v>201490</v>
      </c>
      <c r="AO1591" s="118">
        <v>1006</v>
      </c>
      <c r="AP1591" s="118">
        <f t="shared" si="24"/>
        <v>708</v>
      </c>
    </row>
    <row r="1592" spans="1:42" ht="12.75">
      <c r="A1592" s="106">
        <v>2018</v>
      </c>
      <c r="B1592" s="106">
        <v>-233338</v>
      </c>
      <c r="C1592" s="106">
        <v>0</v>
      </c>
      <c r="D1592" s="106">
        <v>233338</v>
      </c>
      <c r="E1592" s="106" t="s">
        <v>4182</v>
      </c>
      <c r="F1592" s="106" t="s">
        <v>4183</v>
      </c>
      <c r="G1592" s="106" t="s">
        <v>261</v>
      </c>
      <c r="H1592" s="106">
        <v>4</v>
      </c>
      <c r="I1592" s="106" t="s">
        <v>24</v>
      </c>
      <c r="J1592" s="106">
        <v>7823</v>
      </c>
      <c r="K1592" s="106">
        <v>12982</v>
      </c>
      <c r="L1592" s="106">
        <v>11642</v>
      </c>
      <c r="M1592" s="106">
        <v>0.48</v>
      </c>
      <c r="N1592" s="106">
        <v>0.56000000000000005</v>
      </c>
      <c r="O1592" s="106">
        <v>0.14000000000000001</v>
      </c>
      <c r="P1592" s="106">
        <v>1623</v>
      </c>
      <c r="Q1592" s="106">
        <v>565.09516256938934</v>
      </c>
      <c r="R1592" s="106">
        <v>0.17020767875884796</v>
      </c>
      <c r="S1592" s="106">
        <v>13028.770023790643</v>
      </c>
      <c r="T1592" s="106">
        <v>15517.816019032514</v>
      </c>
      <c r="U1592" s="106">
        <v>8963.3005551149872</v>
      </c>
      <c r="V1592" s="106">
        <v>0.30735755510929136</v>
      </c>
      <c r="W1592" s="106">
        <v>77885.498915401302</v>
      </c>
      <c r="X1592" s="110">
        <v>0.61163255291837693</v>
      </c>
      <c r="Y1592" s="106">
        <v>834.375</v>
      </c>
      <c r="Z1592" s="106">
        <v>27.816176470588236</v>
      </c>
      <c r="AA1592" s="106">
        <v>48302.230769230766</v>
      </c>
      <c r="AB1592" s="106">
        <v>298.81617977528089</v>
      </c>
      <c r="AC1592" s="106">
        <v>2.0702977565935003</v>
      </c>
      <c r="AD1592" s="106">
        <v>17.180616740088105</v>
      </c>
      <c r="AE1592" s="106">
        <v>161.64529914529913</v>
      </c>
      <c r="AF1592" s="106">
        <v>-0.10814577916195581</v>
      </c>
      <c r="AG1592" s="106">
        <v>5610</v>
      </c>
      <c r="AH1592" s="106">
        <v>13145.932593180016</v>
      </c>
      <c r="AI1592" s="106">
        <v>13145.932593180016</v>
      </c>
      <c r="AJ1592" s="106">
        <v>13128.567010309278</v>
      </c>
      <c r="AK1592" s="104">
        <v>9373.1966693100712</v>
      </c>
      <c r="AL1592" s="118">
        <v>8019269</v>
      </c>
      <c r="AM1592" s="118">
        <v>2487</v>
      </c>
      <c r="AN1592" s="118">
        <v>37825</v>
      </c>
      <c r="AO1592" s="118">
        <v>227</v>
      </c>
      <c r="AP1592" s="118">
        <f t="shared" si="24"/>
        <v>2213</v>
      </c>
    </row>
    <row r="1593" spans="1:42" ht="12.75">
      <c r="A1593" s="106">
        <v>2018</v>
      </c>
      <c r="B1593" s="106">
        <v>-227766</v>
      </c>
      <c r="C1593" s="106">
        <v>0</v>
      </c>
      <c r="D1593" s="106">
        <v>227766</v>
      </c>
      <c r="E1593" s="106" t="s">
        <v>2555</v>
      </c>
      <c r="F1593" s="106" t="s">
        <v>992</v>
      </c>
      <c r="G1593" s="106" t="s">
        <v>60</v>
      </c>
      <c r="H1593" s="106">
        <v>4</v>
      </c>
      <c r="I1593" s="106" t="s">
        <v>24</v>
      </c>
      <c r="J1593" s="106">
        <v>1770</v>
      </c>
      <c r="K1593" s="106">
        <v>4098</v>
      </c>
      <c r="L1593" s="106">
        <v>3823</v>
      </c>
      <c r="M1593" s="106">
        <v>0.41</v>
      </c>
      <c r="N1593" s="106">
        <v>0.08</v>
      </c>
      <c r="O1593" s="106">
        <v>0.03</v>
      </c>
      <c r="P1593" s="106">
        <v>1614</v>
      </c>
      <c r="Q1593" s="106">
        <v>138.92654673102237</v>
      </c>
      <c r="R1593" s="106">
        <v>6.210686629982165E-2</v>
      </c>
      <c r="S1593" s="106">
        <v>9610.6867924528306</v>
      </c>
      <c r="T1593" s="106">
        <v>9049.0969723562957</v>
      </c>
      <c r="U1593" s="106">
        <v>7566.9954608772814</v>
      </c>
      <c r="V1593" s="106">
        <v>0.27725252295426739</v>
      </c>
      <c r="W1593" s="106">
        <v>66287.564877355137</v>
      </c>
      <c r="X1593" s="110">
        <v>0.60278296564807687</v>
      </c>
      <c r="Y1593" s="106">
        <v>905.93639575971724</v>
      </c>
      <c r="Z1593" s="106">
        <v>30.198763250883388</v>
      </c>
      <c r="AA1593" s="106">
        <v>30762.009731251026</v>
      </c>
      <c r="AB1593" s="106">
        <v>252.24056072050263</v>
      </c>
      <c r="AC1593" s="106">
        <v>3.2507629011771075</v>
      </c>
      <c r="AD1593" s="106">
        <v>31.33243907891795</v>
      </c>
      <c r="AE1593" s="106">
        <v>121.95504816268284</v>
      </c>
      <c r="AF1593" s="106">
        <v>7.2561071397152677E-2</v>
      </c>
      <c r="AG1593" s="106">
        <v>1770</v>
      </c>
      <c r="AH1593" s="106">
        <v>8693.7302325581404</v>
      </c>
      <c r="AI1593" s="106">
        <v>8693.7302325581404</v>
      </c>
      <c r="AJ1593" s="106">
        <v>9617.5283896445817</v>
      </c>
      <c r="AK1593" s="104">
        <v>8843.0173760421239</v>
      </c>
      <c r="AL1593" s="118">
        <v>68001061</v>
      </c>
      <c r="AM1593" s="118">
        <v>18794</v>
      </c>
      <c r="AN1593" s="118">
        <v>341840</v>
      </c>
      <c r="AO1593" s="118">
        <v>2360</v>
      </c>
      <c r="AP1593" s="118">
        <f t="shared" si="24"/>
        <v>0</v>
      </c>
    </row>
    <row r="1594" spans="1:42" ht="12.75">
      <c r="A1594" s="106">
        <v>2018</v>
      </c>
      <c r="B1594" s="106">
        <v>-148292</v>
      </c>
      <c r="C1594" s="106">
        <v>0</v>
      </c>
      <c r="D1594" s="106">
        <v>148292</v>
      </c>
      <c r="E1594" s="106" t="s">
        <v>2556</v>
      </c>
      <c r="F1594" s="106" t="s">
        <v>76</v>
      </c>
      <c r="G1594" s="106" t="s">
        <v>243</v>
      </c>
      <c r="H1594" s="106">
        <v>4</v>
      </c>
      <c r="I1594" s="106" t="s">
        <v>24</v>
      </c>
      <c r="J1594" s="106">
        <v>4350</v>
      </c>
      <c r="K1594" s="106">
        <v>5017</v>
      </c>
      <c r="L1594" s="106">
        <v>4402</v>
      </c>
      <c r="M1594" s="106">
        <v>0.5</v>
      </c>
      <c r="N1594" s="106">
        <v>0.15</v>
      </c>
      <c r="O1594" s="106">
        <v>0.41</v>
      </c>
      <c r="P1594" s="106">
        <v>2207</v>
      </c>
      <c r="Q1594" s="106">
        <v>523.22441430332924</v>
      </c>
      <c r="R1594" s="106">
        <v>0.12309137801948587</v>
      </c>
      <c r="S1594" s="106">
        <v>24352.072749691739</v>
      </c>
      <c r="T1594" s="106">
        <v>19278.996300863131</v>
      </c>
      <c r="U1594" s="106">
        <v>16158.023821723555</v>
      </c>
      <c r="V1594" s="106">
        <v>0.23068877504397256</v>
      </c>
      <c r="W1594" s="106">
        <v>71226.082474226801</v>
      </c>
      <c r="X1594" s="110">
        <v>0.44188119345075422</v>
      </c>
      <c r="Y1594" s="106">
        <v>523.31182795698919</v>
      </c>
      <c r="Z1594" s="106">
        <v>17.440860215053764</v>
      </c>
      <c r="AA1594" s="106">
        <v>24334.553982205762</v>
      </c>
      <c r="AB1594" s="106">
        <v>538.51225936622848</v>
      </c>
      <c r="AC1594" s="106">
        <v>4.1093828994409893</v>
      </c>
      <c r="AD1594" s="106">
        <v>77.259684361549503</v>
      </c>
      <c r="AE1594" s="106">
        <v>45.188486536675953</v>
      </c>
      <c r="AF1594" s="106">
        <v>0.35987423102927607</v>
      </c>
      <c r="AG1594" s="106">
        <v>3990</v>
      </c>
      <c r="AH1594" s="106">
        <v>21748.287916152898</v>
      </c>
      <c r="AI1594" s="106">
        <v>24411.745376078914</v>
      </c>
      <c r="AJ1594" s="106">
        <v>24459.492601726262</v>
      </c>
      <c r="AK1594" s="104">
        <v>17450.091861898891</v>
      </c>
      <c r="AL1594" s="118">
        <v>12822440</v>
      </c>
      <c r="AM1594" s="118">
        <v>2515</v>
      </c>
      <c r="AN1594" s="118">
        <v>48668</v>
      </c>
      <c r="AO1594" s="118">
        <v>391</v>
      </c>
      <c r="AP1594" s="118">
        <f t="shared" si="24"/>
        <v>360</v>
      </c>
    </row>
    <row r="1595" spans="1:42" ht="12.75">
      <c r="A1595" s="106">
        <v>2018</v>
      </c>
      <c r="B1595" s="106">
        <v>-199449</v>
      </c>
      <c r="C1595" s="106">
        <v>0</v>
      </c>
      <c r="D1595" s="106">
        <v>199449</v>
      </c>
      <c r="E1595" s="106" t="s">
        <v>2557</v>
      </c>
      <c r="F1595" s="106" t="s">
        <v>2558</v>
      </c>
      <c r="G1595" s="106" t="s">
        <v>90</v>
      </c>
      <c r="H1595" s="106">
        <v>4</v>
      </c>
      <c r="I1595" s="106" t="s">
        <v>24</v>
      </c>
      <c r="J1595" s="106">
        <v>2516</v>
      </c>
      <c r="K1595" s="106">
        <v>4705</v>
      </c>
      <c r="L1595" s="106">
        <v>4155</v>
      </c>
      <c r="M1595" s="106">
        <v>0.74</v>
      </c>
      <c r="N1595" s="106">
        <v>0</v>
      </c>
      <c r="O1595" s="106">
        <v>0.26</v>
      </c>
      <c r="P1595" s="106">
        <v>1638</v>
      </c>
      <c r="Q1595" s="106">
        <v>120.7328094302554</v>
      </c>
      <c r="R1595" s="106">
        <v>7.5338716509161879E-2</v>
      </c>
      <c r="S1595" s="106">
        <v>11938.623772102161</v>
      </c>
      <c r="T1595" s="106">
        <v>13066.080550098231</v>
      </c>
      <c r="U1595" s="106">
        <v>9492.0232053882592</v>
      </c>
      <c r="V1595" s="106">
        <v>0.15611008921151828</v>
      </c>
      <c r="W1595" s="106">
        <v>70371.391634980988</v>
      </c>
      <c r="X1595" s="110">
        <v>0.69571086069224963</v>
      </c>
      <c r="Y1595" s="106">
        <v>489.89037433155079</v>
      </c>
      <c r="Z1595" s="106">
        <v>16.331550802139038</v>
      </c>
      <c r="AA1595" s="106">
        <v>21738.761806715967</v>
      </c>
      <c r="AB1595" s="106">
        <v>316.43703839946448</v>
      </c>
      <c r="AC1595" s="106">
        <v>4.60007800302159</v>
      </c>
      <c r="AD1595" s="106">
        <v>57.764782326185838</v>
      </c>
      <c r="AE1595" s="106">
        <v>68.698537682789649</v>
      </c>
      <c r="AF1595" s="106">
        <v>-6.2728123100085534E-2</v>
      </c>
      <c r="AG1595" s="106">
        <v>2432</v>
      </c>
      <c r="AH1595" s="106">
        <v>10308.175834970531</v>
      </c>
      <c r="AI1595" s="106">
        <v>10428.241159135559</v>
      </c>
      <c r="AJ1595" s="106">
        <v>11952.805009823183</v>
      </c>
      <c r="AK1595" s="104">
        <v>11169.914047151276</v>
      </c>
      <c r="AL1595" s="118">
        <v>16207649</v>
      </c>
      <c r="AM1595" s="118">
        <v>2528</v>
      </c>
      <c r="AN1595" s="118">
        <v>61073</v>
      </c>
      <c r="AO1595" s="118">
        <v>416</v>
      </c>
      <c r="AP1595" s="118">
        <f t="shared" si="24"/>
        <v>84</v>
      </c>
    </row>
    <row r="1596" spans="1:42" ht="12.75">
      <c r="A1596" s="106">
        <v>2018</v>
      </c>
      <c r="B1596" s="106">
        <v>-186283</v>
      </c>
      <c r="C1596" s="106">
        <v>0</v>
      </c>
      <c r="D1596" s="106">
        <v>186283</v>
      </c>
      <c r="E1596" s="106" t="s">
        <v>2559</v>
      </c>
      <c r="F1596" s="106" t="s">
        <v>1328</v>
      </c>
      <c r="G1596" s="106" t="s">
        <v>234</v>
      </c>
      <c r="H1596" s="106">
        <v>6</v>
      </c>
      <c r="I1596" s="106" t="s">
        <v>3640</v>
      </c>
      <c r="J1596" s="106">
        <v>41310</v>
      </c>
      <c r="K1596" s="106">
        <v>29284</v>
      </c>
      <c r="L1596" s="106">
        <v>20931</v>
      </c>
      <c r="M1596" s="106">
        <v>0.36</v>
      </c>
      <c r="N1596" s="106">
        <v>0.76</v>
      </c>
      <c r="O1596" s="106">
        <v>0.97</v>
      </c>
      <c r="P1596" s="106">
        <v>23209</v>
      </c>
      <c r="Q1596" s="106">
        <v>16695.783132530119</v>
      </c>
      <c r="R1596" s="106">
        <v>0.43855078524563296</v>
      </c>
      <c r="S1596" s="106">
        <v>32773.666092943204</v>
      </c>
      <c r="T1596" s="106">
        <v>31353.055077452667</v>
      </c>
      <c r="U1596" s="106">
        <v>26952.801204017203</v>
      </c>
      <c r="V1596" s="106">
        <v>0.79303704077390069</v>
      </c>
      <c r="W1596" s="106">
        <v>101679.43316736881</v>
      </c>
      <c r="X1596" s="110">
        <v>0.60725730637004305</v>
      </c>
      <c r="Y1596" s="106">
        <v>399.00295566502467</v>
      </c>
      <c r="Z1596" s="106">
        <v>13.737931034482759</v>
      </c>
      <c r="AA1596" s="106">
        <v>81242.944225857311</v>
      </c>
      <c r="AB1596" s="106">
        <v>928.00245930451251</v>
      </c>
      <c r="AC1596" s="106">
        <v>1.2308761204172713</v>
      </c>
      <c r="AD1596" s="106">
        <v>34.597262732779896</v>
      </c>
      <c r="AE1596" s="106">
        <v>87.546044098573276</v>
      </c>
      <c r="AF1596" s="106">
        <v>8.7211834286276213E-2</v>
      </c>
      <c r="AG1596" s="106">
        <v>40570</v>
      </c>
      <c r="AH1596" s="106">
        <v>30022.805507745266</v>
      </c>
      <c r="AI1596" s="106">
        <v>32773.666092943204</v>
      </c>
      <c r="AJ1596" s="106">
        <v>33373.709122203101</v>
      </c>
      <c r="AK1596" s="104">
        <v>27387.693631669536</v>
      </c>
      <c r="AL1596" s="118">
        <v>95000</v>
      </c>
      <c r="AM1596" s="118">
        <v>4094</v>
      </c>
      <c r="AN1596" s="118">
        <v>134996</v>
      </c>
      <c r="AO1596" s="118">
        <v>987</v>
      </c>
      <c r="AP1596" s="118">
        <f t="shared" si="24"/>
        <v>740</v>
      </c>
    </row>
    <row r="1597" spans="1:42" ht="12.75">
      <c r="A1597" s="106">
        <v>2018</v>
      </c>
      <c r="B1597" s="106">
        <v>-175236</v>
      </c>
      <c r="C1597" s="106">
        <v>0</v>
      </c>
      <c r="D1597" s="106">
        <v>175236</v>
      </c>
      <c r="E1597" s="106" t="s">
        <v>2560</v>
      </c>
      <c r="F1597" s="106" t="s">
        <v>2561</v>
      </c>
      <c r="G1597" s="106" t="s">
        <v>113</v>
      </c>
      <c r="H1597" s="106">
        <v>4</v>
      </c>
      <c r="I1597" s="106" t="s">
        <v>24</v>
      </c>
      <c r="J1597" s="106">
        <v>5759</v>
      </c>
      <c r="K1597" s="106">
        <v>11782</v>
      </c>
      <c r="L1597" s="106">
        <v>10396</v>
      </c>
      <c r="M1597" s="106">
        <v>0.51</v>
      </c>
      <c r="N1597" s="106">
        <v>0.47</v>
      </c>
      <c r="O1597" s="106">
        <v>0</v>
      </c>
      <c r="P1597" s="106">
        <v>1388</v>
      </c>
      <c r="Q1597" s="106">
        <v>2.6727758686521574</v>
      </c>
      <c r="R1597" s="106">
        <v>4.3881644934804409E-4</v>
      </c>
      <c r="S1597" s="106">
        <v>14954.18098510882</v>
      </c>
      <c r="T1597" s="106">
        <v>16704.467353951892</v>
      </c>
      <c r="U1597" s="106">
        <v>13876.805306635661</v>
      </c>
      <c r="V1597" s="106">
        <v>0.43873222035869042</v>
      </c>
      <c r="W1597" s="106">
        <v>124862.93706293705</v>
      </c>
      <c r="X1597" s="110">
        <v>0.6802212622002789</v>
      </c>
      <c r="Y1597" s="106">
        <v>654.82500000000005</v>
      </c>
      <c r="Z1597" s="106">
        <v>21.824999999999999</v>
      </c>
      <c r="AA1597" s="106">
        <v>38256.161155872418</v>
      </c>
      <c r="AB1597" s="106">
        <v>462.50719782739401</v>
      </c>
      <c r="AC1597" s="106">
        <v>2.6139580391392654</v>
      </c>
      <c r="AD1597" s="106">
        <v>39.256198347107443</v>
      </c>
      <c r="AE1597" s="106">
        <v>82.714736842105268</v>
      </c>
      <c r="AF1597" s="106">
        <v>-0.14351127561338572</v>
      </c>
      <c r="AG1597" s="106">
        <v>5161</v>
      </c>
      <c r="AH1597" s="106">
        <v>15351.660939289804</v>
      </c>
      <c r="AI1597" s="106">
        <v>15461.244749904543</v>
      </c>
      <c r="AJ1597" s="106">
        <v>15065.673921344025</v>
      </c>
      <c r="AK1597" s="104">
        <v>14213.822069492173</v>
      </c>
      <c r="AL1597" s="119">
        <v>17428000</v>
      </c>
      <c r="AM1597" s="118">
        <v>3366</v>
      </c>
      <c r="AN1597" s="118">
        <v>78579</v>
      </c>
      <c r="AO1597" s="118">
        <v>544</v>
      </c>
      <c r="AP1597" s="118">
        <f t="shared" si="24"/>
        <v>598</v>
      </c>
    </row>
    <row r="1598" spans="1:42" ht="12.75">
      <c r="A1598" s="106">
        <v>2018</v>
      </c>
      <c r="B1598" s="106">
        <v>-121886</v>
      </c>
      <c r="C1598" s="106">
        <v>0</v>
      </c>
      <c r="D1598" s="106">
        <v>121886</v>
      </c>
      <c r="E1598" s="106" t="s">
        <v>2562</v>
      </c>
      <c r="F1598" s="106" t="s">
        <v>2563</v>
      </c>
      <c r="G1598" s="106" t="s">
        <v>121</v>
      </c>
      <c r="H1598" s="106">
        <v>4</v>
      </c>
      <c r="I1598" s="106" t="s">
        <v>24</v>
      </c>
      <c r="J1598" s="106">
        <v>1360</v>
      </c>
      <c r="K1598" s="106">
        <v>5792</v>
      </c>
      <c r="L1598" s="106">
        <v>3775</v>
      </c>
      <c r="M1598" s="106">
        <v>0.63</v>
      </c>
      <c r="N1598" s="106">
        <v>0</v>
      </c>
      <c r="O1598" s="106">
        <v>0.09</v>
      </c>
      <c r="P1598" s="106">
        <v>800</v>
      </c>
      <c r="Q1598" s="106">
        <v>976.52641509433965</v>
      </c>
      <c r="R1598" s="106">
        <v>0.61310235388255141</v>
      </c>
      <c r="S1598" s="106">
        <v>12573.5317775571</v>
      </c>
      <c r="T1598" s="106">
        <v>15138.454915590864</v>
      </c>
      <c r="U1598" s="106">
        <v>10590.923213504411</v>
      </c>
      <c r="V1598" s="106">
        <v>5.818530030324244E-2</v>
      </c>
      <c r="W1598" s="106">
        <v>152278.23356871266</v>
      </c>
      <c r="X1598" s="110">
        <v>0.61299840116623361</v>
      </c>
      <c r="Y1598" s="106">
        <v>930.51129363449684</v>
      </c>
      <c r="Z1598" s="106">
        <v>31.016427104722791</v>
      </c>
      <c r="AA1598" s="106">
        <v>25326.667480405944</v>
      </c>
      <c r="AB1598" s="106">
        <v>353.02376238800099</v>
      </c>
      <c r="AC1598" s="106">
        <v>3.9484073487901763</v>
      </c>
      <c r="AD1598" s="106">
        <v>39.436224011987264</v>
      </c>
      <c r="AE1598" s="106">
        <v>71.742104013298501</v>
      </c>
      <c r="AF1598" s="106">
        <v>-0.31292996663813932</v>
      </c>
      <c r="AG1598" s="106">
        <v>1288</v>
      </c>
      <c r="AH1598" s="106">
        <v>10620.847567030785</v>
      </c>
      <c r="AI1598" s="106">
        <v>10620.847567030785</v>
      </c>
      <c r="AJ1598" s="106">
        <v>12750.332174776564</v>
      </c>
      <c r="AK1598" s="104">
        <v>12928.166931479642</v>
      </c>
      <c r="AL1598" s="118">
        <v>65967427</v>
      </c>
      <c r="AM1598" s="118">
        <v>19948</v>
      </c>
      <c r="AN1598" s="118">
        <v>302106</v>
      </c>
      <c r="AO1598" s="118">
        <v>1812</v>
      </c>
      <c r="AP1598" s="118">
        <f t="shared" si="24"/>
        <v>72</v>
      </c>
    </row>
    <row r="1599" spans="1:42" ht="12.75">
      <c r="A1599" s="106">
        <v>2018</v>
      </c>
      <c r="B1599" s="106">
        <v>-105668</v>
      </c>
      <c r="C1599" s="106">
        <v>0</v>
      </c>
      <c r="D1599" s="106">
        <v>105668</v>
      </c>
      <c r="E1599" s="106" t="s">
        <v>2564</v>
      </c>
      <c r="F1599" s="106" t="s">
        <v>194</v>
      </c>
      <c r="G1599" s="106" t="s">
        <v>147</v>
      </c>
      <c r="H1599" s="106">
        <v>4</v>
      </c>
      <c r="I1599" s="106" t="s">
        <v>24</v>
      </c>
      <c r="J1599" s="106">
        <v>2094</v>
      </c>
      <c r="K1599" s="106">
        <v>6836</v>
      </c>
      <c r="L1599" s="106">
        <v>6631</v>
      </c>
      <c r="M1599" s="106">
        <v>0.79</v>
      </c>
      <c r="N1599" s="106">
        <v>0.47</v>
      </c>
      <c r="O1599" s="106">
        <v>0.14000000000000001</v>
      </c>
      <c r="P1599" s="106">
        <v>755</v>
      </c>
      <c r="Q1599" s="106">
        <v>217.19780130951418</v>
      </c>
      <c r="R1599" s="106">
        <v>6.9607556396168335E-2</v>
      </c>
      <c r="S1599" s="106">
        <v>10001.671489774473</v>
      </c>
      <c r="T1599" s="106">
        <v>7612.2037022067743</v>
      </c>
      <c r="U1599" s="106">
        <v>4297.6587690738015</v>
      </c>
      <c r="V1599" s="106">
        <v>0.67551233120395959</v>
      </c>
      <c r="W1599" s="106">
        <v>72279.95495112623</v>
      </c>
      <c r="X1599" s="110">
        <v>0.60200948975864776</v>
      </c>
      <c r="Y1599" s="106">
        <v>1460.2654246575344</v>
      </c>
      <c r="Z1599" s="106">
        <v>50.839726027397255</v>
      </c>
      <c r="AA1599" s="106">
        <v>12224.956687103242</v>
      </c>
      <c r="AB1599" s="106">
        <v>149.62471252799452</v>
      </c>
      <c r="AC1599" s="106">
        <v>8.179988081716095</v>
      </c>
      <c r="AD1599" s="106">
        <v>58.857761537420494</v>
      </c>
      <c r="AE1599" s="106">
        <v>81.704128152065607</v>
      </c>
      <c r="AF1599" s="106"/>
      <c r="AG1599" s="106">
        <v>2064</v>
      </c>
      <c r="AH1599" s="106">
        <v>8680.8894188020367</v>
      </c>
      <c r="AI1599" s="106">
        <v>9455.3534071619106</v>
      </c>
      <c r="AJ1599" s="106">
        <v>10001.716676097325</v>
      </c>
      <c r="AK1599" s="104">
        <v>6697.75143480721</v>
      </c>
      <c r="AL1599" s="119">
        <v>63803924</v>
      </c>
      <c r="AM1599" s="118">
        <v>17635</v>
      </c>
      <c r="AN1599" s="118">
        <v>355331.25333333336</v>
      </c>
      <c r="AO1599" s="118">
        <v>604</v>
      </c>
      <c r="AP1599" s="118">
        <f t="shared" si="24"/>
        <v>30</v>
      </c>
    </row>
    <row r="1600" spans="1:42" ht="12.75">
      <c r="A1600" s="106">
        <v>2018</v>
      </c>
      <c r="B1600" s="106">
        <v>-239628</v>
      </c>
      <c r="C1600" s="106">
        <v>0</v>
      </c>
      <c r="D1600" s="106">
        <v>239628</v>
      </c>
      <c r="E1600" s="106" t="s">
        <v>2565</v>
      </c>
      <c r="F1600" s="106" t="s">
        <v>2566</v>
      </c>
      <c r="G1600" s="106" t="s">
        <v>139</v>
      </c>
      <c r="H1600" s="106">
        <v>7</v>
      </c>
      <c r="I1600" s="106" t="s">
        <v>3641</v>
      </c>
      <c r="J1600" s="106">
        <v>41835</v>
      </c>
      <c r="K1600" s="106">
        <v>19093</v>
      </c>
      <c r="L1600" s="106">
        <v>14344</v>
      </c>
      <c r="M1600" s="106">
        <v>0.43</v>
      </c>
      <c r="N1600" s="106">
        <v>0.73</v>
      </c>
      <c r="O1600" s="106">
        <v>1</v>
      </c>
      <c r="P1600" s="106">
        <v>29474</v>
      </c>
      <c r="Q1600" s="106">
        <v>21795.762264150944</v>
      </c>
      <c r="R1600" s="106">
        <v>0.58272349467205919</v>
      </c>
      <c r="S1600" s="106">
        <v>33589.330817610062</v>
      </c>
      <c r="T1600" s="106">
        <v>38384.589937106917</v>
      </c>
      <c r="U1600" s="106">
        <v>29941.609469907151</v>
      </c>
      <c r="V1600" s="106">
        <v>0.52126471084335213</v>
      </c>
      <c r="W1600" s="106">
        <v>86015.887351778656</v>
      </c>
      <c r="X1600" s="110">
        <v>0.47542706554572856</v>
      </c>
      <c r="Y1600" s="106">
        <v>382.65240641711227</v>
      </c>
      <c r="Z1600" s="106">
        <v>12.754010695187166</v>
      </c>
      <c r="AA1600" s="106">
        <v>149708.04734953574</v>
      </c>
      <c r="AB1600" s="106">
        <v>997.96996178836923</v>
      </c>
      <c r="AC1600" s="106">
        <v>0.66796676444868552</v>
      </c>
      <c r="AD1600" s="106">
        <v>21.31367292225201</v>
      </c>
      <c r="AE1600" s="106">
        <v>150.01257861635222</v>
      </c>
      <c r="AF1600" s="106">
        <v>1.7291121797531048E-2</v>
      </c>
      <c r="AG1600" s="106">
        <v>41535</v>
      </c>
      <c r="AH1600" s="106">
        <v>24555.274213836477</v>
      </c>
      <c r="AI1600" s="106">
        <v>33589.330817610062</v>
      </c>
      <c r="AJ1600" s="106">
        <v>41829.742138364782</v>
      </c>
      <c r="AK1600" s="104">
        <v>31297.128301886791</v>
      </c>
      <c r="AL1600" s="118"/>
      <c r="AM1600" s="118">
        <v>756</v>
      </c>
      <c r="AN1600" s="118">
        <v>23852</v>
      </c>
      <c r="AO1600" s="118">
        <v>159</v>
      </c>
      <c r="AP1600" s="118">
        <f t="shared" si="24"/>
        <v>300</v>
      </c>
    </row>
    <row r="1601" spans="1:42" ht="12.75">
      <c r="A1601" s="106">
        <v>2018</v>
      </c>
      <c r="B1601" s="106">
        <v>-436304</v>
      </c>
      <c r="C1601" s="106">
        <v>0</v>
      </c>
      <c r="D1601" s="106">
        <v>436304</v>
      </c>
      <c r="E1601" s="106" t="s">
        <v>2567</v>
      </c>
      <c r="F1601" s="106" t="s">
        <v>2568</v>
      </c>
      <c r="G1601" s="106" t="s">
        <v>306</v>
      </c>
      <c r="H1601" s="106">
        <v>4</v>
      </c>
      <c r="I1601" s="106" t="s">
        <v>24</v>
      </c>
      <c r="J1601" s="106">
        <v>4079</v>
      </c>
      <c r="K1601" s="106">
        <v>8665</v>
      </c>
      <c r="L1601" s="106">
        <v>8255</v>
      </c>
      <c r="M1601" s="106">
        <v>0.51</v>
      </c>
      <c r="N1601" s="106">
        <v>0.39</v>
      </c>
      <c r="O1601" s="106">
        <v>0.01</v>
      </c>
      <c r="P1601" s="106">
        <v>3393</v>
      </c>
      <c r="Q1601" s="106">
        <v>454.23854289071681</v>
      </c>
      <c r="R1601" s="106">
        <v>4.8457152455813654E-2</v>
      </c>
      <c r="S1601" s="106">
        <v>15063.594594594595</v>
      </c>
      <c r="T1601" s="106">
        <v>12096.867215041128</v>
      </c>
      <c r="U1601" s="106">
        <v>9370.5487661574625</v>
      </c>
      <c r="V1601" s="106">
        <v>0.95189581278042301</v>
      </c>
      <c r="W1601" s="106">
        <v>66312</v>
      </c>
      <c r="X1601" s="110">
        <v>0.66133135634266049</v>
      </c>
      <c r="Y1601" s="106">
        <v>435.10227272727275</v>
      </c>
      <c r="Z1601" s="106">
        <v>14.505681818181818</v>
      </c>
      <c r="AA1601" s="106">
        <v>16930.651804670913</v>
      </c>
      <c r="AB1601" s="106">
        <v>312.40057196583876</v>
      </c>
      <c r="AC1601" s="106">
        <v>5.9064471441324837</v>
      </c>
      <c r="AD1601" s="106">
        <v>32.128240109140513</v>
      </c>
      <c r="AE1601" s="106">
        <v>54.195329087048833</v>
      </c>
      <c r="AF1601" s="106">
        <v>-0.54616336351350003</v>
      </c>
      <c r="AG1601" s="106">
        <v>3335</v>
      </c>
      <c r="AH1601" s="106">
        <v>14720.397179788484</v>
      </c>
      <c r="AI1601" s="106">
        <v>14720.397179788484</v>
      </c>
      <c r="AJ1601" s="106">
        <v>15063.594594594595</v>
      </c>
      <c r="AK1601" s="104">
        <v>10334.929494712103</v>
      </c>
      <c r="AL1601" s="118">
        <v>3469647</v>
      </c>
      <c r="AM1601" s="118">
        <v>2342</v>
      </c>
      <c r="AN1601" s="118">
        <v>25526</v>
      </c>
      <c r="AO1601" s="118">
        <v>185</v>
      </c>
      <c r="AP1601" s="118">
        <f t="shared" si="24"/>
        <v>744</v>
      </c>
    </row>
    <row r="1602" spans="1:42" ht="12.75">
      <c r="A1602" s="106">
        <v>2018</v>
      </c>
      <c r="B1602" s="106">
        <v>-183114</v>
      </c>
      <c r="C1602" s="106">
        <v>0</v>
      </c>
      <c r="D1602" s="106">
        <v>183114</v>
      </c>
      <c r="E1602" s="106" t="s">
        <v>2569</v>
      </c>
      <c r="F1602" s="106" t="s">
        <v>751</v>
      </c>
      <c r="G1602" s="106" t="s">
        <v>179</v>
      </c>
      <c r="H1602" s="106">
        <v>4</v>
      </c>
      <c r="I1602" s="106" t="s">
        <v>24</v>
      </c>
      <c r="J1602" s="106">
        <v>7175</v>
      </c>
      <c r="K1602" s="106">
        <v>14604</v>
      </c>
      <c r="L1602" s="106">
        <v>15983</v>
      </c>
      <c r="M1602" s="106">
        <v>0.48</v>
      </c>
      <c r="N1602" s="106">
        <v>0.38</v>
      </c>
      <c r="O1602" s="106">
        <v>0.02</v>
      </c>
      <c r="P1602" s="106">
        <v>250</v>
      </c>
      <c r="Q1602" s="106">
        <v>179.04873949579832</v>
      </c>
      <c r="R1602" s="106">
        <v>2.7889737443675476E-2</v>
      </c>
      <c r="S1602" s="106">
        <v>18820.759663865545</v>
      </c>
      <c r="T1602" s="106">
        <v>17399.663865546219</v>
      </c>
      <c r="U1602" s="106">
        <v>13688.954689848633</v>
      </c>
      <c r="V1602" s="106">
        <v>0.45590261590454934</v>
      </c>
      <c r="W1602" s="106">
        <v>67206.412751677839</v>
      </c>
      <c r="X1602" s="110">
        <v>0.64483395796306309</v>
      </c>
      <c r="Y1602" s="106">
        <v>301.20112994350279</v>
      </c>
      <c r="Z1602" s="106">
        <v>10.084745762711865</v>
      </c>
      <c r="AA1602" s="106">
        <v>40724.640202299684</v>
      </c>
      <c r="AB1602" s="106">
        <v>458.33037821040074</v>
      </c>
      <c r="AC1602" s="106">
        <v>2.4555158622212478</v>
      </c>
      <c r="AD1602" s="106">
        <v>48.192771084337352</v>
      </c>
      <c r="AE1602" s="106">
        <v>88.854333333333329</v>
      </c>
      <c r="AF1602" s="106">
        <v>0.18465710504235369</v>
      </c>
      <c r="AG1602" s="106">
        <v>6720</v>
      </c>
      <c r="AH1602" s="106">
        <v>16875.45882352941</v>
      </c>
      <c r="AI1602" s="106">
        <v>16875.45882352941</v>
      </c>
      <c r="AJ1602" s="106">
        <v>18976.119327731092</v>
      </c>
      <c r="AK1602" s="104">
        <v>15946.46218487395</v>
      </c>
      <c r="AL1602" s="119">
        <v>5593353</v>
      </c>
      <c r="AM1602" s="118">
        <v>859</v>
      </c>
      <c r="AN1602" s="118">
        <v>17770.866666666665</v>
      </c>
      <c r="AO1602" s="118">
        <v>125</v>
      </c>
      <c r="AP1602" s="118">
        <f t="shared" si="24"/>
        <v>455</v>
      </c>
    </row>
    <row r="1603" spans="1:42" ht="12.75">
      <c r="A1603" s="106">
        <v>2018</v>
      </c>
      <c r="B1603" s="106">
        <v>-173063</v>
      </c>
      <c r="C1603" s="106">
        <v>0</v>
      </c>
      <c r="D1603" s="106">
        <v>173063</v>
      </c>
      <c r="E1603" s="106" t="s">
        <v>2570</v>
      </c>
      <c r="F1603" s="106" t="s">
        <v>252</v>
      </c>
      <c r="G1603" s="106" t="s">
        <v>113</v>
      </c>
      <c r="H1603" s="106">
        <v>4</v>
      </c>
      <c r="I1603" s="106" t="s">
        <v>24</v>
      </c>
      <c r="J1603" s="106">
        <v>5570</v>
      </c>
      <c r="K1603" s="106">
        <v>9472</v>
      </c>
      <c r="L1603" s="106">
        <v>7942</v>
      </c>
      <c r="M1603" s="106">
        <v>0.56000000000000005</v>
      </c>
      <c r="N1603" s="106">
        <v>0.42</v>
      </c>
      <c r="O1603" s="106">
        <v>0.18</v>
      </c>
      <c r="P1603" s="106">
        <v>1103</v>
      </c>
      <c r="Q1603" s="106">
        <v>6.470881035340966</v>
      </c>
      <c r="R1603" s="106">
        <v>1.1264188545186725E-3</v>
      </c>
      <c r="S1603" s="106">
        <v>14596.316575410652</v>
      </c>
      <c r="T1603" s="106">
        <v>16221.005475360877</v>
      </c>
      <c r="U1603" s="106">
        <v>13550.522648083625</v>
      </c>
      <c r="V1603" s="106">
        <v>0.42346545200749364</v>
      </c>
      <c r="W1603" s="106">
        <v>118369.33797909407</v>
      </c>
      <c r="X1603" s="110">
        <v>0.69497974714618882</v>
      </c>
      <c r="Y1603" s="106">
        <v>723.14400000000001</v>
      </c>
      <c r="Z1603" s="106">
        <v>24.108000000000001</v>
      </c>
      <c r="AA1603" s="106">
        <v>44482.026143790848</v>
      </c>
      <c r="AB1603" s="106">
        <v>451.74405097739867</v>
      </c>
      <c r="AC1603" s="106">
        <v>2.2480990339051536</v>
      </c>
      <c r="AD1603" s="106">
        <v>32.312565997888065</v>
      </c>
      <c r="AE1603" s="106">
        <v>98.467320261437905</v>
      </c>
      <c r="AF1603" s="106">
        <v>-0.4398051496172582</v>
      </c>
      <c r="AG1603" s="106">
        <v>4938</v>
      </c>
      <c r="AH1603" s="106">
        <v>14735.191637630662</v>
      </c>
      <c r="AI1603" s="106">
        <v>15008.461921353908</v>
      </c>
      <c r="AJ1603" s="106">
        <v>14648.083623693379</v>
      </c>
      <c r="AK1603" s="104">
        <v>13741.164758586361</v>
      </c>
      <c r="AL1603" s="119">
        <v>12882000</v>
      </c>
      <c r="AM1603" s="118">
        <v>3108</v>
      </c>
      <c r="AN1603" s="118">
        <v>60262</v>
      </c>
      <c r="AO1603" s="118">
        <v>402</v>
      </c>
      <c r="AP1603" s="118">
        <f t="shared" si="24"/>
        <v>632</v>
      </c>
    </row>
    <row r="1604" spans="1:42" ht="12.75">
      <c r="A1604" s="106">
        <v>2018</v>
      </c>
      <c r="B1604" s="106">
        <v>3008</v>
      </c>
      <c r="C1604" s="106">
        <v>1</v>
      </c>
      <c r="D1604" s="106">
        <v>121901</v>
      </c>
      <c r="E1604" s="106" t="s">
        <v>3867</v>
      </c>
      <c r="F1604" s="106" t="s">
        <v>529</v>
      </c>
      <c r="G1604" s="106" t="s">
        <v>121</v>
      </c>
      <c r="H1604" s="106">
        <v>4</v>
      </c>
      <c r="I1604" s="106" t="s">
        <v>24</v>
      </c>
      <c r="J1604" s="106">
        <v>1420</v>
      </c>
      <c r="K1604" s="106">
        <v>7775</v>
      </c>
      <c r="L1604" s="106">
        <v>5247</v>
      </c>
      <c r="M1604" s="106">
        <v>0.52</v>
      </c>
      <c r="N1604" s="106">
        <v>0.01</v>
      </c>
      <c r="O1604" s="106">
        <v>0.23</v>
      </c>
      <c r="P1604" s="106">
        <v>328</v>
      </c>
      <c r="Q1604" s="106">
        <v>76.48561752825492</v>
      </c>
      <c r="R1604" s="106">
        <v>4.6341021939644088E-2</v>
      </c>
      <c r="S1604" s="106">
        <v>13097.51332163695</v>
      </c>
      <c r="T1604" s="106">
        <v>13725.948631115101</v>
      </c>
      <c r="U1604" s="106">
        <v>10732.394347877027</v>
      </c>
      <c r="V1604" s="106">
        <v>0.14665965208535287</v>
      </c>
      <c r="W1604" s="106">
        <v>140746.74475438165</v>
      </c>
      <c r="X1604" s="110">
        <v>0.5649517867781737</v>
      </c>
      <c r="Y1604" s="106">
        <v>940.62857142857138</v>
      </c>
      <c r="Z1604" s="106">
        <v>31.354797441364603</v>
      </c>
      <c r="AA1604" s="106">
        <v>32639.316673547342</v>
      </c>
      <c r="AB1604" s="106">
        <v>357.7523169718902</v>
      </c>
      <c r="AC1604" s="106">
        <v>3.0637896313878827</v>
      </c>
      <c r="AD1604" s="106">
        <v>39.216545012165447</v>
      </c>
      <c r="AE1604" s="106">
        <v>91.234396327087723</v>
      </c>
      <c r="AF1604" s="106">
        <v>-0.11851903585914976</v>
      </c>
      <c r="AG1604" s="106">
        <v>1380</v>
      </c>
      <c r="AH1604" s="106">
        <v>11999.251662654535</v>
      </c>
      <c r="AI1604" s="106">
        <v>12017.429678893468</v>
      </c>
      <c r="AJ1604" s="106">
        <v>13161.492145742381</v>
      </c>
      <c r="AK1604" s="104">
        <v>13520.923946305438</v>
      </c>
      <c r="AL1604" s="119">
        <v>169441405</v>
      </c>
      <c r="AM1604" s="118">
        <v>41054</v>
      </c>
      <c r="AN1604" s="118">
        <v>735258</v>
      </c>
      <c r="AO1604" s="118">
        <v>5930</v>
      </c>
      <c r="AP1604" s="118">
        <f t="shared" si="24"/>
        <v>40</v>
      </c>
    </row>
    <row r="1605" spans="1:42" ht="12.75">
      <c r="A1605" s="106">
        <v>2018</v>
      </c>
      <c r="B1605" s="106">
        <v>-183211</v>
      </c>
      <c r="C1605" s="106">
        <v>0</v>
      </c>
      <c r="D1605" s="106">
        <v>183211</v>
      </c>
      <c r="E1605" s="106" t="s">
        <v>2571</v>
      </c>
      <c r="F1605" s="106" t="s">
        <v>2133</v>
      </c>
      <c r="G1605" s="106" t="s">
        <v>179</v>
      </c>
      <c r="H1605" s="106">
        <v>6</v>
      </c>
      <c r="I1605" s="106" t="s">
        <v>3640</v>
      </c>
      <c r="J1605" s="106">
        <v>31050</v>
      </c>
      <c r="K1605" s="106">
        <v>24900</v>
      </c>
      <c r="L1605" s="106">
        <v>21028</v>
      </c>
      <c r="M1605" s="106">
        <v>0.38</v>
      </c>
      <c r="N1605" s="106">
        <v>0.94</v>
      </c>
      <c r="O1605" s="106">
        <v>1</v>
      </c>
      <c r="P1605" s="106">
        <v>17219</v>
      </c>
      <c r="Q1605" s="106">
        <v>6190.6813346228237</v>
      </c>
      <c r="R1605" s="106">
        <v>0.34316457693333907</v>
      </c>
      <c r="S1605" s="106">
        <v>15949.477756286267</v>
      </c>
      <c r="T1605" s="106">
        <v>15780.006286266924</v>
      </c>
      <c r="U1605" s="106">
        <v>13467.173597678917</v>
      </c>
      <c r="V1605" s="106">
        <v>0.87986512802550365</v>
      </c>
      <c r="W1605" s="106">
        <v>58235.045016077172</v>
      </c>
      <c r="X1605" s="110">
        <v>0.55499247955745978</v>
      </c>
      <c r="Y1605" s="106">
        <v>438.88235294117652</v>
      </c>
      <c r="Z1605" s="106">
        <v>16.588235294117649</v>
      </c>
      <c r="AA1605" s="106">
        <v>40014.533045977012</v>
      </c>
      <c r="AB1605" s="106">
        <v>509.01259275505356</v>
      </c>
      <c r="AC1605" s="106">
        <v>2.4990920145213043</v>
      </c>
      <c r="AD1605" s="106">
        <v>42.647058823529413</v>
      </c>
      <c r="AE1605" s="106">
        <v>78.612068965517238</v>
      </c>
      <c r="AF1605" s="106">
        <v>5.8885238311176036E-2</v>
      </c>
      <c r="AG1605" s="106">
        <v>29900</v>
      </c>
      <c r="AH1605" s="106">
        <v>14971.018858800773</v>
      </c>
      <c r="AI1605" s="106">
        <v>16020.087040618955</v>
      </c>
      <c r="AJ1605" s="106">
        <v>17870.430851063829</v>
      </c>
      <c r="AK1605" s="104">
        <v>13467.173597678917</v>
      </c>
      <c r="AM1605" s="118">
        <v>1426</v>
      </c>
      <c r="AN1605" s="118">
        <v>54714</v>
      </c>
      <c r="AO1605" s="118">
        <v>333</v>
      </c>
      <c r="AP1605" s="118">
        <f t="shared" si="24"/>
        <v>1150</v>
      </c>
    </row>
    <row r="1606" spans="1:42" ht="12.75">
      <c r="A1606" s="106">
        <v>2018</v>
      </c>
      <c r="B1606" s="106">
        <v>-221397</v>
      </c>
      <c r="C1606" s="106">
        <v>0</v>
      </c>
      <c r="D1606" s="106">
        <v>221397</v>
      </c>
      <c r="E1606" s="106" t="s">
        <v>2572</v>
      </c>
      <c r="F1606" s="106" t="s">
        <v>2573</v>
      </c>
      <c r="G1606" s="106" t="s">
        <v>255</v>
      </c>
      <c r="H1606" s="106">
        <v>4</v>
      </c>
      <c r="I1606" s="106" t="s">
        <v>24</v>
      </c>
      <c r="J1606" s="106">
        <v>4143</v>
      </c>
      <c r="K1606" s="106">
        <v>4293</v>
      </c>
      <c r="L1606" s="106">
        <v>2764</v>
      </c>
      <c r="M1606" s="106">
        <v>0.59</v>
      </c>
      <c r="N1606" s="106">
        <v>0.05</v>
      </c>
      <c r="O1606" s="106">
        <v>0.08</v>
      </c>
      <c r="P1606" s="106">
        <v>2790</v>
      </c>
      <c r="Q1606" s="106">
        <v>466.64769493454753</v>
      </c>
      <c r="R1606" s="106">
        <v>8.1545690152634354E-2</v>
      </c>
      <c r="S1606" s="106">
        <v>14040.708878770633</v>
      </c>
      <c r="T1606" s="106">
        <v>14082.975241889584</v>
      </c>
      <c r="U1606" s="106">
        <v>11777.635739568441</v>
      </c>
      <c r="V1606" s="106">
        <v>0.44625957797605403</v>
      </c>
      <c r="W1606" s="106">
        <v>84720.881882770875</v>
      </c>
      <c r="X1606" s="110">
        <v>0.6425566619499945</v>
      </c>
      <c r="Y1606" s="106">
        <v>527.12</v>
      </c>
      <c r="Z1606" s="106">
        <v>17.57</v>
      </c>
      <c r="AA1606" s="106">
        <v>35252.650757106901</v>
      </c>
      <c r="AB1606" s="106">
        <v>392.57296240745467</v>
      </c>
      <c r="AC1606" s="106">
        <v>2.8366661187837088</v>
      </c>
      <c r="AD1606" s="106">
        <v>32.65646731571627</v>
      </c>
      <c r="AE1606" s="106">
        <v>89.798977853492332</v>
      </c>
      <c r="AF1606" s="106">
        <v>3.0425392813413249E-2</v>
      </c>
      <c r="AG1606" s="106">
        <v>3840</v>
      </c>
      <c r="AH1606" s="106">
        <v>14276.420603301081</v>
      </c>
      <c r="AI1606" s="106">
        <v>14400.470119521913</v>
      </c>
      <c r="AJ1606" s="106">
        <v>14129.392714854866</v>
      </c>
      <c r="AK1606" s="105">
        <v>14010.05719977234</v>
      </c>
      <c r="AL1606" s="119">
        <v>21238299</v>
      </c>
      <c r="AM1606" s="118">
        <v>5626</v>
      </c>
      <c r="AN1606" s="119">
        <v>105424</v>
      </c>
      <c r="AO1606" s="119">
        <v>947</v>
      </c>
      <c r="AP1606" s="118">
        <f t="shared" ref="AP1606:AP1669" si="25">J1606-AG1606</f>
        <v>303</v>
      </c>
    </row>
    <row r="1607" spans="1:42" ht="12.75">
      <c r="A1607" s="106">
        <v>2018</v>
      </c>
      <c r="B1607" s="106">
        <v>-233426</v>
      </c>
      <c r="C1607" s="106">
        <v>0</v>
      </c>
      <c r="D1607" s="106">
        <v>233426</v>
      </c>
      <c r="E1607" s="106" t="s">
        <v>2574</v>
      </c>
      <c r="F1607" s="106" t="s">
        <v>717</v>
      </c>
      <c r="G1607" s="106" t="s">
        <v>261</v>
      </c>
      <c r="H1607" s="106">
        <v>7</v>
      </c>
      <c r="I1607" s="106" t="s">
        <v>3641</v>
      </c>
      <c r="J1607" s="106">
        <v>42694</v>
      </c>
      <c r="K1607" s="106">
        <v>28155</v>
      </c>
      <c r="L1607" s="106">
        <v>20725</v>
      </c>
      <c r="M1607" s="106">
        <v>0.24</v>
      </c>
      <c r="N1607" s="106">
        <v>0.72</v>
      </c>
      <c r="O1607" s="106">
        <v>0.99</v>
      </c>
      <c r="P1607" s="106">
        <v>27738</v>
      </c>
      <c r="Q1607" s="106">
        <v>20660.651595744679</v>
      </c>
      <c r="R1607" s="106">
        <v>0.5514628722143351</v>
      </c>
      <c r="S1607" s="106">
        <v>31069.898936170212</v>
      </c>
      <c r="T1607" s="106">
        <v>30240.864361702126</v>
      </c>
      <c r="U1607" s="106">
        <v>24286.285829292399</v>
      </c>
      <c r="V1607" s="106">
        <v>0.69193457375293299</v>
      </c>
      <c r="W1607" s="106">
        <v>85372.713362068971</v>
      </c>
      <c r="X1607" s="110">
        <v>0.58063574677247787</v>
      </c>
      <c r="Y1607" s="106">
        <v>373.28492647058823</v>
      </c>
      <c r="Z1607" s="106">
        <v>12.441176470588236</v>
      </c>
      <c r="AA1607" s="106">
        <v>120153.20357649923</v>
      </c>
      <c r="AB1607" s="106">
        <v>809.43522331373856</v>
      </c>
      <c r="AC1607" s="106">
        <v>0.83227077617062384</v>
      </c>
      <c r="AD1607" s="106">
        <v>22.834251377065598</v>
      </c>
      <c r="AE1607" s="106">
        <v>148.44078947368422</v>
      </c>
      <c r="AF1607" s="106">
        <v>5.1968155695886885E-2</v>
      </c>
      <c r="AG1607" s="106">
        <v>41110</v>
      </c>
      <c r="AH1607" s="106">
        <v>27312.762854609929</v>
      </c>
      <c r="AI1607" s="106">
        <v>32091.778368794327</v>
      </c>
      <c r="AJ1607" s="106">
        <v>35513.033687943265</v>
      </c>
      <c r="AK1607" s="104">
        <v>24813.878989361703</v>
      </c>
      <c r="AL1607" s="118"/>
      <c r="AM1607" s="118">
        <v>2035</v>
      </c>
      <c r="AN1607" s="118">
        <v>67689</v>
      </c>
      <c r="AO1607" s="118">
        <v>456</v>
      </c>
      <c r="AP1607" s="118">
        <f t="shared" si="25"/>
        <v>1584</v>
      </c>
    </row>
    <row r="1608" spans="1:42" ht="12.75">
      <c r="A1608" s="106">
        <v>2018</v>
      </c>
      <c r="B1608" s="106">
        <v>-199467</v>
      </c>
      <c r="C1608" s="106">
        <v>0</v>
      </c>
      <c r="D1608" s="106">
        <v>199467</v>
      </c>
      <c r="E1608" s="106" t="s">
        <v>2575</v>
      </c>
      <c r="F1608" s="106" t="s">
        <v>2576</v>
      </c>
      <c r="G1608" s="106" t="s">
        <v>90</v>
      </c>
      <c r="H1608" s="106">
        <v>4</v>
      </c>
      <c r="I1608" s="106" t="s">
        <v>24</v>
      </c>
      <c r="J1608" s="106">
        <v>2642</v>
      </c>
      <c r="K1608" s="106">
        <v>4429</v>
      </c>
      <c r="L1608" s="106">
        <v>4315</v>
      </c>
      <c r="M1608" s="106">
        <v>0.95</v>
      </c>
      <c r="N1608" s="106">
        <v>0</v>
      </c>
      <c r="O1608" s="106">
        <v>0</v>
      </c>
      <c r="P1608" s="106"/>
      <c r="Q1608" s="106">
        <v>16.401724137931033</v>
      </c>
      <c r="R1608" s="106">
        <v>9.4965993728830314E-3</v>
      </c>
      <c r="S1608" s="106">
        <v>15912.605172413792</v>
      </c>
      <c r="T1608" s="106">
        <v>17232.824137931035</v>
      </c>
      <c r="U1608" s="106">
        <v>14638.856896551724</v>
      </c>
      <c r="V1608" s="106">
        <v>0.11686115966516605</v>
      </c>
      <c r="W1608" s="106">
        <v>59260.912386706943</v>
      </c>
      <c r="X1608" s="110">
        <v>0.65416999915357998</v>
      </c>
      <c r="Y1608" s="106">
        <v>287.12903225806451</v>
      </c>
      <c r="Z1608" s="106">
        <v>11.225806451612902</v>
      </c>
      <c r="AA1608" s="106">
        <v>37403.246696035239</v>
      </c>
      <c r="AB1608" s="106">
        <v>572.33144590495453</v>
      </c>
      <c r="AC1608" s="106">
        <v>2.6735646991468269</v>
      </c>
      <c r="AD1608" s="106">
        <v>51.126126126126124</v>
      </c>
      <c r="AE1608" s="106">
        <v>65.352422907488986</v>
      </c>
      <c r="AF1608" s="106">
        <v>-6.9701367516607785E-2</v>
      </c>
      <c r="AG1608" s="106">
        <v>2432</v>
      </c>
      <c r="AH1608" s="106">
        <v>14335.010344827586</v>
      </c>
      <c r="AI1608" s="106">
        <v>14379.505172413794</v>
      </c>
      <c r="AJ1608" s="106">
        <v>15916.081034482759</v>
      </c>
      <c r="AK1608" s="104">
        <v>16401.467241379309</v>
      </c>
      <c r="AL1608" s="119">
        <v>6602837</v>
      </c>
      <c r="AM1608" s="118">
        <v>791</v>
      </c>
      <c r="AN1608" s="118">
        <v>14835</v>
      </c>
      <c r="AO1608" s="118">
        <v>115</v>
      </c>
      <c r="AP1608" s="118">
        <f t="shared" si="25"/>
        <v>210</v>
      </c>
    </row>
    <row r="1609" spans="1:42" ht="12.75">
      <c r="A1609" s="106">
        <v>2018</v>
      </c>
      <c r="B1609" s="106">
        <v>-215655</v>
      </c>
      <c r="C1609" s="106">
        <v>0</v>
      </c>
      <c r="D1609" s="106">
        <v>215655</v>
      </c>
      <c r="E1609" s="106" t="s">
        <v>2577</v>
      </c>
      <c r="F1609" s="106" t="s">
        <v>2578</v>
      </c>
      <c r="G1609" s="106" t="s">
        <v>104</v>
      </c>
      <c r="H1609" s="106">
        <v>5</v>
      </c>
      <c r="I1609" s="106" t="s">
        <v>3639</v>
      </c>
      <c r="J1609" s="106">
        <v>29420</v>
      </c>
      <c r="K1609" s="106">
        <v>25690</v>
      </c>
      <c r="L1609" s="106">
        <v>22359</v>
      </c>
      <c r="M1609" s="106">
        <v>0.31</v>
      </c>
      <c r="N1609" s="106">
        <v>0.78</v>
      </c>
      <c r="O1609" s="106">
        <v>0.98</v>
      </c>
      <c r="P1609" s="106">
        <v>15916</v>
      </c>
      <c r="Q1609" s="106">
        <v>9241.3517038283553</v>
      </c>
      <c r="R1609" s="106">
        <v>0.32637425267412185</v>
      </c>
      <c r="S1609" s="106">
        <v>28669.188262515778</v>
      </c>
      <c r="T1609" s="106">
        <v>27407.571939419435</v>
      </c>
      <c r="U1609" s="106">
        <v>21025.517105331033</v>
      </c>
      <c r="V1609" s="106">
        <v>0.90717610225205148</v>
      </c>
      <c r="W1609" s="106">
        <v>102746.24642516681</v>
      </c>
      <c r="X1609" s="110">
        <v>0.55146817432364958</v>
      </c>
      <c r="Y1609" s="106">
        <v>484.60139860139861</v>
      </c>
      <c r="Z1609" s="106">
        <v>16.622377622377623</v>
      </c>
      <c r="AA1609" s="106">
        <v>72641.939185133524</v>
      </c>
      <c r="AB1609" s="106">
        <v>721.19908452439995</v>
      </c>
      <c r="AC1609" s="106">
        <v>1.3766152324918304</v>
      </c>
      <c r="AD1609" s="106">
        <v>31.873986564744033</v>
      </c>
      <c r="AE1609" s="106">
        <v>100.72383720930233</v>
      </c>
      <c r="AF1609" s="106">
        <v>6.5983989309771868E-2</v>
      </c>
      <c r="AG1609" s="106">
        <v>28210</v>
      </c>
      <c r="AH1609" s="106">
        <v>26681.102440050483</v>
      </c>
      <c r="AI1609" s="106">
        <v>28669.188262515778</v>
      </c>
      <c r="AJ1609" s="106">
        <v>29169.840555321833</v>
      </c>
      <c r="AK1609" s="104">
        <v>21078.68090029449</v>
      </c>
      <c r="AM1609" s="118">
        <v>4243</v>
      </c>
      <c r="AN1609" s="118">
        <v>138596</v>
      </c>
      <c r="AO1609" s="118">
        <v>978</v>
      </c>
      <c r="AP1609" s="118">
        <f t="shared" si="25"/>
        <v>1210</v>
      </c>
    </row>
    <row r="1610" spans="1:42" ht="12.75">
      <c r="A1610" s="106">
        <v>2018</v>
      </c>
      <c r="B1610" s="106">
        <v>-148335</v>
      </c>
      <c r="C1610" s="106">
        <v>0</v>
      </c>
      <c r="D1610" s="106">
        <v>148335</v>
      </c>
      <c r="E1610" s="106" t="s">
        <v>2579</v>
      </c>
      <c r="F1610" s="106" t="s">
        <v>725</v>
      </c>
      <c r="G1610" s="106" t="s">
        <v>243</v>
      </c>
      <c r="H1610" s="106">
        <v>6</v>
      </c>
      <c r="I1610" s="106" t="s">
        <v>3640</v>
      </c>
      <c r="J1610" s="106">
        <v>26700</v>
      </c>
      <c r="K1610" s="106">
        <v>22592</v>
      </c>
      <c r="L1610" s="106">
        <v>22682</v>
      </c>
      <c r="M1610" s="106">
        <v>0.65</v>
      </c>
      <c r="N1610" s="106">
        <v>0.8</v>
      </c>
      <c r="O1610" s="106">
        <v>0.87</v>
      </c>
      <c r="P1610" s="106">
        <v>10635</v>
      </c>
      <c r="Q1610" s="106">
        <v>10638.551037344398</v>
      </c>
      <c r="R1610" s="106">
        <v>0.37986435242577721</v>
      </c>
      <c r="S1610" s="106">
        <v>19778.698340248964</v>
      </c>
      <c r="T1610" s="106">
        <v>24941.65560165975</v>
      </c>
      <c r="U1610" s="106">
        <v>24598.360165975104</v>
      </c>
      <c r="V1610" s="106">
        <v>0.70604841452171152</v>
      </c>
      <c r="W1610" s="106">
        <v>79151.233463035023</v>
      </c>
      <c r="X1610" s="110">
        <v>0.33841413130294618</v>
      </c>
      <c r="Y1610" s="106">
        <v>1131.7900355871886</v>
      </c>
      <c r="Z1610" s="106">
        <v>25.729537366548044</v>
      </c>
      <c r="AA1610" s="106">
        <v>60245.9837398374</v>
      </c>
      <c r="AB1610" s="106">
        <v>559.20657290281201</v>
      </c>
      <c r="AC1610" s="106">
        <v>1.6598616835909583</v>
      </c>
      <c r="AD1610" s="106">
        <v>47.421686746987952</v>
      </c>
      <c r="AE1610" s="106">
        <v>107.73475609756098</v>
      </c>
      <c r="AF1610" s="106">
        <v>-0.20263022445764048</v>
      </c>
      <c r="AG1610" s="106">
        <v>26700</v>
      </c>
      <c r="AH1610" s="106">
        <v>19668.797095435686</v>
      </c>
      <c r="AI1610" s="106">
        <v>19778.698340248964</v>
      </c>
      <c r="AJ1610" s="106">
        <v>19950.069294605808</v>
      </c>
      <c r="AK1610" s="104">
        <v>24598.360165975104</v>
      </c>
      <c r="AM1610" s="118">
        <v>2003</v>
      </c>
      <c r="AN1610" s="118">
        <v>106011</v>
      </c>
      <c r="AO1610" s="118">
        <v>791</v>
      </c>
      <c r="AP1610" s="118">
        <f t="shared" si="25"/>
        <v>0</v>
      </c>
    </row>
    <row r="1611" spans="1:42" ht="12.75">
      <c r="A1611" s="106">
        <v>2018</v>
      </c>
      <c r="B1611" s="106">
        <v>-194958</v>
      </c>
      <c r="C1611" s="106">
        <v>0</v>
      </c>
      <c r="D1611" s="106">
        <v>194958</v>
      </c>
      <c r="E1611" s="106" t="s">
        <v>2580</v>
      </c>
      <c r="F1611" s="106" t="s">
        <v>1923</v>
      </c>
      <c r="G1611" s="106" t="s">
        <v>69</v>
      </c>
      <c r="H1611" s="106">
        <v>6</v>
      </c>
      <c r="I1611" s="106" t="s">
        <v>3640</v>
      </c>
      <c r="J1611" s="106">
        <v>30686</v>
      </c>
      <c r="K1611" s="106">
        <v>23673</v>
      </c>
      <c r="L1611" s="106">
        <v>18845</v>
      </c>
      <c r="M1611" s="106">
        <v>0.38</v>
      </c>
      <c r="N1611" s="106">
        <v>0.7</v>
      </c>
      <c r="O1611" s="106">
        <v>0.94</v>
      </c>
      <c r="P1611" s="106">
        <v>16993</v>
      </c>
      <c r="Q1611" s="106">
        <v>9589.6135265700486</v>
      </c>
      <c r="R1611" s="106">
        <v>0.37909275886853594</v>
      </c>
      <c r="S1611" s="106">
        <v>21149.045289855072</v>
      </c>
      <c r="T1611" s="106">
        <v>23698.6884057971</v>
      </c>
      <c r="U1611" s="106">
        <v>21548.065821256037</v>
      </c>
      <c r="V1611" s="106">
        <v>0.72891023290056778</v>
      </c>
      <c r="W1611" s="106">
        <v>84079.134146341472</v>
      </c>
      <c r="X1611" s="110">
        <v>0.58559341580798463</v>
      </c>
      <c r="Y1611" s="106">
        <v>507.73381294964025</v>
      </c>
      <c r="Z1611" s="106">
        <v>17.870503597122301</v>
      </c>
      <c r="AA1611" s="106">
        <v>59373.705490848588</v>
      </c>
      <c r="AB1611" s="106">
        <v>758.4186397449522</v>
      </c>
      <c r="AC1611" s="106">
        <v>1.6842472467111429</v>
      </c>
      <c r="AD1611" s="106">
        <v>36.204819277108435</v>
      </c>
      <c r="AE1611" s="106">
        <v>78.286189683860229</v>
      </c>
      <c r="AF1611" s="106">
        <v>4.4855657612485169E-3</v>
      </c>
      <c r="AG1611" s="106">
        <v>29600</v>
      </c>
      <c r="AH1611" s="106">
        <v>20205.060386473429</v>
      </c>
      <c r="AI1611" s="106">
        <v>21149.045289855072</v>
      </c>
      <c r="AJ1611" s="106">
        <v>21808.269323671499</v>
      </c>
      <c r="AK1611" s="104">
        <v>21548.065821256037</v>
      </c>
      <c r="AL1611" s="118">
        <v>178565</v>
      </c>
      <c r="AM1611" s="118">
        <v>1321</v>
      </c>
      <c r="AN1611" s="118">
        <v>47050</v>
      </c>
      <c r="AO1611" s="118">
        <v>403</v>
      </c>
      <c r="AP1611" s="118">
        <f t="shared" si="25"/>
        <v>1086</v>
      </c>
    </row>
    <row r="1612" spans="1:42" ht="12.75">
      <c r="A1612" s="106">
        <v>2018</v>
      </c>
      <c r="B1612" s="106">
        <v>-199476</v>
      </c>
      <c r="C1612" s="106">
        <v>0</v>
      </c>
      <c r="D1612" s="106">
        <v>199476</v>
      </c>
      <c r="E1612" s="106" t="s">
        <v>2581</v>
      </c>
      <c r="F1612" s="106" t="s">
        <v>2582</v>
      </c>
      <c r="G1612" s="106" t="s">
        <v>90</v>
      </c>
      <c r="H1612" s="106">
        <v>4</v>
      </c>
      <c r="I1612" s="106" t="s">
        <v>24</v>
      </c>
      <c r="J1612" s="106">
        <v>2561</v>
      </c>
      <c r="K1612" s="106">
        <v>8394</v>
      </c>
      <c r="L1612" s="106">
        <v>7187</v>
      </c>
      <c r="M1612" s="106">
        <v>0.73</v>
      </c>
      <c r="N1612" s="106">
        <v>0</v>
      </c>
      <c r="O1612" s="106">
        <v>0.46</v>
      </c>
      <c r="P1612" s="106">
        <v>774</v>
      </c>
      <c r="Q1612" s="106">
        <v>217.81760113555714</v>
      </c>
      <c r="R1612" s="106">
        <v>0.10620990805673296</v>
      </c>
      <c r="S1612" s="106">
        <v>17212.007806955287</v>
      </c>
      <c r="T1612" s="106">
        <v>18240.762952448546</v>
      </c>
      <c r="U1612" s="106">
        <v>15508.620298083748</v>
      </c>
      <c r="V1612" s="106">
        <v>0.11819260663475878</v>
      </c>
      <c r="W1612" s="106">
        <v>70201.954810495619</v>
      </c>
      <c r="X1612" s="110">
        <v>0.62459438233221087</v>
      </c>
      <c r="Y1612" s="106">
        <v>303.26555023923441</v>
      </c>
      <c r="Z1612" s="106">
        <v>10.112440191387559</v>
      </c>
      <c r="AA1612" s="106">
        <v>49215.41891891892</v>
      </c>
      <c r="AB1612" s="106">
        <v>517.13752218672346</v>
      </c>
      <c r="AC1612" s="106">
        <v>2.0318835478114554</v>
      </c>
      <c r="AD1612" s="106">
        <v>37.531699070160606</v>
      </c>
      <c r="AE1612" s="106">
        <v>95.168918918918919</v>
      </c>
      <c r="AF1612" s="106">
        <v>-3.5801115179438694E-2</v>
      </c>
      <c r="AG1612" s="106">
        <v>2432</v>
      </c>
      <c r="AH1612" s="106">
        <v>15196.743080198723</v>
      </c>
      <c r="AI1612" s="106">
        <v>15197.980837473386</v>
      </c>
      <c r="AJ1612" s="106">
        <v>17215.489709013484</v>
      </c>
      <c r="AK1612" s="104">
        <v>17631.484740951029</v>
      </c>
      <c r="AL1612" s="119">
        <v>16521270</v>
      </c>
      <c r="AM1612" s="118">
        <v>1935</v>
      </c>
      <c r="AN1612" s="118">
        <v>42255</v>
      </c>
      <c r="AO1612" s="118">
        <v>217</v>
      </c>
      <c r="AP1612" s="118">
        <f t="shared" si="25"/>
        <v>129</v>
      </c>
    </row>
    <row r="1613" spans="1:42" ht="12.75">
      <c r="A1613" s="106">
        <v>2018</v>
      </c>
      <c r="B1613" s="106">
        <v>-170967</v>
      </c>
      <c r="C1613" s="106">
        <v>0</v>
      </c>
      <c r="D1613" s="106">
        <v>170967</v>
      </c>
      <c r="E1613" s="106" t="s">
        <v>2583</v>
      </c>
      <c r="F1613" s="106" t="s">
        <v>2321</v>
      </c>
      <c r="G1613" s="106" t="s">
        <v>74</v>
      </c>
      <c r="H1613" s="106">
        <v>7</v>
      </c>
      <c r="I1613" s="106" t="s">
        <v>3641</v>
      </c>
      <c r="J1613" s="106">
        <v>22312</v>
      </c>
      <c r="K1613" s="106">
        <v>16281</v>
      </c>
      <c r="L1613" s="106">
        <v>12134</v>
      </c>
      <c r="M1613" s="106">
        <v>0.42</v>
      </c>
      <c r="N1613" s="106">
        <v>0.82</v>
      </c>
      <c r="O1613" s="106">
        <v>0.99</v>
      </c>
      <c r="P1613" s="106">
        <v>10581</v>
      </c>
      <c r="Q1613" s="106">
        <v>6223.3945652173916</v>
      </c>
      <c r="R1613" s="106">
        <v>0.32946942716686201</v>
      </c>
      <c r="S1613" s="106">
        <v>15773.760869565218</v>
      </c>
      <c r="T1613" s="106">
        <v>15418.252173913044</v>
      </c>
      <c r="U1613" s="106">
        <v>12926.907495843587</v>
      </c>
      <c r="V1613" s="106">
        <v>0.97979712032463118</v>
      </c>
      <c r="W1613" s="106">
        <v>44123.744680851065</v>
      </c>
      <c r="X1613" s="110">
        <v>0.4873331945931953</v>
      </c>
      <c r="Y1613" s="106">
        <v>382.16666666666669</v>
      </c>
      <c r="Z1613" s="106">
        <v>12.777777777777779</v>
      </c>
      <c r="AA1613" s="106">
        <v>45392.194260214121</v>
      </c>
      <c r="AB1613" s="106">
        <v>432.21234540544049</v>
      </c>
      <c r="AC1613" s="106">
        <v>2.2030219430843676</v>
      </c>
      <c r="AD1613" s="106">
        <v>28.202368137782564</v>
      </c>
      <c r="AE1613" s="106">
        <v>105.02290076335878</v>
      </c>
      <c r="AF1613" s="106">
        <v>0.78703372628023105</v>
      </c>
      <c r="AG1613" s="106">
        <v>21116</v>
      </c>
      <c r="AH1613" s="106">
        <v>14864.979347826087</v>
      </c>
      <c r="AI1613" s="106">
        <v>15773.760869565218</v>
      </c>
      <c r="AJ1613" s="106">
        <v>16033.128260869566</v>
      </c>
      <c r="AK1613" s="104">
        <v>13175.580434782609</v>
      </c>
      <c r="AM1613" s="118">
        <v>1153</v>
      </c>
      <c r="AN1613" s="118">
        <v>27516</v>
      </c>
      <c r="AO1613" s="118">
        <v>256</v>
      </c>
      <c r="AP1613" s="118">
        <f t="shared" si="25"/>
        <v>1196</v>
      </c>
    </row>
    <row r="1614" spans="1:42" ht="12.75">
      <c r="A1614" s="106">
        <v>2018</v>
      </c>
      <c r="B1614" s="106">
        <v>-174738</v>
      </c>
      <c r="C1614" s="106">
        <v>0</v>
      </c>
      <c r="D1614" s="106">
        <v>174738</v>
      </c>
      <c r="E1614" s="106" t="s">
        <v>2584</v>
      </c>
      <c r="F1614" s="106" t="s">
        <v>1923</v>
      </c>
      <c r="G1614" s="106" t="s">
        <v>113</v>
      </c>
      <c r="H1614" s="106">
        <v>4</v>
      </c>
      <c r="I1614" s="106" t="s">
        <v>24</v>
      </c>
      <c r="J1614" s="106">
        <v>5636</v>
      </c>
      <c r="K1614" s="106">
        <v>13645</v>
      </c>
      <c r="L1614" s="106">
        <v>12145</v>
      </c>
      <c r="M1614" s="106">
        <v>0.48</v>
      </c>
      <c r="N1614" s="106">
        <v>0.4</v>
      </c>
      <c r="O1614" s="106">
        <v>0.05</v>
      </c>
      <c r="P1614" s="106">
        <v>984</v>
      </c>
      <c r="Q1614" s="106"/>
      <c r="R1614" s="106"/>
      <c r="S1614" s="106">
        <v>14039.740698985344</v>
      </c>
      <c r="T1614" s="106">
        <v>16235.343855693349</v>
      </c>
      <c r="U1614" s="106">
        <v>12811.392537258169</v>
      </c>
      <c r="V1614" s="106">
        <v>0.45038127254135546</v>
      </c>
      <c r="W1614" s="106">
        <v>110474.10358565736</v>
      </c>
      <c r="X1614" s="110">
        <v>0.64184157075152337</v>
      </c>
      <c r="Y1614" s="106">
        <v>708.11308203991132</v>
      </c>
      <c r="Z1614" s="106">
        <v>23.600886917960086</v>
      </c>
      <c r="AA1614" s="106">
        <v>42841.489841839757</v>
      </c>
      <c r="AB1614" s="106">
        <v>426.99426716195865</v>
      </c>
      <c r="AC1614" s="106">
        <v>2.334185864431312</v>
      </c>
      <c r="AD1614" s="106">
        <v>32.555998772629643</v>
      </c>
      <c r="AE1614" s="106">
        <v>100.33270499528747</v>
      </c>
      <c r="AF1614" s="106">
        <v>-0.10115748651580214</v>
      </c>
      <c r="AG1614" s="106">
        <v>4922</v>
      </c>
      <c r="AH1614" s="106">
        <v>14292.559188275085</v>
      </c>
      <c r="AI1614" s="106">
        <v>14375.98647125141</v>
      </c>
      <c r="AJ1614" s="106">
        <v>14122.040586245772</v>
      </c>
      <c r="AK1614" s="104">
        <v>13534.385569334836</v>
      </c>
      <c r="AL1614" s="119">
        <v>19618000</v>
      </c>
      <c r="AM1614" s="118">
        <v>5115</v>
      </c>
      <c r="AN1614" s="118">
        <v>106453</v>
      </c>
      <c r="AO1614" s="118">
        <v>784</v>
      </c>
      <c r="AP1614" s="118">
        <f t="shared" si="25"/>
        <v>714</v>
      </c>
    </row>
    <row r="1615" spans="1:42" ht="12.75">
      <c r="A1615" s="106">
        <v>2018</v>
      </c>
      <c r="B1615" s="106">
        <v>-195003</v>
      </c>
      <c r="C1615" s="106">
        <v>0</v>
      </c>
      <c r="D1615" s="106">
        <v>195003</v>
      </c>
      <c r="E1615" s="106" t="s">
        <v>2585</v>
      </c>
      <c r="F1615" s="106" t="s">
        <v>1923</v>
      </c>
      <c r="G1615" s="106" t="s">
        <v>69</v>
      </c>
      <c r="H1615" s="106">
        <v>5</v>
      </c>
      <c r="I1615" s="106" t="s">
        <v>3639</v>
      </c>
      <c r="J1615" s="106">
        <v>40068</v>
      </c>
      <c r="K1615" s="106">
        <v>31798</v>
      </c>
      <c r="L1615" s="106">
        <v>22845</v>
      </c>
      <c r="M1615" s="106">
        <v>0.31</v>
      </c>
      <c r="N1615" s="106">
        <v>0.68</v>
      </c>
      <c r="O1615" s="106">
        <v>0.95</v>
      </c>
      <c r="P1615" s="106">
        <v>19124</v>
      </c>
      <c r="Q1615" s="106">
        <v>14797.515527950311</v>
      </c>
      <c r="R1615" s="106">
        <v>0.39981362143037658</v>
      </c>
      <c r="S1615" s="106">
        <v>43762.440628425284</v>
      </c>
      <c r="T1615" s="106">
        <v>41652.17391304348</v>
      </c>
      <c r="U1615" s="106">
        <v>29811.463311413525</v>
      </c>
      <c r="V1615" s="106">
        <v>0.7451334481240981</v>
      </c>
      <c r="W1615" s="106">
        <v>102334.78854024557</v>
      </c>
      <c r="X1615" s="110">
        <v>0.65798319327731092</v>
      </c>
      <c r="Y1615" s="106">
        <v>331.56416666666667</v>
      </c>
      <c r="Z1615" s="106">
        <v>11.404166666666667</v>
      </c>
      <c r="AA1615" s="106">
        <v>103257.37165697143</v>
      </c>
      <c r="AB1615" s="106">
        <v>1025.3668229545667</v>
      </c>
      <c r="AC1615" s="106">
        <v>0.96845385850229992</v>
      </c>
      <c r="AD1615" s="106">
        <v>25.380612834842935</v>
      </c>
      <c r="AE1615" s="106">
        <v>100.70286003543407</v>
      </c>
      <c r="AF1615" s="106">
        <v>0.16589821243845923</v>
      </c>
      <c r="AG1615" s="106">
        <v>39506</v>
      </c>
      <c r="AH1615" s="106">
        <v>38518.085495067593</v>
      </c>
      <c r="AI1615" s="106">
        <v>43922.835221044937</v>
      </c>
      <c r="AJ1615" s="106">
        <v>50113.116550968211</v>
      </c>
      <c r="AK1615" s="104">
        <v>35243.332115454876</v>
      </c>
      <c r="AL1615" s="118">
        <v>944000</v>
      </c>
      <c r="AM1615" s="118">
        <v>13515</v>
      </c>
      <c r="AN1615" s="118">
        <v>397877</v>
      </c>
      <c r="AO1615" s="118">
        <v>2613</v>
      </c>
      <c r="AP1615" s="118">
        <f t="shared" si="25"/>
        <v>562</v>
      </c>
    </row>
    <row r="1616" spans="1:42" ht="12.75">
      <c r="A1616" s="106">
        <v>2018</v>
      </c>
      <c r="B1616" s="106">
        <v>-148380</v>
      </c>
      <c r="C1616" s="106">
        <v>0</v>
      </c>
      <c r="D1616" s="106">
        <v>148380</v>
      </c>
      <c r="E1616" s="106" t="s">
        <v>2586</v>
      </c>
      <c r="F1616" s="106" t="s">
        <v>2587</v>
      </c>
      <c r="G1616" s="106" t="s">
        <v>243</v>
      </c>
      <c r="H1616" s="106">
        <v>4</v>
      </c>
      <c r="I1616" s="106" t="s">
        <v>24</v>
      </c>
      <c r="J1616" s="106">
        <v>3764</v>
      </c>
      <c r="K1616" s="106">
        <v>8419</v>
      </c>
      <c r="L1616" s="106">
        <v>6687</v>
      </c>
      <c r="M1616" s="106">
        <v>0.38</v>
      </c>
      <c r="N1616" s="106">
        <v>0.1</v>
      </c>
      <c r="O1616" s="106">
        <v>7.0000000000000007E-2</v>
      </c>
      <c r="P1616" s="106">
        <v>1044</v>
      </c>
      <c r="Q1616" s="106">
        <v>53.176506639427991</v>
      </c>
      <c r="R1616" s="106">
        <v>1.3634249660045989E-2</v>
      </c>
      <c r="S1616" s="106">
        <v>17649.024310520941</v>
      </c>
      <c r="T1616" s="106">
        <v>15773.298876404495</v>
      </c>
      <c r="U1616" s="106">
        <v>11790.200837639693</v>
      </c>
      <c r="V1616" s="106">
        <v>0.32629118568921023</v>
      </c>
      <c r="W1616" s="106">
        <v>97254.760869565216</v>
      </c>
      <c r="X1616" s="110">
        <v>0.5794199887688557</v>
      </c>
      <c r="Y1616" s="106">
        <v>664.43438914027149</v>
      </c>
      <c r="Z1616" s="106">
        <v>22.149321266968325</v>
      </c>
      <c r="AA1616" s="106">
        <v>34393.94106093343</v>
      </c>
      <c r="AB1616" s="106">
        <v>393.03345886847109</v>
      </c>
      <c r="AC1616" s="106">
        <v>2.9074888458649371</v>
      </c>
      <c r="AD1616" s="106">
        <v>41.960490122530629</v>
      </c>
      <c r="AE1616" s="106">
        <v>87.508939213349223</v>
      </c>
      <c r="AF1616" s="106">
        <v>0.30478562164590245</v>
      </c>
      <c r="AG1616" s="106">
        <v>3450</v>
      </c>
      <c r="AH1616" s="106">
        <v>17484.252502553627</v>
      </c>
      <c r="AI1616" s="106">
        <v>17607.81899897855</v>
      </c>
      <c r="AJ1616" s="106">
        <v>17752.34300306435</v>
      </c>
      <c r="AK1616" s="104">
        <v>14882.766292134831</v>
      </c>
      <c r="AL1616" s="119">
        <v>46101875</v>
      </c>
      <c r="AM1616" s="118">
        <v>6378</v>
      </c>
      <c r="AN1616" s="118">
        <v>146840</v>
      </c>
      <c r="AO1616" s="118">
        <v>994</v>
      </c>
      <c r="AP1616" s="118">
        <f t="shared" si="25"/>
        <v>314</v>
      </c>
    </row>
    <row r="1617" spans="1:42" ht="12.75">
      <c r="A1617" s="106">
        <v>2018</v>
      </c>
      <c r="B1617" s="106">
        <v>-195049</v>
      </c>
      <c r="C1617" s="106">
        <v>0</v>
      </c>
      <c r="D1617" s="106">
        <v>195049</v>
      </c>
      <c r="E1617" s="106" t="s">
        <v>2588</v>
      </c>
      <c r="F1617" s="106" t="s">
        <v>290</v>
      </c>
      <c r="G1617" s="106" t="s">
        <v>69</v>
      </c>
      <c r="H1617" s="106">
        <v>5</v>
      </c>
      <c r="I1617" s="106" t="s">
        <v>3639</v>
      </c>
      <c r="J1617" s="106"/>
      <c r="K1617" s="106"/>
      <c r="L1617" s="106"/>
      <c r="M1617" s="106"/>
      <c r="N1617" s="106"/>
      <c r="O1617" s="106"/>
      <c r="P1617" s="106"/>
      <c r="Q1617" s="106"/>
      <c r="R1617" s="106"/>
      <c r="S1617" s="106">
        <v>5226839.1323529407</v>
      </c>
      <c r="T1617" s="106">
        <v>5640717.6470588231</v>
      </c>
      <c r="U1617" s="106">
        <v>292885.8411892773</v>
      </c>
      <c r="V1617" s="106"/>
      <c r="W1617" s="106">
        <v>112845.68590604026</v>
      </c>
      <c r="X1617" s="110">
        <v>0.4383570092249422</v>
      </c>
      <c r="Y1617" s="106">
        <v>3.0317361543248289</v>
      </c>
      <c r="Z1617" s="106">
        <v>0.1269446172993155</v>
      </c>
      <c r="AA1617" s="106">
        <v>642459.26454422122</v>
      </c>
      <c r="AB1617" s="106">
        <v>12263.6928576791</v>
      </c>
      <c r="AC1617" s="106">
        <v>0.15565189190779719</v>
      </c>
      <c r="AD1617" s="106">
        <v>13.36206896551724</v>
      </c>
      <c r="AE1617" s="106">
        <v>52.387096774193552</v>
      </c>
      <c r="AF1617" s="106">
        <v>8.4118131526406528E-2</v>
      </c>
      <c r="AG1617" s="106"/>
      <c r="AH1617" s="106">
        <v>2117477.2941176472</v>
      </c>
      <c r="AI1617" s="106">
        <v>5226839.1323529407</v>
      </c>
      <c r="AJ1617" s="106">
        <v>8745535.2058823537</v>
      </c>
      <c r="AK1617" s="104">
        <v>5116419.5588235296</v>
      </c>
      <c r="AM1617" s="118"/>
      <c r="AN1617" s="118">
        <v>1624</v>
      </c>
      <c r="AO1617" s="118"/>
      <c r="AP1617" s="118">
        <f t="shared" si="25"/>
        <v>0</v>
      </c>
    </row>
    <row r="1618" spans="1:42" ht="12.75">
      <c r="A1618" s="106">
        <v>2018</v>
      </c>
      <c r="B1618" s="106">
        <v>-148405</v>
      </c>
      <c r="C1618" s="106">
        <v>0</v>
      </c>
      <c r="D1618" s="106">
        <v>148405</v>
      </c>
      <c r="E1618" s="106" t="s">
        <v>2589</v>
      </c>
      <c r="F1618" s="106" t="s">
        <v>2587</v>
      </c>
      <c r="G1618" s="106" t="s">
        <v>243</v>
      </c>
      <c r="H1618" s="106">
        <v>6</v>
      </c>
      <c r="I1618" s="106" t="s">
        <v>3640</v>
      </c>
      <c r="J1618" s="106">
        <v>30050</v>
      </c>
      <c r="K1618" s="106">
        <v>21419</v>
      </c>
      <c r="L1618" s="106">
        <v>19524</v>
      </c>
      <c r="M1618" s="106">
        <v>0.54</v>
      </c>
      <c r="N1618" s="106">
        <v>0.81</v>
      </c>
      <c r="O1618" s="106">
        <v>0.99</v>
      </c>
      <c r="P1618" s="106">
        <v>14309</v>
      </c>
      <c r="Q1618" s="106">
        <v>9416.8315696649024</v>
      </c>
      <c r="R1618" s="106">
        <v>0.38260945865964385</v>
      </c>
      <c r="S1618" s="106">
        <v>23110.612874779541</v>
      </c>
      <c r="T1618" s="106">
        <v>22896.686948853614</v>
      </c>
      <c r="U1618" s="106">
        <v>21212.581128747795</v>
      </c>
      <c r="V1618" s="106">
        <v>0.71633398485233901</v>
      </c>
      <c r="W1618" s="106">
        <v>56254.583901773534</v>
      </c>
      <c r="X1618" s="110">
        <v>0.52936464896013424</v>
      </c>
      <c r="Y1618" s="106">
        <v>280.22379603399435</v>
      </c>
      <c r="Z1618" s="106">
        <v>9.6373937677053831</v>
      </c>
      <c r="AA1618" s="106">
        <v>70131.390670553941</v>
      </c>
      <c r="AB1618" s="106">
        <v>729.53831923088592</v>
      </c>
      <c r="AC1618" s="106">
        <v>1.425895009978563</v>
      </c>
      <c r="AD1618" s="106">
        <v>31.729879740980572</v>
      </c>
      <c r="AE1618" s="106">
        <v>96.131195335276971</v>
      </c>
      <c r="AF1618" s="106">
        <v>0.10664430659986075</v>
      </c>
      <c r="AG1618" s="106">
        <v>29920</v>
      </c>
      <c r="AH1618" s="106">
        <v>20264.535273368605</v>
      </c>
      <c r="AI1618" s="106">
        <v>23082.963844797177</v>
      </c>
      <c r="AJ1618" s="106">
        <v>24345.500881834214</v>
      </c>
      <c r="AK1618" s="104">
        <v>21212.581128747795</v>
      </c>
      <c r="AL1618" s="118"/>
      <c r="AM1618" s="118">
        <v>1062</v>
      </c>
      <c r="AN1618" s="118">
        <v>32973</v>
      </c>
      <c r="AO1618" s="118">
        <v>270</v>
      </c>
      <c r="AP1618" s="118">
        <f t="shared" si="25"/>
        <v>130</v>
      </c>
    </row>
    <row r="1619" spans="1:42" ht="12.75">
      <c r="A1619" s="106">
        <v>2018</v>
      </c>
      <c r="B1619" s="106">
        <v>-179043</v>
      </c>
      <c r="C1619" s="106">
        <v>0</v>
      </c>
      <c r="D1619" s="106">
        <v>179043</v>
      </c>
      <c r="E1619" s="106" t="s">
        <v>2590</v>
      </c>
      <c r="F1619" s="106" t="s">
        <v>263</v>
      </c>
      <c r="G1619" s="106" t="s">
        <v>264</v>
      </c>
      <c r="H1619" s="106">
        <v>6</v>
      </c>
      <c r="I1619" s="106" t="s">
        <v>3640</v>
      </c>
      <c r="J1619" s="106">
        <v>36590</v>
      </c>
      <c r="K1619" s="106">
        <v>22876</v>
      </c>
      <c r="L1619" s="106">
        <v>16965</v>
      </c>
      <c r="M1619" s="106">
        <v>0.23</v>
      </c>
      <c r="N1619" s="106">
        <v>0.67</v>
      </c>
      <c r="O1619" s="106">
        <v>1</v>
      </c>
      <c r="P1619" s="106">
        <v>25665</v>
      </c>
      <c r="Q1619" s="106">
        <v>15436.95505117935</v>
      </c>
      <c r="R1619" s="106">
        <v>0.49881145073503169</v>
      </c>
      <c r="S1619" s="106">
        <v>25381.539385847798</v>
      </c>
      <c r="T1619" s="106">
        <v>23320.083667111703</v>
      </c>
      <c r="U1619" s="106">
        <v>17913.709739858197</v>
      </c>
      <c r="V1619" s="106">
        <v>0.86584635312640523</v>
      </c>
      <c r="W1619" s="106">
        <v>66217.950751252094</v>
      </c>
      <c r="X1619" s="110">
        <v>0.50463587677519262</v>
      </c>
      <c r="Y1619" s="106">
        <v>338.22857142857146</v>
      </c>
      <c r="Z1619" s="106">
        <v>12.84</v>
      </c>
      <c r="AA1619" s="106">
        <v>46696.17840540762</v>
      </c>
      <c r="AB1619" s="106">
        <v>680.04909250652759</v>
      </c>
      <c r="AC1619" s="106">
        <v>2.1415028684321538</v>
      </c>
      <c r="AD1619" s="106">
        <v>37.267617812364897</v>
      </c>
      <c r="AE1619" s="106">
        <v>68.665893271461712</v>
      </c>
      <c r="AF1619" s="106">
        <v>8.6911324456427227E-2</v>
      </c>
      <c r="AG1619" s="106">
        <v>35800</v>
      </c>
      <c r="AH1619" s="106">
        <v>19696.513128615934</v>
      </c>
      <c r="AI1619" s="106">
        <v>24036.970182465509</v>
      </c>
      <c r="AJ1619" s="106">
        <v>26320.477525589675</v>
      </c>
      <c r="AK1619" s="104">
        <v>19239.574988874054</v>
      </c>
      <c r="AM1619" s="118">
        <v>2208</v>
      </c>
      <c r="AN1619" s="118">
        <v>59190</v>
      </c>
      <c r="AO1619" s="118">
        <v>449</v>
      </c>
      <c r="AP1619" s="118">
        <f t="shared" si="25"/>
        <v>790</v>
      </c>
    </row>
    <row r="1620" spans="1:42" ht="12.75">
      <c r="A1620" s="106">
        <v>2018</v>
      </c>
      <c r="B1620" s="106">
        <v>-199485</v>
      </c>
      <c r="C1620" s="106">
        <v>0</v>
      </c>
      <c r="D1620" s="106">
        <v>199485</v>
      </c>
      <c r="E1620" s="106" t="s">
        <v>2591</v>
      </c>
      <c r="F1620" s="106" t="s">
        <v>2592</v>
      </c>
      <c r="G1620" s="106" t="s">
        <v>90</v>
      </c>
      <c r="H1620" s="106">
        <v>4</v>
      </c>
      <c r="I1620" s="106" t="s">
        <v>24</v>
      </c>
      <c r="J1620" s="106">
        <v>1940</v>
      </c>
      <c r="K1620" s="106">
        <v>4460</v>
      </c>
      <c r="L1620" s="106">
        <v>2647</v>
      </c>
      <c r="M1620" s="106">
        <v>0.52</v>
      </c>
      <c r="N1620" s="106">
        <v>0.02</v>
      </c>
      <c r="O1620" s="106">
        <v>0.1</v>
      </c>
      <c r="P1620" s="106">
        <v>989</v>
      </c>
      <c r="Q1620" s="106">
        <v>172.11165444172778</v>
      </c>
      <c r="R1620" s="106">
        <v>7.3455563907394536E-2</v>
      </c>
      <c r="S1620" s="106">
        <v>13974.096169519153</v>
      </c>
      <c r="T1620" s="106">
        <v>15674.771801140994</v>
      </c>
      <c r="U1620" s="106">
        <v>13831.528117359414</v>
      </c>
      <c r="V1620" s="106">
        <v>0.15695735473183087</v>
      </c>
      <c r="W1620" s="106">
        <v>58394.799703264092</v>
      </c>
      <c r="X1620" s="110">
        <v>0.68212980383399424</v>
      </c>
      <c r="Y1620" s="106">
        <v>323</v>
      </c>
      <c r="Z1620" s="106">
        <v>10.763157894736842</v>
      </c>
      <c r="AA1620" s="106">
        <v>37136.291028446387</v>
      </c>
      <c r="AB1620" s="106">
        <v>460.90068437347236</v>
      </c>
      <c r="AC1620" s="106">
        <v>2.6927837226232429</v>
      </c>
      <c r="AD1620" s="106">
        <v>44.541910331384017</v>
      </c>
      <c r="AE1620" s="106">
        <v>80.573304157549231</v>
      </c>
      <c r="AF1620" s="106">
        <v>-8.7321896711004109E-3</v>
      </c>
      <c r="AG1620" s="106">
        <v>1824</v>
      </c>
      <c r="AH1620" s="106">
        <v>12581.932355338224</v>
      </c>
      <c r="AI1620" s="106">
        <v>13033.629176854116</v>
      </c>
      <c r="AJ1620" s="106">
        <v>13995.422982885086</v>
      </c>
      <c r="AK1620" s="104">
        <v>15021.9641401793</v>
      </c>
      <c r="AL1620" s="119">
        <v>10758050</v>
      </c>
      <c r="AM1620" s="118">
        <v>1931</v>
      </c>
      <c r="AN1620" s="118">
        <v>36822</v>
      </c>
      <c r="AO1620" s="118">
        <v>271</v>
      </c>
      <c r="AP1620" s="118">
        <f t="shared" si="25"/>
        <v>116</v>
      </c>
    </row>
    <row r="1621" spans="1:42" ht="12.75">
      <c r="A1621" s="106">
        <v>2018</v>
      </c>
      <c r="B1621" s="106">
        <v>-195058</v>
      </c>
      <c r="C1621" s="106">
        <v>0</v>
      </c>
      <c r="D1621" s="106">
        <v>195058</v>
      </c>
      <c r="E1621" s="106" t="s">
        <v>2593</v>
      </c>
      <c r="F1621" s="106" t="s">
        <v>2594</v>
      </c>
      <c r="G1621" s="106" t="s">
        <v>69</v>
      </c>
      <c r="H1621" s="106">
        <v>4</v>
      </c>
      <c r="I1621" s="106" t="s">
        <v>24</v>
      </c>
      <c r="J1621" s="106">
        <v>5037</v>
      </c>
      <c r="K1621" s="106">
        <v>9763</v>
      </c>
      <c r="L1621" s="106">
        <v>7926</v>
      </c>
      <c r="M1621" s="106">
        <v>0.41</v>
      </c>
      <c r="N1621" s="106">
        <v>0.1</v>
      </c>
      <c r="O1621" s="106">
        <v>0.04</v>
      </c>
      <c r="P1621" s="106">
        <v>1780</v>
      </c>
      <c r="Q1621" s="106">
        <v>644.00040469445571</v>
      </c>
      <c r="R1621" s="106">
        <v>0.11574860377212466</v>
      </c>
      <c r="S1621" s="106">
        <v>15167.142452448401</v>
      </c>
      <c r="T1621" s="106">
        <v>16701.394779441522</v>
      </c>
      <c r="U1621" s="106">
        <v>12424.632053190344</v>
      </c>
      <c r="V1621" s="106">
        <v>0.39597028597565181</v>
      </c>
      <c r="W1621" s="106">
        <v>110509.39235294118</v>
      </c>
      <c r="X1621" s="110">
        <v>0.75870225472193853</v>
      </c>
      <c r="Y1621" s="106">
        <v>624.69943820224717</v>
      </c>
      <c r="Z1621" s="106">
        <v>20.823033707865168</v>
      </c>
      <c r="AA1621" s="106">
        <v>67033.331448544413</v>
      </c>
      <c r="AB1621" s="106">
        <v>414.14881498203641</v>
      </c>
      <c r="AC1621" s="106">
        <v>1.4917951687476729</v>
      </c>
      <c r="AD1621" s="106">
        <v>19.187264348554674</v>
      </c>
      <c r="AE1621" s="106">
        <v>161.85807860262008</v>
      </c>
      <c r="AF1621" s="106">
        <v>0.46137345628789284</v>
      </c>
      <c r="AG1621" s="106">
        <v>4586</v>
      </c>
      <c r="AH1621" s="106">
        <v>15112.703763658437</v>
      </c>
      <c r="AI1621" s="106">
        <v>15112.703763658437</v>
      </c>
      <c r="AJ1621" s="106">
        <v>15167.387494941318</v>
      </c>
      <c r="AK1621" s="104">
        <v>13905.951031970862</v>
      </c>
      <c r="AL1621" s="119">
        <v>37005969</v>
      </c>
      <c r="AM1621" s="118">
        <v>6950</v>
      </c>
      <c r="AN1621" s="118">
        <v>148262</v>
      </c>
      <c r="AO1621" s="118">
        <v>882</v>
      </c>
      <c r="AP1621" s="118">
        <f t="shared" si="25"/>
        <v>451</v>
      </c>
    </row>
    <row r="1622" spans="1:42" ht="12.75">
      <c r="A1622" s="106">
        <v>2018</v>
      </c>
      <c r="B1622" s="106">
        <v>-180595</v>
      </c>
      <c r="C1622" s="106">
        <v>0</v>
      </c>
      <c r="D1622" s="106">
        <v>180595</v>
      </c>
      <c r="E1622" s="106" t="s">
        <v>2595</v>
      </c>
      <c r="F1622" s="106" t="s">
        <v>2060</v>
      </c>
      <c r="G1622" s="106" t="s">
        <v>608</v>
      </c>
      <c r="H1622" s="106">
        <v>7</v>
      </c>
      <c r="I1622" s="106" t="s">
        <v>3641</v>
      </c>
      <c r="J1622" s="106">
        <v>27566</v>
      </c>
      <c r="K1622" s="106">
        <v>18330</v>
      </c>
      <c r="L1622" s="106">
        <v>15381</v>
      </c>
      <c r="M1622" s="106">
        <v>0.38</v>
      </c>
      <c r="N1622" s="106">
        <v>0.72</v>
      </c>
      <c r="O1622" s="106">
        <v>0.99</v>
      </c>
      <c r="P1622" s="106">
        <v>18447</v>
      </c>
      <c r="Q1622" s="106">
        <v>13779.066124109868</v>
      </c>
      <c r="R1622" s="106">
        <v>0.51453996217920128</v>
      </c>
      <c r="S1622" s="106">
        <v>23657.286876907427</v>
      </c>
      <c r="T1622" s="106">
        <v>25772.126144455749</v>
      </c>
      <c r="U1622" s="106">
        <v>22252.697863682602</v>
      </c>
      <c r="V1622" s="106">
        <v>0.58421336500993259</v>
      </c>
      <c r="W1622" s="106">
        <v>63603.915254237283</v>
      </c>
      <c r="X1622" s="110">
        <v>0.54312966764032522</v>
      </c>
      <c r="Y1622" s="106">
        <v>396.25531914893617</v>
      </c>
      <c r="Z1622" s="106">
        <v>12.548936170212766</v>
      </c>
      <c r="AA1622" s="106">
        <v>84784.503875968992</v>
      </c>
      <c r="AB1622" s="106">
        <v>704.71655927835047</v>
      </c>
      <c r="AC1622" s="106">
        <v>1.1794608145173524</v>
      </c>
      <c r="AD1622" s="106">
        <v>26.543209876543212</v>
      </c>
      <c r="AE1622" s="106">
        <v>120.31007751937985</v>
      </c>
      <c r="AF1622" s="106">
        <v>1.3761870064041715E-2</v>
      </c>
      <c r="AG1622" s="106">
        <v>27036</v>
      </c>
      <c r="AH1622" s="106">
        <v>18249.328585961342</v>
      </c>
      <c r="AI1622" s="106">
        <v>21293.920651068158</v>
      </c>
      <c r="AJ1622" s="106">
        <v>26519.273652085452</v>
      </c>
      <c r="AK1622" s="104">
        <v>22252.697863682602</v>
      </c>
      <c r="AL1622" s="118"/>
      <c r="AM1622" s="118">
        <v>898</v>
      </c>
      <c r="AN1622" s="118">
        <v>31040</v>
      </c>
      <c r="AO1622" s="118">
        <v>199</v>
      </c>
      <c r="AP1622" s="118">
        <f t="shared" si="25"/>
        <v>530</v>
      </c>
    </row>
    <row r="1623" spans="1:42" ht="12.75">
      <c r="A1623" s="106">
        <v>2018</v>
      </c>
      <c r="B1623" s="106">
        <v>-217518</v>
      </c>
      <c r="C1623" s="106">
        <v>0</v>
      </c>
      <c r="D1623" s="106">
        <v>217518</v>
      </c>
      <c r="E1623" s="106" t="s">
        <v>2596</v>
      </c>
      <c r="F1623" s="106" t="s">
        <v>1687</v>
      </c>
      <c r="G1623" s="106" t="s">
        <v>469</v>
      </c>
      <c r="H1623" s="106">
        <v>6</v>
      </c>
      <c r="I1623" s="106" t="s">
        <v>3640</v>
      </c>
      <c r="J1623" s="106">
        <v>32510</v>
      </c>
      <c r="K1623" s="106">
        <v>37138</v>
      </c>
      <c r="L1623" s="106">
        <v>31039</v>
      </c>
      <c r="M1623" s="106">
        <v>0.17</v>
      </c>
      <c r="N1623" s="106">
        <v>0.71</v>
      </c>
      <c r="O1623" s="106">
        <v>0.99</v>
      </c>
      <c r="P1623" s="106">
        <v>14303</v>
      </c>
      <c r="Q1623" s="106">
        <v>10991.526904410213</v>
      </c>
      <c r="R1623" s="106">
        <v>0.36378043528295562</v>
      </c>
      <c r="S1623" s="106">
        <v>32672.665752268411</v>
      </c>
      <c r="T1623" s="106">
        <v>32758.289512555391</v>
      </c>
      <c r="U1623" s="106">
        <v>25845.447562776957</v>
      </c>
      <c r="V1623" s="106">
        <v>0.74377512908553689</v>
      </c>
      <c r="W1623" s="106">
        <v>97686.232336956513</v>
      </c>
      <c r="X1623" s="110">
        <v>0.61750714212860069</v>
      </c>
      <c r="Y1623" s="106">
        <v>432.40123456790121</v>
      </c>
      <c r="Z1623" s="106">
        <v>14.626543209876543</v>
      </c>
      <c r="AA1623" s="106">
        <v>102409.34448160535</v>
      </c>
      <c r="AB1623" s="106">
        <v>874.25642050564602</v>
      </c>
      <c r="AC1623" s="106">
        <v>0.97647339221043339</v>
      </c>
      <c r="AD1623" s="106">
        <v>26.395939086294419</v>
      </c>
      <c r="AE1623" s="106">
        <v>117.13879598662207</v>
      </c>
      <c r="AF1623" s="106">
        <v>3.8566543275818363E-2</v>
      </c>
      <c r="AG1623" s="106">
        <v>30326</v>
      </c>
      <c r="AH1623" s="106">
        <v>31931.948512344377</v>
      </c>
      <c r="AI1623" s="106">
        <v>32819.341000211018</v>
      </c>
      <c r="AJ1623" s="106">
        <v>33826.563832032072</v>
      </c>
      <c r="AK1623" s="104">
        <v>25845.447562776957</v>
      </c>
      <c r="AM1623" s="118">
        <v>4703</v>
      </c>
      <c r="AN1623" s="118">
        <v>140098</v>
      </c>
      <c r="AO1623" s="118">
        <v>1062</v>
      </c>
      <c r="AP1623" s="118">
        <f t="shared" si="25"/>
        <v>2184</v>
      </c>
    </row>
    <row r="1624" spans="1:42" ht="12.75">
      <c r="A1624" s="106">
        <v>2018</v>
      </c>
      <c r="B1624" s="106">
        <v>-207661</v>
      </c>
      <c r="C1624" s="106">
        <v>0</v>
      </c>
      <c r="D1624" s="106">
        <v>207661</v>
      </c>
      <c r="E1624" s="106" t="s">
        <v>2597</v>
      </c>
      <c r="F1624" s="106" t="s">
        <v>2598</v>
      </c>
      <c r="G1624" s="106" t="s">
        <v>271</v>
      </c>
      <c r="H1624" s="106">
        <v>3</v>
      </c>
      <c r="I1624" s="104" t="s">
        <v>26</v>
      </c>
      <c r="J1624" s="106">
        <v>6870</v>
      </c>
      <c r="K1624" s="106">
        <v>14007</v>
      </c>
      <c r="L1624" s="106">
        <v>12452</v>
      </c>
      <c r="M1624" s="106">
        <v>0.53</v>
      </c>
      <c r="N1624" s="106">
        <v>0.28000000000000003</v>
      </c>
      <c r="O1624" s="106">
        <v>0.28999999999999998</v>
      </c>
      <c r="P1624" s="106">
        <v>4779</v>
      </c>
      <c r="Q1624" s="106">
        <v>2480.1463063063061</v>
      </c>
      <c r="R1624" s="106">
        <v>0.28813958966017528</v>
      </c>
      <c r="S1624" s="106">
        <v>16606.754954954955</v>
      </c>
      <c r="T1624" s="106">
        <v>16916.592432432433</v>
      </c>
      <c r="U1624" s="106">
        <v>8886.0769293452795</v>
      </c>
      <c r="V1624" s="106">
        <v>0.68953948402879262</v>
      </c>
      <c r="W1624" s="106">
        <v>59330.006585136412</v>
      </c>
      <c r="X1624" s="110">
        <v>0.44782726672702855</v>
      </c>
      <c r="Y1624" s="106">
        <v>583.94613583138164</v>
      </c>
      <c r="Z1624" s="106">
        <v>19.496487119437937</v>
      </c>
      <c r="AA1624" s="106">
        <v>39517.409421367222</v>
      </c>
      <c r="AB1624" s="106">
        <v>296.6836729703802</v>
      </c>
      <c r="AC1624" s="106">
        <v>2.5305302514574648</v>
      </c>
      <c r="AD1624" s="106">
        <v>22.190611664295876</v>
      </c>
      <c r="AE1624" s="106">
        <v>133.19711538461539</v>
      </c>
      <c r="AF1624" s="106">
        <v>0.13697117932719446</v>
      </c>
      <c r="AG1624" s="106">
        <v>4170</v>
      </c>
      <c r="AH1624" s="106">
        <v>14564.266306306306</v>
      </c>
      <c r="AI1624" s="106">
        <v>14564.266306306306</v>
      </c>
      <c r="AJ1624" s="106">
        <v>16648.114594594594</v>
      </c>
      <c r="AK1624" s="104">
        <v>12302.064864864866</v>
      </c>
      <c r="AL1624" s="119">
        <v>10921628</v>
      </c>
      <c r="AM1624" s="118">
        <v>3697</v>
      </c>
      <c r="AN1624" s="118">
        <v>83115</v>
      </c>
      <c r="AO1624" s="118">
        <v>612</v>
      </c>
      <c r="AP1624" s="118">
        <f t="shared" si="25"/>
        <v>2700</v>
      </c>
    </row>
    <row r="1625" spans="1:42" ht="12.75">
      <c r="A1625" s="106">
        <v>2018</v>
      </c>
      <c r="B1625" s="106">
        <v>-209940</v>
      </c>
      <c r="C1625" s="106">
        <v>0</v>
      </c>
      <c r="D1625" s="106">
        <v>209940</v>
      </c>
      <c r="E1625" s="106" t="s">
        <v>2599</v>
      </c>
      <c r="F1625" s="106" t="s">
        <v>2600</v>
      </c>
      <c r="G1625" s="106" t="s">
        <v>405</v>
      </c>
      <c r="H1625" s="106">
        <v>4</v>
      </c>
      <c r="I1625" s="106" t="s">
        <v>24</v>
      </c>
      <c r="J1625" s="106">
        <v>4344</v>
      </c>
      <c r="K1625" s="106">
        <v>7822</v>
      </c>
      <c r="L1625" s="106">
        <v>7446</v>
      </c>
      <c r="M1625" s="106">
        <v>0.61</v>
      </c>
      <c r="N1625" s="106">
        <v>0.12</v>
      </c>
      <c r="O1625" s="106">
        <v>0.05</v>
      </c>
      <c r="P1625" s="106">
        <v>1351</v>
      </c>
      <c r="Q1625" s="106">
        <v>953.22478184991269</v>
      </c>
      <c r="R1625" s="106">
        <v>0.16024003361357753</v>
      </c>
      <c r="S1625" s="106">
        <v>24177.499825479928</v>
      </c>
      <c r="T1625" s="106">
        <v>24594.863874345549</v>
      </c>
      <c r="U1625" s="106">
        <v>12828.388153671311</v>
      </c>
      <c r="V1625" s="106">
        <v>0.38941024385301731</v>
      </c>
      <c r="W1625" s="106">
        <v>81148.647681041504</v>
      </c>
      <c r="X1625" s="110">
        <v>0.47178362769167387</v>
      </c>
      <c r="Y1625" s="106">
        <v>608.28690391459077</v>
      </c>
      <c r="Z1625" s="106">
        <v>15.293594306049824</v>
      </c>
      <c r="AA1625" s="106">
        <v>29402.665648214643</v>
      </c>
      <c r="AB1625" s="106">
        <v>322.532283302834</v>
      </c>
      <c r="AC1625" s="106">
        <v>3.4010521765761084</v>
      </c>
      <c r="AD1625" s="106">
        <v>45.471080392870135</v>
      </c>
      <c r="AE1625" s="106">
        <v>91.161930666666663</v>
      </c>
      <c r="AF1625" s="106">
        <v>-2.7368172430936585E-2</v>
      </c>
      <c r="AG1625" s="106">
        <v>3744</v>
      </c>
      <c r="AH1625" s="106">
        <v>20586.061431064572</v>
      </c>
      <c r="AI1625" s="106">
        <v>20586.061431064572</v>
      </c>
      <c r="AJ1625" s="106">
        <v>24491.164397905759</v>
      </c>
      <c r="AK1625" s="104">
        <v>18237.636998254799</v>
      </c>
      <c r="AL1625" s="119">
        <v>28823324</v>
      </c>
      <c r="AM1625" s="118">
        <v>4610</v>
      </c>
      <c r="AN1625" s="118">
        <v>113952.41333333333</v>
      </c>
      <c r="AO1625" s="118">
        <v>583</v>
      </c>
      <c r="AP1625" s="118">
        <f t="shared" si="25"/>
        <v>600</v>
      </c>
    </row>
    <row r="1626" spans="1:42" ht="12.75">
      <c r="A1626" s="106">
        <v>2018</v>
      </c>
      <c r="B1626" s="106">
        <v>-136950</v>
      </c>
      <c r="C1626" s="106">
        <v>0</v>
      </c>
      <c r="D1626" s="106">
        <v>136950</v>
      </c>
      <c r="E1626" s="106" t="s">
        <v>2601</v>
      </c>
      <c r="F1626" s="106" t="s">
        <v>2602</v>
      </c>
      <c r="G1626" s="106" t="s">
        <v>258</v>
      </c>
      <c r="H1626" s="106">
        <v>6</v>
      </c>
      <c r="I1626" s="106" t="s">
        <v>3640</v>
      </c>
      <c r="J1626" s="106">
        <v>48335</v>
      </c>
      <c r="K1626" s="106">
        <v>32826</v>
      </c>
      <c r="L1626" s="106">
        <v>23916</v>
      </c>
      <c r="M1626" s="106">
        <v>0.24</v>
      </c>
      <c r="N1626" s="106">
        <v>0.4</v>
      </c>
      <c r="O1626" s="106">
        <v>0.89</v>
      </c>
      <c r="P1626" s="106">
        <v>28470</v>
      </c>
      <c r="Q1626" s="106">
        <v>13491.612169462611</v>
      </c>
      <c r="R1626" s="106">
        <v>0.41175296557589008</v>
      </c>
      <c r="S1626" s="106">
        <v>44523.173158942278</v>
      </c>
      <c r="T1626" s="106">
        <v>41040.659653113449</v>
      </c>
      <c r="U1626" s="106">
        <v>28456.025865770262</v>
      </c>
      <c r="V1626" s="106">
        <v>0.67734918429457092</v>
      </c>
      <c r="W1626" s="106">
        <v>91810.063463281957</v>
      </c>
      <c r="X1626" s="110">
        <v>0.46772204517112376</v>
      </c>
      <c r="Y1626" s="106">
        <v>439.75</v>
      </c>
      <c r="Z1626" s="106">
        <v>15.15948275862069</v>
      </c>
      <c r="AA1626" s="106">
        <v>107381.8057617103</v>
      </c>
      <c r="AB1626" s="106">
        <v>980.96335074703495</v>
      </c>
      <c r="AC1626" s="106">
        <v>0.93125645718706584</v>
      </c>
      <c r="AD1626" s="106">
        <v>30.912106135986733</v>
      </c>
      <c r="AE1626" s="106">
        <v>109.46566523605151</v>
      </c>
      <c r="AF1626" s="106">
        <v>9.8277979507778793E-2</v>
      </c>
      <c r="AG1626" s="106">
        <v>48335</v>
      </c>
      <c r="AH1626" s="106">
        <v>31739.266420244527</v>
      </c>
      <c r="AI1626" s="106">
        <v>44425.362524879158</v>
      </c>
      <c r="AJ1626" s="106">
        <v>53646.005117998291</v>
      </c>
      <c r="AK1626" s="104">
        <v>31155.245948251351</v>
      </c>
      <c r="AM1626" s="118">
        <v>2612</v>
      </c>
      <c r="AN1626" s="118">
        <v>102022</v>
      </c>
      <c r="AO1626" s="118">
        <v>661</v>
      </c>
      <c r="AP1626" s="118">
        <f t="shared" si="25"/>
        <v>0</v>
      </c>
    </row>
    <row r="1627" spans="1:42" ht="12.75">
      <c r="A1627" s="106">
        <v>2018</v>
      </c>
      <c r="B1627" s="106">
        <v>-148487</v>
      </c>
      <c r="C1627" s="106">
        <v>0</v>
      </c>
      <c r="D1627" s="106">
        <v>148487</v>
      </c>
      <c r="E1627" s="106" t="s">
        <v>2603</v>
      </c>
      <c r="F1627" s="106" t="s">
        <v>725</v>
      </c>
      <c r="G1627" s="106" t="s">
        <v>243</v>
      </c>
      <c r="H1627" s="106">
        <v>6</v>
      </c>
      <c r="I1627" s="106" t="s">
        <v>3640</v>
      </c>
      <c r="J1627" s="106">
        <v>28963</v>
      </c>
      <c r="K1627" s="106">
        <v>23707</v>
      </c>
      <c r="L1627" s="106">
        <v>19684</v>
      </c>
      <c r="M1627" s="106">
        <v>0.48</v>
      </c>
      <c r="N1627" s="106">
        <v>0.69</v>
      </c>
      <c r="O1627" s="106">
        <v>0.93</v>
      </c>
      <c r="P1627" s="106">
        <v>17284</v>
      </c>
      <c r="Q1627" s="106">
        <v>7496.2752698724244</v>
      </c>
      <c r="R1627" s="106">
        <v>0.27926244589332144</v>
      </c>
      <c r="S1627" s="106">
        <v>26013.762266928363</v>
      </c>
      <c r="T1627" s="106">
        <v>27784.626349362119</v>
      </c>
      <c r="U1627" s="106">
        <v>24144.163708032203</v>
      </c>
      <c r="V1627" s="106">
        <v>0.80130522180447827</v>
      </c>
      <c r="W1627" s="106">
        <v>86021.366740576501</v>
      </c>
      <c r="X1627" s="110">
        <v>0.57094318570228308</v>
      </c>
      <c r="Y1627" s="106">
        <v>322.83636363636361</v>
      </c>
      <c r="Z1627" s="106">
        <v>12.351515151515152</v>
      </c>
      <c r="AA1627" s="106">
        <v>67129.339204597039</v>
      </c>
      <c r="AB1627" s="106">
        <v>923.7404377293991</v>
      </c>
      <c r="AC1627" s="106">
        <v>1.4896616171838015</v>
      </c>
      <c r="AD1627" s="106">
        <v>40.219478737997257</v>
      </c>
      <c r="AE1627" s="106">
        <v>72.671214188267399</v>
      </c>
      <c r="AF1627" s="106">
        <v>1.5346451217287953E-3</v>
      </c>
      <c r="AG1627" s="106">
        <v>28963</v>
      </c>
      <c r="AH1627" s="106">
        <v>22150.610647693818</v>
      </c>
      <c r="AI1627" s="106">
        <v>26107.251472031403</v>
      </c>
      <c r="AJ1627" s="106">
        <v>28844.405299313054</v>
      </c>
      <c r="AK1627" s="104">
        <v>24726.632728164866</v>
      </c>
      <c r="AL1627" s="118"/>
      <c r="AM1627" s="118">
        <v>2578</v>
      </c>
      <c r="AN1627" s="118">
        <v>106536</v>
      </c>
      <c r="AO1627" s="118">
        <v>708</v>
      </c>
      <c r="AP1627" s="118">
        <f t="shared" si="25"/>
        <v>0</v>
      </c>
    </row>
    <row r="1628" spans="1:42" ht="12.75">
      <c r="A1628" s="106">
        <v>2018</v>
      </c>
      <c r="B1628" s="106">
        <v>-207670</v>
      </c>
      <c r="C1628" s="106">
        <v>0</v>
      </c>
      <c r="D1628" s="106">
        <v>207670</v>
      </c>
      <c r="E1628" s="106" t="s">
        <v>2604</v>
      </c>
      <c r="F1628" s="106" t="s">
        <v>2605</v>
      </c>
      <c r="G1628" s="106" t="s">
        <v>271</v>
      </c>
      <c r="H1628" s="106">
        <v>4</v>
      </c>
      <c r="I1628" s="106" t="s">
        <v>24</v>
      </c>
      <c r="J1628" s="106">
        <v>4124</v>
      </c>
      <c r="K1628" s="106">
        <v>8773</v>
      </c>
      <c r="L1628" s="106">
        <v>8447</v>
      </c>
      <c r="M1628" s="106">
        <v>0.5</v>
      </c>
      <c r="N1628" s="106">
        <v>0.21</v>
      </c>
      <c r="O1628" s="106">
        <v>0.31</v>
      </c>
      <c r="P1628" s="106">
        <v>3255</v>
      </c>
      <c r="Q1628" s="106"/>
      <c r="R1628" s="106"/>
      <c r="S1628" s="106">
        <v>12185.424688561721</v>
      </c>
      <c r="T1628" s="106">
        <v>12527.980973952435</v>
      </c>
      <c r="U1628" s="106">
        <v>9194.632217011389</v>
      </c>
      <c r="V1628" s="106">
        <v>0.42008270816083487</v>
      </c>
      <c r="W1628" s="106">
        <v>61681.700770847936</v>
      </c>
      <c r="X1628" s="110">
        <v>0.53045343428389224</v>
      </c>
      <c r="Y1628" s="106">
        <v>667.74957983193281</v>
      </c>
      <c r="Z1628" s="106">
        <v>22.260504201680675</v>
      </c>
      <c r="AA1628" s="106">
        <v>45255.631257642453</v>
      </c>
      <c r="AB1628" s="106">
        <v>306.51782536681804</v>
      </c>
      <c r="AC1628" s="106">
        <v>2.2096697630996518</v>
      </c>
      <c r="AD1628" s="106">
        <v>20.303304662743322</v>
      </c>
      <c r="AE1628" s="106">
        <v>147.64437012263099</v>
      </c>
      <c r="AF1628" s="106">
        <v>6.6283652537567751E-4</v>
      </c>
      <c r="AG1628" s="106">
        <v>3306</v>
      </c>
      <c r="AH1628" s="106">
        <v>12015.222423556059</v>
      </c>
      <c r="AI1628" s="106">
        <v>12339.031030577577</v>
      </c>
      <c r="AJ1628" s="106">
        <v>12289.197734994337</v>
      </c>
      <c r="AK1628" s="104">
        <v>10261.746545866365</v>
      </c>
      <c r="AL1628" s="119">
        <v>28196371</v>
      </c>
      <c r="AM1628" s="118">
        <v>7452</v>
      </c>
      <c r="AN1628" s="118">
        <v>132437</v>
      </c>
      <c r="AO1628" s="118">
        <v>799</v>
      </c>
      <c r="AP1628" s="118">
        <f t="shared" si="25"/>
        <v>818</v>
      </c>
    </row>
    <row r="1629" spans="1:42" ht="12.75">
      <c r="A1629" s="106">
        <v>2018</v>
      </c>
      <c r="B1629" s="106">
        <v>-215691</v>
      </c>
      <c r="C1629" s="106">
        <v>0</v>
      </c>
      <c r="D1629" s="106">
        <v>215691</v>
      </c>
      <c r="E1629" s="106" t="s">
        <v>2606</v>
      </c>
      <c r="F1629" s="106" t="s">
        <v>2607</v>
      </c>
      <c r="G1629" s="106" t="s">
        <v>104</v>
      </c>
      <c r="H1629" s="106">
        <v>6</v>
      </c>
      <c r="I1629" s="106" t="s">
        <v>3640</v>
      </c>
      <c r="J1629" s="106">
        <v>19486</v>
      </c>
      <c r="K1629" s="106">
        <v>19635</v>
      </c>
      <c r="L1629" s="106">
        <v>16069</v>
      </c>
      <c r="M1629" s="106">
        <v>0.63</v>
      </c>
      <c r="N1629" s="106">
        <v>0.91</v>
      </c>
      <c r="O1629" s="106">
        <v>1</v>
      </c>
      <c r="P1629" s="106">
        <v>8828</v>
      </c>
      <c r="Q1629" s="106">
        <v>5742.4663625997719</v>
      </c>
      <c r="R1629" s="106">
        <v>0.32020406770966559</v>
      </c>
      <c r="S1629" s="106">
        <v>21737.110604332953</v>
      </c>
      <c r="T1629" s="106">
        <v>22486.720638540479</v>
      </c>
      <c r="U1629" s="106">
        <v>16292.21322690992</v>
      </c>
      <c r="V1629" s="106">
        <v>0.74829025849243758</v>
      </c>
      <c r="W1629" s="106">
        <v>52674.566546762588</v>
      </c>
      <c r="X1629" s="110">
        <v>0.49502688879497814</v>
      </c>
      <c r="Y1629" s="106">
        <v>409.75977653631287</v>
      </c>
      <c r="Z1629" s="106">
        <v>14.69832402234637</v>
      </c>
      <c r="AA1629" s="106">
        <v>49269.9</v>
      </c>
      <c r="AB1629" s="106">
        <v>584.41126426438711</v>
      </c>
      <c r="AC1629" s="106">
        <v>2.0296367559097948</v>
      </c>
      <c r="AD1629" s="106">
        <v>36.477987421383645</v>
      </c>
      <c r="AE1629" s="106">
        <v>84.306896551724137</v>
      </c>
      <c r="AF1629" s="106">
        <v>1.564575573681978E-2</v>
      </c>
      <c r="AG1629" s="106">
        <v>18500</v>
      </c>
      <c r="AH1629" s="106">
        <v>17749.364880273661</v>
      </c>
      <c r="AI1629" s="106">
        <v>20768.019384264539</v>
      </c>
      <c r="AJ1629" s="106">
        <v>23085.890535917901</v>
      </c>
      <c r="AK1629" s="104">
        <v>16292.21322690992</v>
      </c>
      <c r="AM1629" s="118">
        <v>635</v>
      </c>
      <c r="AN1629" s="118">
        <v>24449</v>
      </c>
      <c r="AO1629" s="118">
        <v>122</v>
      </c>
      <c r="AP1629" s="118">
        <f t="shared" si="25"/>
        <v>986</v>
      </c>
    </row>
    <row r="1630" spans="1:42" ht="12.75">
      <c r="A1630" s="106">
        <v>2018</v>
      </c>
      <c r="B1630" s="106">
        <v>-183877</v>
      </c>
      <c r="C1630" s="106">
        <v>0</v>
      </c>
      <c r="D1630" s="106">
        <v>183877</v>
      </c>
      <c r="E1630" s="106" t="s">
        <v>2608</v>
      </c>
      <c r="F1630" s="106" t="s">
        <v>4184</v>
      </c>
      <c r="G1630" s="106" t="s">
        <v>234</v>
      </c>
      <c r="H1630" s="106">
        <v>4</v>
      </c>
      <c r="I1630" s="106" t="s">
        <v>24</v>
      </c>
      <c r="J1630" s="106">
        <v>4065</v>
      </c>
      <c r="K1630" s="106">
        <v>6501</v>
      </c>
      <c r="L1630" s="106">
        <v>5833</v>
      </c>
      <c r="M1630" s="106">
        <v>0.4</v>
      </c>
      <c r="N1630" s="106">
        <v>0.1</v>
      </c>
      <c r="O1630" s="106">
        <v>0.08</v>
      </c>
      <c r="P1630" s="106">
        <v>1946</v>
      </c>
      <c r="Q1630" s="106">
        <v>46.098897427330435</v>
      </c>
      <c r="R1630" s="106">
        <v>8.7612310541172415E-3</v>
      </c>
      <c r="S1630" s="106">
        <v>10478.82191780822</v>
      </c>
      <c r="T1630" s="106">
        <v>12391.373705312395</v>
      </c>
      <c r="U1630" s="106">
        <v>7942.0869717905198</v>
      </c>
      <c r="V1630" s="106">
        <v>0.6567030683395737</v>
      </c>
      <c r="W1630" s="106">
        <v>59051.021953896823</v>
      </c>
      <c r="X1630" s="110">
        <v>0.48350210434780899</v>
      </c>
      <c r="Y1630" s="106">
        <v>661.79484029484024</v>
      </c>
      <c r="Z1630" s="106">
        <v>22.061425061425059</v>
      </c>
      <c r="AA1630" s="106">
        <v>34227.021319753818</v>
      </c>
      <c r="AB1630" s="106">
        <v>264.75539833676595</v>
      </c>
      <c r="AC1630" s="106">
        <v>2.9216682067009407</v>
      </c>
      <c r="AD1630" s="106">
        <v>23.281930942004696</v>
      </c>
      <c r="AE1630" s="106">
        <v>129.27789776817855</v>
      </c>
      <c r="AF1630" s="106">
        <v>9.6400884327019695E-2</v>
      </c>
      <c r="AG1630" s="106">
        <v>3000</v>
      </c>
      <c r="AH1630" s="106">
        <v>10117.24440360842</v>
      </c>
      <c r="AI1630" s="106">
        <v>10117.24440360842</v>
      </c>
      <c r="AJ1630" s="106">
        <v>10488.511693952556</v>
      </c>
      <c r="AK1630" s="104">
        <v>8794.7088205813561</v>
      </c>
      <c r="AL1630" s="119">
        <v>10956037</v>
      </c>
      <c r="AM1630" s="118">
        <v>8951</v>
      </c>
      <c r="AN1630" s="118">
        <v>179567</v>
      </c>
      <c r="AO1630" s="118">
        <v>1347</v>
      </c>
      <c r="AP1630" s="118">
        <f t="shared" si="25"/>
        <v>1065</v>
      </c>
    </row>
    <row r="1631" spans="1:42" ht="12.75">
      <c r="A1631" s="106">
        <v>2018</v>
      </c>
      <c r="B1631" s="106">
        <v>-184791</v>
      </c>
      <c r="C1631" s="106">
        <v>0</v>
      </c>
      <c r="D1631" s="106">
        <v>184791</v>
      </c>
      <c r="E1631" s="106" t="s">
        <v>2609</v>
      </c>
      <c r="F1631" s="106" t="s">
        <v>2610</v>
      </c>
      <c r="G1631" s="106" t="s">
        <v>234</v>
      </c>
      <c r="H1631" s="106">
        <v>4</v>
      </c>
      <c r="I1631" s="106" t="s">
        <v>24</v>
      </c>
      <c r="J1631" s="106">
        <v>4580</v>
      </c>
      <c r="K1631" s="106">
        <v>6642</v>
      </c>
      <c r="L1631" s="106">
        <v>7127</v>
      </c>
      <c r="M1631" s="106">
        <v>0.39</v>
      </c>
      <c r="N1631" s="106">
        <v>0.34</v>
      </c>
      <c r="O1631" s="106">
        <v>0.04</v>
      </c>
      <c r="P1631" s="106">
        <v>3853</v>
      </c>
      <c r="Q1631" s="106"/>
      <c r="R1631" s="106"/>
      <c r="S1631" s="106">
        <v>9739.6013060039913</v>
      </c>
      <c r="T1631" s="106">
        <v>10540.557772537639</v>
      </c>
      <c r="U1631" s="106">
        <v>9640.4369790521741</v>
      </c>
      <c r="V1631" s="106">
        <v>0.53752441547943253</v>
      </c>
      <c r="W1631" s="106">
        <v>91098.262365591392</v>
      </c>
      <c r="X1631" s="110">
        <v>0.72897302955708465</v>
      </c>
      <c r="Y1631" s="106">
        <v>971.01956947162432</v>
      </c>
      <c r="Z1631" s="106">
        <v>32.365949119373781</v>
      </c>
      <c r="AA1631" s="106">
        <v>47538.219199923638</v>
      </c>
      <c r="AB1631" s="106">
        <v>321.33429908350593</v>
      </c>
      <c r="AC1631" s="106">
        <v>2.1035705939981999</v>
      </c>
      <c r="AD1631" s="106">
        <v>22.253184713375795</v>
      </c>
      <c r="AE1631" s="106">
        <v>147.94007155635063</v>
      </c>
      <c r="AF1631" s="106">
        <v>9.4469345734202376E-2</v>
      </c>
      <c r="AG1631" s="106">
        <v>3260</v>
      </c>
      <c r="AH1631" s="106">
        <v>9366.9356067476874</v>
      </c>
      <c r="AI1631" s="106">
        <v>9366.9356067476874</v>
      </c>
      <c r="AJ1631" s="106">
        <v>9748.5991293306724</v>
      </c>
      <c r="AK1631" s="104">
        <v>10508.894249954652</v>
      </c>
      <c r="AL1631" s="119">
        <v>18700030</v>
      </c>
      <c r="AM1631" s="118">
        <v>7158</v>
      </c>
      <c r="AN1631" s="118">
        <v>165397</v>
      </c>
      <c r="AO1631" s="118">
        <v>1066</v>
      </c>
      <c r="AP1631" s="118">
        <f t="shared" si="25"/>
        <v>1320</v>
      </c>
    </row>
    <row r="1632" spans="1:42" ht="12.75">
      <c r="A1632" s="106">
        <v>2018</v>
      </c>
      <c r="B1632" s="106">
        <v>-184782</v>
      </c>
      <c r="C1632" s="106">
        <v>0</v>
      </c>
      <c r="D1632" s="106">
        <v>184782</v>
      </c>
      <c r="E1632" s="106" t="s">
        <v>2611</v>
      </c>
      <c r="F1632" s="106" t="s">
        <v>2612</v>
      </c>
      <c r="G1632" s="106" t="s">
        <v>234</v>
      </c>
      <c r="H1632" s="106">
        <v>1</v>
      </c>
      <c r="I1632" s="106" t="s">
        <v>23</v>
      </c>
      <c r="J1632" s="106">
        <v>13422</v>
      </c>
      <c r="K1632" s="106">
        <v>21535</v>
      </c>
      <c r="L1632" s="106">
        <v>17192</v>
      </c>
      <c r="M1632" s="106">
        <v>0.33</v>
      </c>
      <c r="N1632" s="106">
        <v>0.61</v>
      </c>
      <c r="O1632" s="106">
        <v>0.4</v>
      </c>
      <c r="P1632" s="106">
        <v>6106</v>
      </c>
      <c r="Q1632" s="106">
        <v>1355.2260745666113</v>
      </c>
      <c r="R1632" s="106">
        <v>8.7956476528304323E-2</v>
      </c>
      <c r="S1632" s="106">
        <v>35064.257005461885</v>
      </c>
      <c r="T1632" s="106">
        <v>35245.997922108763</v>
      </c>
      <c r="U1632" s="106">
        <v>22188.96383120176</v>
      </c>
      <c r="V1632" s="106">
        <v>0.6333189263508967</v>
      </c>
      <c r="W1632" s="106">
        <v>125503.1055598541</v>
      </c>
      <c r="X1632" s="110">
        <v>0.63750377981224604</v>
      </c>
      <c r="Y1632" s="106">
        <v>449.76774815290713</v>
      </c>
      <c r="Z1632" s="106">
        <v>16.232573080629617</v>
      </c>
      <c r="AA1632" s="106">
        <v>83951.236921105665</v>
      </c>
      <c r="AB1632" s="106">
        <v>800.82215421764397</v>
      </c>
      <c r="AC1632" s="106">
        <v>1.1911676786129595</v>
      </c>
      <c r="AD1632" s="106">
        <v>27.121535181236673</v>
      </c>
      <c r="AE1632" s="106">
        <v>104.83131176999102</v>
      </c>
      <c r="AF1632" s="106">
        <v>5.3652650285909549E-2</v>
      </c>
      <c r="AG1632" s="106">
        <v>9660</v>
      </c>
      <c r="AH1632" s="106">
        <v>34929.35122298741</v>
      </c>
      <c r="AI1632" s="106">
        <v>35586.064830206604</v>
      </c>
      <c r="AJ1632" s="106">
        <v>35195.836499643789</v>
      </c>
      <c r="AK1632" s="104">
        <v>26007.816195677988</v>
      </c>
      <c r="AL1632" s="118">
        <v>185706369</v>
      </c>
      <c r="AM1632" s="118">
        <v>15401</v>
      </c>
      <c r="AN1632" s="118">
        <v>466709</v>
      </c>
      <c r="AO1632" s="118">
        <v>3597</v>
      </c>
      <c r="AP1632" s="118">
        <f t="shared" si="25"/>
        <v>3762</v>
      </c>
    </row>
    <row r="1633" spans="1:42">
      <c r="A1633" s="106">
        <v>2018</v>
      </c>
      <c r="B1633" s="106">
        <v>-199494</v>
      </c>
      <c r="C1633" s="106">
        <v>0</v>
      </c>
      <c r="D1633" s="106">
        <v>199494</v>
      </c>
      <c r="E1633" s="106" t="s">
        <v>2613</v>
      </c>
      <c r="F1633" s="106" t="s">
        <v>629</v>
      </c>
      <c r="G1633" s="106" t="s">
        <v>90</v>
      </c>
      <c r="H1633" s="106">
        <v>4</v>
      </c>
      <c r="I1633" s="106" t="s">
        <v>24</v>
      </c>
      <c r="J1633" s="107">
        <v>2626</v>
      </c>
      <c r="K1633" s="107">
        <v>5520</v>
      </c>
      <c r="L1633" s="107">
        <v>4651</v>
      </c>
      <c r="M1633" s="107">
        <v>0.63</v>
      </c>
      <c r="N1633" s="107">
        <v>0</v>
      </c>
      <c r="O1633" s="107">
        <v>0.13</v>
      </c>
      <c r="P1633" s="107">
        <v>914</v>
      </c>
      <c r="Q1633" s="107">
        <v>1066.2612862547289</v>
      </c>
      <c r="R1633" s="107">
        <v>0.49492557197284759</v>
      </c>
      <c r="S1633" s="107">
        <v>12921.278940731399</v>
      </c>
      <c r="T1633" s="107">
        <v>13308.76418663304</v>
      </c>
      <c r="U1633" s="107">
        <v>9995.3853720050447</v>
      </c>
      <c r="V1633" s="107">
        <v>0.10886282126205882</v>
      </c>
      <c r="W1633" s="107">
        <v>64042.570457354755</v>
      </c>
      <c r="X1633" s="111">
        <v>0.65455341889452667</v>
      </c>
      <c r="Y1633" s="107">
        <v>389.103598691385</v>
      </c>
      <c r="Z1633" s="107">
        <v>12.971646673936752</v>
      </c>
      <c r="AA1633" s="107">
        <v>24831.894110275691</v>
      </c>
      <c r="AB1633" s="107">
        <v>333.21873108226271</v>
      </c>
      <c r="AC1633" s="107">
        <v>4.0270790281204922</v>
      </c>
      <c r="AD1633" s="107">
        <v>39.456118665018543</v>
      </c>
      <c r="AE1633" s="107">
        <v>74.521303258145366</v>
      </c>
      <c r="AF1633" s="107">
        <v>2.7629239285480833E-2</v>
      </c>
      <c r="AG1633" s="107">
        <v>2432</v>
      </c>
      <c r="AH1633" s="107">
        <v>11907.749054224463</v>
      </c>
      <c r="AI1633" s="107">
        <v>11913.997225725094</v>
      </c>
      <c r="AJ1633" s="107">
        <v>12937.417150063051</v>
      </c>
      <c r="AK1633" s="104">
        <v>11289.821185372006</v>
      </c>
      <c r="AL1633" s="118">
        <v>35496694</v>
      </c>
      <c r="AM1633" s="118">
        <v>5819</v>
      </c>
      <c r="AN1633" s="118">
        <v>118936</v>
      </c>
      <c r="AO1633" s="118">
        <v>942</v>
      </c>
      <c r="AP1633" s="118">
        <f t="shared" si="25"/>
        <v>194</v>
      </c>
    </row>
    <row r="1634" spans="1:42" ht="12.75">
      <c r="A1634" s="106">
        <v>2018</v>
      </c>
      <c r="B1634" s="106">
        <v>-167631</v>
      </c>
      <c r="C1634" s="106">
        <v>0</v>
      </c>
      <c r="D1634" s="106">
        <v>167631</v>
      </c>
      <c r="E1634" s="106" t="s">
        <v>2614</v>
      </c>
      <c r="F1634" s="106" t="s">
        <v>2615</v>
      </c>
      <c r="G1634" s="106" t="s">
        <v>150</v>
      </c>
      <c r="H1634" s="106">
        <v>4</v>
      </c>
      <c r="I1634" s="106" t="s">
        <v>24</v>
      </c>
      <c r="J1634" s="106">
        <v>4424</v>
      </c>
      <c r="K1634" s="106">
        <v>8862</v>
      </c>
      <c r="L1634" s="106">
        <v>8869</v>
      </c>
      <c r="M1634" s="106">
        <v>0.71</v>
      </c>
      <c r="N1634" s="106">
        <v>0.01</v>
      </c>
      <c r="O1634" s="106">
        <v>0</v>
      </c>
      <c r="P1634" s="106"/>
      <c r="Q1634" s="106">
        <v>85.998345740281223</v>
      </c>
      <c r="R1634" s="106">
        <v>1.2967030801624459E-2</v>
      </c>
      <c r="S1634" s="106">
        <v>20914.658395368071</v>
      </c>
      <c r="T1634" s="106">
        <v>23184.567411083539</v>
      </c>
      <c r="U1634" s="106">
        <v>18285.782292897627</v>
      </c>
      <c r="V1634" s="106">
        <v>0.3579873407920427</v>
      </c>
      <c r="W1634" s="106">
        <v>64013.308564231731</v>
      </c>
      <c r="X1634" s="110">
        <v>0.60442751235437908</v>
      </c>
      <c r="Y1634" s="106">
        <v>370.13265306122452</v>
      </c>
      <c r="Z1634" s="106">
        <v>12.336734693877551</v>
      </c>
      <c r="AA1634" s="106">
        <v>80979.893011403765</v>
      </c>
      <c r="AB1634" s="106">
        <v>609.47566487782183</v>
      </c>
      <c r="AC1634" s="106">
        <v>1.2348744395836357</v>
      </c>
      <c r="AD1634" s="106">
        <v>26.50485436893204</v>
      </c>
      <c r="AE1634" s="106">
        <v>132.86813186813185</v>
      </c>
      <c r="AF1634" s="106">
        <v>0.50979479790929694</v>
      </c>
      <c r="AG1634" s="106">
        <v>624</v>
      </c>
      <c r="AH1634" s="106">
        <v>20913.976840363935</v>
      </c>
      <c r="AI1634" s="106">
        <v>20913.976840363935</v>
      </c>
      <c r="AJ1634" s="106">
        <v>20914.74110835401</v>
      </c>
      <c r="AK1634" s="104">
        <v>23184.567411083539</v>
      </c>
      <c r="AL1634" s="118">
        <v>15189876</v>
      </c>
      <c r="AM1634" s="118">
        <v>1928</v>
      </c>
      <c r="AN1634" s="118">
        <v>36273</v>
      </c>
      <c r="AO1634" s="118">
        <v>249</v>
      </c>
      <c r="AP1634" s="118">
        <f t="shared" si="25"/>
        <v>3800</v>
      </c>
    </row>
    <row r="1635" spans="1:42" ht="12.75">
      <c r="A1635" s="106">
        <v>2018</v>
      </c>
      <c r="B1635" s="106">
        <v>-176318</v>
      </c>
      <c r="C1635" s="106">
        <v>0</v>
      </c>
      <c r="D1635" s="106">
        <v>176318</v>
      </c>
      <c r="E1635" s="106" t="s">
        <v>2616</v>
      </c>
      <c r="F1635" s="106" t="s">
        <v>2617</v>
      </c>
      <c r="G1635" s="106" t="s">
        <v>107</v>
      </c>
      <c r="H1635" s="106">
        <v>7</v>
      </c>
      <c r="I1635" s="106" t="s">
        <v>3641</v>
      </c>
      <c r="J1635" s="106">
        <v>9700</v>
      </c>
      <c r="K1635" s="106">
        <v>10335</v>
      </c>
      <c r="L1635" s="106">
        <v>10348</v>
      </c>
      <c r="M1635" s="106">
        <v>0.9</v>
      </c>
      <c r="N1635" s="106">
        <v>0.83</v>
      </c>
      <c r="O1635" s="106">
        <v>0.37</v>
      </c>
      <c r="P1635" s="106">
        <v>3372</v>
      </c>
      <c r="Q1635" s="106">
        <v>2412.698166431594</v>
      </c>
      <c r="R1635" s="106">
        <v>0.22474187443801491</v>
      </c>
      <c r="S1635" s="106">
        <v>24756.407616361073</v>
      </c>
      <c r="T1635" s="106">
        <v>24128.205923836391</v>
      </c>
      <c r="U1635" s="106">
        <v>17836.977640586931</v>
      </c>
      <c r="V1635" s="106">
        <v>0.4665992692892954</v>
      </c>
      <c r="W1635" s="106">
        <v>44095.617590822178</v>
      </c>
      <c r="X1635" s="110">
        <v>0.44937054046852914</v>
      </c>
      <c r="Y1635" s="106">
        <v>506.33333333333331</v>
      </c>
      <c r="Z1635" s="106">
        <v>16.88095238095238</v>
      </c>
      <c r="AA1635" s="106">
        <v>109968.84475805334</v>
      </c>
      <c r="AB1635" s="106">
        <v>594.6777554394871</v>
      </c>
      <c r="AC1635" s="106">
        <v>0.90934846337627562</v>
      </c>
      <c r="AD1635" s="106">
        <v>14.041514041514041</v>
      </c>
      <c r="AE1635" s="106">
        <v>184.92173913043479</v>
      </c>
      <c r="AF1635" s="106">
        <v>6.7713783947834422E-2</v>
      </c>
      <c r="AG1635" s="106">
        <v>9700</v>
      </c>
      <c r="AH1635" s="106">
        <v>18051.108603667137</v>
      </c>
      <c r="AI1635" s="106">
        <v>22545.107193229902</v>
      </c>
      <c r="AJ1635" s="106">
        <v>29638.760225669957</v>
      </c>
      <c r="AK1635" s="104">
        <v>21043.162200282088</v>
      </c>
      <c r="AL1635" s="118"/>
      <c r="AM1635" s="118">
        <v>860</v>
      </c>
      <c r="AN1635" s="118">
        <v>21266</v>
      </c>
      <c r="AO1635" s="118">
        <v>115</v>
      </c>
      <c r="AP1635" s="118">
        <f t="shared" si="25"/>
        <v>0</v>
      </c>
    </row>
    <row r="1636" spans="1:42" ht="12.75">
      <c r="A1636" s="106">
        <v>2018</v>
      </c>
      <c r="B1636" s="106">
        <v>1564</v>
      </c>
      <c r="C1636" s="106">
        <v>1</v>
      </c>
      <c r="D1636" s="106">
        <v>186371</v>
      </c>
      <c r="E1636" s="106" t="s">
        <v>3868</v>
      </c>
      <c r="F1636" s="106" t="s">
        <v>2618</v>
      </c>
      <c r="G1636" s="106" t="s">
        <v>234</v>
      </c>
      <c r="H1636" s="106">
        <v>2</v>
      </c>
      <c r="I1636" s="106" t="s">
        <v>25</v>
      </c>
      <c r="J1636" s="106">
        <v>14501</v>
      </c>
      <c r="K1636" s="106">
        <v>12279</v>
      </c>
      <c r="L1636" s="106">
        <v>9477</v>
      </c>
      <c r="M1636" s="106">
        <v>0.35</v>
      </c>
      <c r="N1636" s="106">
        <v>0.51</v>
      </c>
      <c r="O1636" s="106">
        <v>0.44</v>
      </c>
      <c r="P1636" s="106">
        <v>7719</v>
      </c>
      <c r="Q1636" s="106">
        <v>2685.35688229572</v>
      </c>
      <c r="R1636" s="106">
        <v>0.14294810904754121</v>
      </c>
      <c r="S1636" s="106">
        <v>62164.640077821008</v>
      </c>
      <c r="T1636" s="106">
        <v>65267.616123540858</v>
      </c>
      <c r="U1636" s="106">
        <v>25737.171415522549</v>
      </c>
      <c r="V1636" s="106">
        <v>0.62556133668218616</v>
      </c>
      <c r="W1636" s="106">
        <v>125837.36320915786</v>
      </c>
      <c r="X1636" s="110">
        <v>0.60073864362785379</v>
      </c>
      <c r="Y1636" s="106">
        <v>294.71820205200589</v>
      </c>
      <c r="Z1636" s="106">
        <v>10.714727756365019</v>
      </c>
      <c r="AA1636" s="106">
        <v>93957.384406284516</v>
      </c>
      <c r="AB1636" s="106">
        <v>935.69648232165218</v>
      </c>
      <c r="AC1636" s="106">
        <v>1.0643123010703064</v>
      </c>
      <c r="AD1636" s="106">
        <v>29.469381080860106</v>
      </c>
      <c r="AE1636" s="106">
        <v>100.41438242148485</v>
      </c>
      <c r="AF1636" s="106">
        <v>1.2704395733667948E-2</v>
      </c>
      <c r="AG1636" s="106">
        <v>11619</v>
      </c>
      <c r="AH1636" s="106">
        <v>62264.789032101166</v>
      </c>
      <c r="AI1636" s="106">
        <v>62838.156614785992</v>
      </c>
      <c r="AJ1636" s="106">
        <v>64123.282465953307</v>
      </c>
      <c r="AK1636" s="104">
        <v>45166.448808365756</v>
      </c>
      <c r="AL1636" s="118">
        <v>813911000</v>
      </c>
      <c r="AM1636" s="118">
        <v>49681</v>
      </c>
      <c r="AN1636" s="118">
        <v>1809668</v>
      </c>
      <c r="AO1636" s="118">
        <v>11673</v>
      </c>
      <c r="AP1636" s="118">
        <f t="shared" si="25"/>
        <v>2882</v>
      </c>
    </row>
    <row r="1637" spans="1:42" ht="12.75">
      <c r="A1637" s="106">
        <v>2018</v>
      </c>
      <c r="B1637" s="106">
        <v>-122180</v>
      </c>
      <c r="C1637" s="106">
        <v>0</v>
      </c>
      <c r="D1637" s="106">
        <v>122180</v>
      </c>
      <c r="E1637" s="106" t="s">
        <v>4185</v>
      </c>
      <c r="F1637" s="106" t="s">
        <v>153</v>
      </c>
      <c r="G1637" s="106" t="s">
        <v>121</v>
      </c>
      <c r="H1637" s="106">
        <v>4</v>
      </c>
      <c r="I1637" s="106" t="s">
        <v>24</v>
      </c>
      <c r="J1637" s="106">
        <v>1104</v>
      </c>
      <c r="K1637" s="106">
        <v>7113</v>
      </c>
      <c r="L1637" s="106">
        <v>5069</v>
      </c>
      <c r="M1637" s="106">
        <v>0.5</v>
      </c>
      <c r="N1637" s="106">
        <v>0.04</v>
      </c>
      <c r="O1637" s="106">
        <v>0.02</v>
      </c>
      <c r="P1637" s="106">
        <v>1172</v>
      </c>
      <c r="Q1637" s="106">
        <v>0.61785194825078471</v>
      </c>
      <c r="R1637" s="106">
        <v>1.8110256750979099E-4</v>
      </c>
      <c r="S1637" s="106">
        <v>10724.54374952155</v>
      </c>
      <c r="T1637" s="106">
        <v>11507.190231952844</v>
      </c>
      <c r="U1637" s="106">
        <v>9293.9467557039679</v>
      </c>
      <c r="V1637" s="106">
        <v>0.36701259966710453</v>
      </c>
      <c r="W1637" s="106">
        <v>133302.12062937065</v>
      </c>
      <c r="X1637" s="110">
        <v>0.67633148314099567</v>
      </c>
      <c r="Y1637" s="106">
        <v>806.92587508579277</v>
      </c>
      <c r="Z1637" s="106">
        <v>26.897048730267674</v>
      </c>
      <c r="AA1637" s="106">
        <v>60673.076696532204</v>
      </c>
      <c r="AB1637" s="106">
        <v>309.79269162499571</v>
      </c>
      <c r="AC1637" s="106">
        <v>1.6481775021920972</v>
      </c>
      <c r="AD1637" s="106">
        <v>18.831168831168831</v>
      </c>
      <c r="AE1637" s="106">
        <v>195.85057471264369</v>
      </c>
      <c r="AF1637" s="106"/>
      <c r="AG1637" s="106">
        <v>0</v>
      </c>
      <c r="AH1637" s="106">
        <v>11909.911199571308</v>
      </c>
      <c r="AI1637" s="106">
        <v>11909.911199571308</v>
      </c>
      <c r="AJ1637" s="106">
        <v>10769.476154022812</v>
      </c>
      <c r="AK1637" s="104">
        <v>9322.3370588685593</v>
      </c>
      <c r="AL1637" s="119">
        <v>74407370</v>
      </c>
      <c r="AM1637" s="118">
        <v>21323</v>
      </c>
      <c r="AN1637" s="118">
        <v>391897</v>
      </c>
      <c r="AO1637" s="118">
        <v>1664</v>
      </c>
      <c r="AP1637" s="118">
        <f t="shared" si="25"/>
        <v>1104</v>
      </c>
    </row>
    <row r="1638" spans="1:42" ht="12.75">
      <c r="A1638" s="106">
        <v>2018</v>
      </c>
      <c r="B1638" s="106">
        <v>-130253</v>
      </c>
      <c r="C1638" s="106">
        <v>0</v>
      </c>
      <c r="D1638" s="106">
        <v>130253</v>
      </c>
      <c r="E1638" s="106" t="s">
        <v>2652</v>
      </c>
      <c r="F1638" s="106" t="s">
        <v>1206</v>
      </c>
      <c r="G1638" s="106" t="s">
        <v>99</v>
      </c>
      <c r="H1638" s="106">
        <v>6</v>
      </c>
      <c r="I1638" s="106" t="s">
        <v>3640</v>
      </c>
      <c r="J1638" s="106">
        <v>39820</v>
      </c>
      <c r="K1638" s="106">
        <v>41403</v>
      </c>
      <c r="L1638" s="106">
        <v>34545</v>
      </c>
      <c r="M1638" s="106">
        <v>0.16</v>
      </c>
      <c r="N1638" s="106">
        <v>0.65</v>
      </c>
      <c r="O1638" s="106">
        <v>0.98</v>
      </c>
      <c r="P1638" s="106">
        <v>15413</v>
      </c>
      <c r="Q1638" s="106">
        <v>9486.8699336772297</v>
      </c>
      <c r="R1638" s="106">
        <v>0.29272832425920986</v>
      </c>
      <c r="S1638" s="106">
        <v>31011.708302628347</v>
      </c>
      <c r="T1638" s="106">
        <v>26333.866985998528</v>
      </c>
      <c r="U1638" s="106">
        <v>21033.204097594382</v>
      </c>
      <c r="V1638" s="106">
        <v>1.0897804931626354</v>
      </c>
      <c r="W1638" s="106">
        <v>83768.58906578552</v>
      </c>
      <c r="X1638" s="110">
        <v>0.43353883414533939</v>
      </c>
      <c r="Y1638" s="106">
        <v>460.37379310344824</v>
      </c>
      <c r="Z1638" s="106">
        <v>16.845517241379309</v>
      </c>
      <c r="AA1638" s="106">
        <v>66505.766121403285</v>
      </c>
      <c r="AB1638" s="106">
        <v>769.62504724472819</v>
      </c>
      <c r="AC1638" s="106">
        <v>1.5036290209401468</v>
      </c>
      <c r="AD1638" s="106">
        <v>36.680911680911684</v>
      </c>
      <c r="AE1638" s="106">
        <v>86.413203883495143</v>
      </c>
      <c r="AF1638" s="106">
        <v>0.11199839326324838</v>
      </c>
      <c r="AG1638" s="106">
        <v>39570</v>
      </c>
      <c r="AH1638" s="106">
        <v>29677.001596659298</v>
      </c>
      <c r="AI1638" s="106">
        <v>31050.032424465735</v>
      </c>
      <c r="AJ1638" s="106">
        <v>32209.768852861704</v>
      </c>
      <c r="AK1638" s="104">
        <v>22022.612871530335</v>
      </c>
      <c r="AL1638" s="118"/>
      <c r="AM1638" s="118">
        <v>5603</v>
      </c>
      <c r="AN1638" s="118">
        <v>222514</v>
      </c>
      <c r="AO1638" s="118">
        <v>1267</v>
      </c>
      <c r="AP1638" s="118">
        <f t="shared" si="25"/>
        <v>250</v>
      </c>
    </row>
    <row r="1639" spans="1:42" ht="12.75">
      <c r="A1639" s="106">
        <v>2018</v>
      </c>
      <c r="B1639" s="106">
        <v>-122205</v>
      </c>
      <c r="C1639" s="106">
        <v>0</v>
      </c>
      <c r="D1639" s="106">
        <v>122205</v>
      </c>
      <c r="E1639" s="106" t="s">
        <v>4186</v>
      </c>
      <c r="F1639" s="106" t="s">
        <v>2653</v>
      </c>
      <c r="G1639" s="106" t="s">
        <v>121</v>
      </c>
      <c r="H1639" s="106">
        <v>4</v>
      </c>
      <c r="I1639" s="106" t="s">
        <v>24</v>
      </c>
      <c r="J1639" s="106">
        <v>1328</v>
      </c>
      <c r="K1639" s="106">
        <v>8086</v>
      </c>
      <c r="L1639" s="106">
        <v>4840</v>
      </c>
      <c r="M1639" s="106">
        <v>0.19</v>
      </c>
      <c r="N1639" s="106">
        <v>0.01</v>
      </c>
      <c r="O1639" s="106">
        <v>0.02</v>
      </c>
      <c r="P1639" s="106">
        <v>1883</v>
      </c>
      <c r="Q1639" s="106"/>
      <c r="R1639" s="106"/>
      <c r="S1639" s="106">
        <v>14724.63042262523</v>
      </c>
      <c r="T1639" s="106">
        <v>13219.069585363904</v>
      </c>
      <c r="U1639" s="106">
        <v>9806.6553116200903</v>
      </c>
      <c r="V1639" s="106">
        <v>0.25217521852357533</v>
      </c>
      <c r="W1639" s="106">
        <v>155348.33035714284</v>
      </c>
      <c r="X1639" s="110">
        <v>0.7711252033036442</v>
      </c>
      <c r="Y1639" s="106">
        <v>780.66528066528065</v>
      </c>
      <c r="Z1639" s="106">
        <v>26.022869022869024</v>
      </c>
      <c r="AA1639" s="106">
        <v>27923.090203718988</v>
      </c>
      <c r="AB1639" s="106">
        <v>326.89721580705373</v>
      </c>
      <c r="AC1639" s="106">
        <v>3.581265514326252</v>
      </c>
      <c r="AD1639" s="106">
        <v>41.806942463147884</v>
      </c>
      <c r="AE1639" s="106">
        <v>85.418562329390355</v>
      </c>
      <c r="AF1639" s="106"/>
      <c r="AG1639" s="106">
        <v>1288</v>
      </c>
      <c r="AH1639" s="106">
        <v>14355.35024366861</v>
      </c>
      <c r="AI1639" s="106">
        <v>14355.35024366861</v>
      </c>
      <c r="AJ1639" s="106">
        <v>14807.903331469202</v>
      </c>
      <c r="AK1639" s="104">
        <v>11504.48334265399</v>
      </c>
      <c r="AL1639" s="119">
        <v>125681366</v>
      </c>
      <c r="AM1639" s="118">
        <v>19783</v>
      </c>
      <c r="AN1639" s="118">
        <v>375500</v>
      </c>
      <c r="AO1639" s="118">
        <v>1980</v>
      </c>
      <c r="AP1639" s="118">
        <f t="shared" si="25"/>
        <v>40</v>
      </c>
    </row>
    <row r="1640" spans="1:42" ht="12.75">
      <c r="A1640" s="106">
        <v>2018</v>
      </c>
      <c r="B1640" s="106">
        <v>-172051</v>
      </c>
      <c r="C1640" s="106">
        <v>0</v>
      </c>
      <c r="D1640" s="106">
        <v>172051</v>
      </c>
      <c r="E1640" s="106" t="s">
        <v>2654</v>
      </c>
      <c r="F1640" s="106" t="s">
        <v>1033</v>
      </c>
      <c r="G1640" s="106" t="s">
        <v>74</v>
      </c>
      <c r="H1640" s="106">
        <v>2</v>
      </c>
      <c r="I1640" s="106" t="s">
        <v>25</v>
      </c>
      <c r="J1640" s="106">
        <v>9819</v>
      </c>
      <c r="K1640" s="106">
        <v>14669</v>
      </c>
      <c r="L1640" s="106">
        <v>12274</v>
      </c>
      <c r="M1640" s="106">
        <v>0.36</v>
      </c>
      <c r="N1640" s="106">
        <v>0.64</v>
      </c>
      <c r="O1640" s="106">
        <v>0.76</v>
      </c>
      <c r="P1640" s="106">
        <v>4911</v>
      </c>
      <c r="Q1640" s="106">
        <v>2908.169727248177</v>
      </c>
      <c r="R1640" s="106">
        <v>0.23677192367296107</v>
      </c>
      <c r="S1640" s="106">
        <v>19828.51188225763</v>
      </c>
      <c r="T1640" s="106">
        <v>18932.372130704833</v>
      </c>
      <c r="U1640" s="106">
        <v>13528.7313910794</v>
      </c>
      <c r="V1640" s="106">
        <v>0.69292592569607969</v>
      </c>
      <c r="W1640" s="106">
        <v>87241.350230414741</v>
      </c>
      <c r="X1640" s="110">
        <v>0.54007411630184643</v>
      </c>
      <c r="Y1640" s="106">
        <v>574.31398416886543</v>
      </c>
      <c r="Z1640" s="106">
        <v>19.540897097625329</v>
      </c>
      <c r="AA1640" s="106">
        <v>58730.237211215732</v>
      </c>
      <c r="AB1640" s="106">
        <v>460.31187688573743</v>
      </c>
      <c r="AC1640" s="106">
        <v>1.7027004273856905</v>
      </c>
      <c r="AD1640" s="106">
        <v>22.704285334043121</v>
      </c>
      <c r="AE1640" s="106">
        <v>127.58792497069167</v>
      </c>
      <c r="AF1640" s="106">
        <v>3.4010076071805916E-2</v>
      </c>
      <c r="AG1640" s="106">
        <v>9381</v>
      </c>
      <c r="AH1640" s="106">
        <v>18358.921415068864</v>
      </c>
      <c r="AI1640" s="106">
        <v>18931.687685660276</v>
      </c>
      <c r="AJ1640" s="106">
        <v>19914.154604374831</v>
      </c>
      <c r="AK1640" s="104">
        <v>15578.990683229813</v>
      </c>
      <c r="AL1640" s="118">
        <v>29779000</v>
      </c>
      <c r="AM1640" s="118">
        <v>7846</v>
      </c>
      <c r="AN1640" s="118">
        <v>217665</v>
      </c>
      <c r="AO1640" s="118">
        <v>1400</v>
      </c>
      <c r="AP1640" s="118">
        <f t="shared" si="25"/>
        <v>438</v>
      </c>
    </row>
    <row r="1641" spans="1:42" ht="12.75">
      <c r="A1641" s="106">
        <v>2018</v>
      </c>
      <c r="B1641" s="106">
        <v>-154235</v>
      </c>
      <c r="C1641" s="106">
        <v>0</v>
      </c>
      <c r="D1641" s="106">
        <v>154235</v>
      </c>
      <c r="E1641" s="106" t="s">
        <v>2655</v>
      </c>
      <c r="F1641" s="106" t="s">
        <v>1112</v>
      </c>
      <c r="G1641" s="106" t="s">
        <v>447</v>
      </c>
      <c r="H1641" s="106">
        <v>6</v>
      </c>
      <c r="I1641" s="106" t="s">
        <v>3640</v>
      </c>
      <c r="J1641" s="106">
        <v>30016</v>
      </c>
      <c r="K1641" s="106">
        <v>25562</v>
      </c>
      <c r="L1641" s="106">
        <v>21044</v>
      </c>
      <c r="M1641" s="106">
        <v>0.28999999999999998</v>
      </c>
      <c r="N1641" s="106">
        <v>0.74</v>
      </c>
      <c r="O1641" s="106">
        <v>1</v>
      </c>
      <c r="P1641" s="106">
        <v>16957</v>
      </c>
      <c r="Q1641" s="106">
        <v>10603.638640429339</v>
      </c>
      <c r="R1641" s="106">
        <v>0.36290012166029145</v>
      </c>
      <c r="S1641" s="106">
        <v>28137.006797853308</v>
      </c>
      <c r="T1641" s="106">
        <v>24858.314490161003</v>
      </c>
      <c r="U1641" s="106">
        <v>19104.045796064402</v>
      </c>
      <c r="V1641" s="106">
        <v>0.97442849820720012</v>
      </c>
      <c r="W1641" s="106">
        <v>73787.670040485827</v>
      </c>
      <c r="X1641" s="110">
        <v>0.52463499432900496</v>
      </c>
      <c r="Y1641" s="106">
        <v>313.01513067400276</v>
      </c>
      <c r="Z1641" s="106">
        <v>11.533700137551582</v>
      </c>
      <c r="AA1641" s="106">
        <v>60198.205186020292</v>
      </c>
      <c r="AB1641" s="106">
        <v>703.92870514409265</v>
      </c>
      <c r="AC1641" s="106">
        <v>1.6611790948083414</v>
      </c>
      <c r="AD1641" s="106">
        <v>31.122807017543856</v>
      </c>
      <c r="AE1641" s="106">
        <v>85.517474633596393</v>
      </c>
      <c r="AF1641" s="106">
        <v>9.1330571099405719E-2</v>
      </c>
      <c r="AG1641" s="106">
        <v>29736</v>
      </c>
      <c r="AH1641" s="106">
        <v>25890.740608228982</v>
      </c>
      <c r="AI1641" s="106">
        <v>28333.90983899821</v>
      </c>
      <c r="AJ1641" s="106">
        <v>31643.162790697676</v>
      </c>
      <c r="AK1641" s="104">
        <v>19359.152772808586</v>
      </c>
      <c r="AL1641" s="118"/>
      <c r="AM1641" s="118">
        <v>2368</v>
      </c>
      <c r="AN1641" s="118">
        <v>75854</v>
      </c>
      <c r="AO1641" s="118">
        <v>603</v>
      </c>
      <c r="AP1641" s="118">
        <f t="shared" si="25"/>
        <v>280</v>
      </c>
    </row>
    <row r="1642" spans="1:42" ht="12.75">
      <c r="A1642" s="106">
        <v>2018</v>
      </c>
      <c r="B1642" s="106">
        <v>-183239</v>
      </c>
      <c r="C1642" s="106">
        <v>0</v>
      </c>
      <c r="D1642" s="106">
        <v>183239</v>
      </c>
      <c r="E1642" s="106" t="s">
        <v>2656</v>
      </c>
      <c r="F1642" s="106" t="s">
        <v>1871</v>
      </c>
      <c r="G1642" s="106" t="s">
        <v>179</v>
      </c>
      <c r="H1642" s="106">
        <v>7</v>
      </c>
      <c r="I1642" s="106" t="s">
        <v>3641</v>
      </c>
      <c r="J1642" s="106">
        <v>39990</v>
      </c>
      <c r="K1642" s="106">
        <v>32255</v>
      </c>
      <c r="L1642" s="106">
        <v>17041</v>
      </c>
      <c r="M1642" s="106">
        <v>0.14000000000000001</v>
      </c>
      <c r="N1642" s="106">
        <v>0.72</v>
      </c>
      <c r="O1642" s="106">
        <v>0.99</v>
      </c>
      <c r="P1642" s="106">
        <v>23389</v>
      </c>
      <c r="Q1642" s="106">
        <v>19873.279525528622</v>
      </c>
      <c r="R1642" s="106">
        <v>0.49095972746193356</v>
      </c>
      <c r="S1642" s="106">
        <v>40614.35533780299</v>
      </c>
      <c r="T1642" s="106">
        <v>41966.395048994324</v>
      </c>
      <c r="U1642" s="106">
        <v>33840.848375451264</v>
      </c>
      <c r="V1642" s="106">
        <v>0.60888401484331789</v>
      </c>
      <c r="W1642" s="106">
        <v>81240.648777895854</v>
      </c>
      <c r="X1642" s="110">
        <v>0.6263142222884196</v>
      </c>
      <c r="Y1642" s="106">
        <v>364.26223091976516</v>
      </c>
      <c r="Z1642" s="106">
        <v>11.383561643835616</v>
      </c>
      <c r="AA1642" s="106">
        <v>138433.34388185653</v>
      </c>
      <c r="AB1642" s="106">
        <v>1057.5606001998517</v>
      </c>
      <c r="AC1642" s="106">
        <v>0.72236931649461</v>
      </c>
      <c r="AD1642" s="106">
        <v>24.420401854714065</v>
      </c>
      <c r="AE1642" s="106">
        <v>130.8987341772152</v>
      </c>
      <c r="AF1642" s="106">
        <v>5.5483061543059618E-2</v>
      </c>
      <c r="AG1642" s="106">
        <v>38960</v>
      </c>
      <c r="AH1642" s="106">
        <v>37552.189788550801</v>
      </c>
      <c r="AI1642" s="106">
        <v>40521.523981433726</v>
      </c>
      <c r="AJ1642" s="106">
        <v>47560.759669932952</v>
      </c>
      <c r="AK1642" s="104">
        <v>33840.848375451264</v>
      </c>
      <c r="AL1642" s="118"/>
      <c r="AM1642" s="118">
        <v>1964</v>
      </c>
      <c r="AN1642" s="118">
        <v>62046</v>
      </c>
      <c r="AO1642" s="118">
        <v>474</v>
      </c>
      <c r="AP1642" s="118">
        <f t="shared" si="25"/>
        <v>1030</v>
      </c>
    </row>
    <row r="1643" spans="1:42" ht="12.75">
      <c r="A1643" s="106">
        <v>2018</v>
      </c>
      <c r="B1643" s="106">
        <v>-148876</v>
      </c>
      <c r="C1643" s="106">
        <v>0</v>
      </c>
      <c r="D1643" s="106">
        <v>148876</v>
      </c>
      <c r="E1643" s="106" t="s">
        <v>2657</v>
      </c>
      <c r="F1643" s="106" t="s">
        <v>725</v>
      </c>
      <c r="G1643" s="106" t="s">
        <v>243</v>
      </c>
      <c r="H1643" s="106">
        <v>7</v>
      </c>
      <c r="I1643" s="106" t="s">
        <v>3641</v>
      </c>
      <c r="J1643" s="106">
        <v>13200</v>
      </c>
      <c r="K1643" s="106">
        <v>8666</v>
      </c>
      <c r="L1643" s="106">
        <v>8480</v>
      </c>
      <c r="M1643" s="106">
        <v>0.85</v>
      </c>
      <c r="N1643" s="106">
        <v>0</v>
      </c>
      <c r="O1643" s="106">
        <v>0.85</v>
      </c>
      <c r="P1643" s="106">
        <v>4804</v>
      </c>
      <c r="Q1643" s="106">
        <v>4703.1451612903229</v>
      </c>
      <c r="R1643" s="106">
        <v>0.30647670425739021</v>
      </c>
      <c r="S1643" s="106">
        <v>14685.636088709678</v>
      </c>
      <c r="T1643" s="106">
        <v>15346.910282258064</v>
      </c>
      <c r="U1643" s="106">
        <v>10800.148338549856</v>
      </c>
      <c r="V1643" s="106">
        <v>0.98542198638553713</v>
      </c>
      <c r="W1643" s="106">
        <v>53322.625506072865</v>
      </c>
      <c r="X1643" s="110">
        <v>0.57674600231802986</v>
      </c>
      <c r="Y1643" s="106">
        <v>424.92857142857144</v>
      </c>
      <c r="Z1643" s="106">
        <v>14.171428571428571</v>
      </c>
      <c r="AA1643" s="106">
        <v>33797.309627260118</v>
      </c>
      <c r="AB1643" s="106">
        <v>360.18649022832267</v>
      </c>
      <c r="AC1643" s="106">
        <v>2.9588153939727304</v>
      </c>
      <c r="AD1643" s="106">
        <v>29.543336439888161</v>
      </c>
      <c r="AE1643" s="106">
        <v>93.83280757097792</v>
      </c>
      <c r="AF1643" s="106">
        <v>-0.12069683713172585</v>
      </c>
      <c r="AG1643" s="106">
        <v>13200</v>
      </c>
      <c r="AH1643" s="106">
        <v>13652.854838709678</v>
      </c>
      <c r="AI1643" s="106">
        <v>14685.636088709678</v>
      </c>
      <c r="AJ1643" s="106">
        <v>14767.408266129032</v>
      </c>
      <c r="AK1643" s="104">
        <v>15117.798387096775</v>
      </c>
      <c r="AM1643" s="118">
        <v>1256</v>
      </c>
      <c r="AN1643" s="118">
        <v>29745</v>
      </c>
      <c r="AO1643" s="118">
        <v>317</v>
      </c>
      <c r="AP1643" s="118">
        <f t="shared" si="25"/>
        <v>0</v>
      </c>
    </row>
    <row r="1644" spans="1:42" ht="12.75">
      <c r="A1644" s="106">
        <v>2018</v>
      </c>
      <c r="B1644" s="106">
        <v>-199582</v>
      </c>
      <c r="C1644" s="106">
        <v>0</v>
      </c>
      <c r="D1644" s="106">
        <v>199582</v>
      </c>
      <c r="E1644" s="106" t="s">
        <v>2658</v>
      </c>
      <c r="F1644" s="106" t="s">
        <v>1949</v>
      </c>
      <c r="G1644" s="106" t="s">
        <v>90</v>
      </c>
      <c r="H1644" s="106">
        <v>7</v>
      </c>
      <c r="I1644" s="106" t="s">
        <v>3641</v>
      </c>
      <c r="J1644" s="106">
        <v>17890</v>
      </c>
      <c r="K1644" s="106">
        <v>25668</v>
      </c>
      <c r="L1644" s="106">
        <v>25005</v>
      </c>
      <c r="M1644" s="106">
        <v>0.8</v>
      </c>
      <c r="N1644" s="106">
        <v>0.86</v>
      </c>
      <c r="O1644" s="106">
        <v>0.6</v>
      </c>
      <c r="P1644" s="106">
        <v>4270</v>
      </c>
      <c r="Q1644" s="106">
        <v>4333.7091108671793</v>
      </c>
      <c r="R1644" s="106">
        <v>0.23576116015724302</v>
      </c>
      <c r="S1644" s="106">
        <v>33079.510428100984</v>
      </c>
      <c r="T1644" s="106">
        <v>33140.178924259053</v>
      </c>
      <c r="U1644" s="106">
        <v>27003.495477145134</v>
      </c>
      <c r="V1644" s="106">
        <v>0.52023146666215681</v>
      </c>
      <c r="W1644" s="106">
        <v>48844.81318681319</v>
      </c>
      <c r="X1644" s="110">
        <v>0.39260457101644836</v>
      </c>
      <c r="Y1644" s="106">
        <v>361.05726872246692</v>
      </c>
      <c r="Z1644" s="106">
        <v>12.039647577092511</v>
      </c>
      <c r="AA1644" s="106">
        <v>203307.30892296875</v>
      </c>
      <c r="AB1644" s="106">
        <v>900.44598754316314</v>
      </c>
      <c r="AC1644" s="106">
        <v>0.49186623210820757</v>
      </c>
      <c r="AD1644" s="106">
        <v>12.525879917184266</v>
      </c>
      <c r="AE1644" s="106">
        <v>225.78512396694214</v>
      </c>
      <c r="AF1644" s="106">
        <v>2.7939210755748223E-2</v>
      </c>
      <c r="AG1644" s="106">
        <v>12890</v>
      </c>
      <c r="AH1644" s="106">
        <v>29891.523600439079</v>
      </c>
      <c r="AI1644" s="106">
        <v>33079.510428100984</v>
      </c>
      <c r="AJ1644" s="106">
        <v>33424.378704720089</v>
      </c>
      <c r="AK1644" s="104">
        <v>29380.115257958289</v>
      </c>
      <c r="AL1644" s="118"/>
      <c r="AM1644" s="118">
        <v>974</v>
      </c>
      <c r="AN1644" s="118">
        <v>27320</v>
      </c>
      <c r="AO1644" s="118">
        <v>121</v>
      </c>
      <c r="AP1644" s="118">
        <f t="shared" si="25"/>
        <v>5000</v>
      </c>
    </row>
    <row r="1645" spans="1:42" ht="12.75">
      <c r="A1645" s="106">
        <v>2018</v>
      </c>
      <c r="B1645" s="106">
        <v>-174783</v>
      </c>
      <c r="C1645" s="106">
        <v>0</v>
      </c>
      <c r="D1645" s="106">
        <v>174783</v>
      </c>
      <c r="E1645" s="106" t="s">
        <v>2659</v>
      </c>
      <c r="F1645" s="106" t="s">
        <v>2660</v>
      </c>
      <c r="G1645" s="106" t="s">
        <v>113</v>
      </c>
      <c r="H1645" s="106">
        <v>2</v>
      </c>
      <c r="I1645" s="106" t="s">
        <v>25</v>
      </c>
      <c r="J1645" s="106">
        <v>8228</v>
      </c>
      <c r="K1645" s="106">
        <v>13816</v>
      </c>
      <c r="L1645" s="106">
        <v>11041</v>
      </c>
      <c r="M1645" s="106">
        <v>0.4</v>
      </c>
      <c r="N1645" s="106">
        <v>0.61</v>
      </c>
      <c r="O1645" s="106">
        <v>0.41</v>
      </c>
      <c r="P1645" s="106">
        <v>2637</v>
      </c>
      <c r="Q1645" s="106">
        <v>679.0032302722658</v>
      </c>
      <c r="R1645" s="106">
        <v>8.2244307066280622E-2</v>
      </c>
      <c r="S1645" s="106">
        <v>18426.211352099675</v>
      </c>
      <c r="T1645" s="106">
        <v>19624.457775726813</v>
      </c>
      <c r="U1645" s="106">
        <v>14418.945526224881</v>
      </c>
      <c r="V1645" s="106">
        <v>0.52548410096231113</v>
      </c>
      <c r="W1645" s="106">
        <v>125268.33631484794</v>
      </c>
      <c r="X1645" s="110">
        <v>0.65865278346054901</v>
      </c>
      <c r="Y1645" s="106">
        <v>643.05668016194329</v>
      </c>
      <c r="Z1645" s="106">
        <v>21.9331983805668</v>
      </c>
      <c r="AA1645" s="106">
        <v>55956.043974443623</v>
      </c>
      <c r="AB1645" s="106">
        <v>491.79738337471775</v>
      </c>
      <c r="AC1645" s="106">
        <v>1.7871170457595653</v>
      </c>
      <c r="AD1645" s="106">
        <v>24.529959585310138</v>
      </c>
      <c r="AE1645" s="106">
        <v>113.77865329512893</v>
      </c>
      <c r="AF1645" s="106">
        <v>-6.8209837339450227E-2</v>
      </c>
      <c r="AG1645" s="106">
        <v>7094</v>
      </c>
      <c r="AH1645" s="106">
        <v>18525.149976926627</v>
      </c>
      <c r="AI1645" s="106">
        <v>18932.348869404708</v>
      </c>
      <c r="AJ1645" s="106">
        <v>18513.613290263038</v>
      </c>
      <c r="AK1645" s="104">
        <v>15581.818181818182</v>
      </c>
      <c r="AL1645" s="118">
        <v>66161000</v>
      </c>
      <c r="AM1645" s="118">
        <v>13128</v>
      </c>
      <c r="AN1645" s="118">
        <v>317670</v>
      </c>
      <c r="AO1645" s="118">
        <v>2087</v>
      </c>
      <c r="AP1645" s="118">
        <f t="shared" si="25"/>
        <v>1134</v>
      </c>
    </row>
    <row r="1646" spans="1:42" ht="12.75">
      <c r="A1646" s="106">
        <v>2018</v>
      </c>
      <c r="B1646" s="106">
        <v>-227845</v>
      </c>
      <c r="C1646" s="106">
        <v>0</v>
      </c>
      <c r="D1646" s="106">
        <v>227845</v>
      </c>
      <c r="E1646" s="106" t="s">
        <v>2661</v>
      </c>
      <c r="F1646" s="106" t="s">
        <v>252</v>
      </c>
      <c r="G1646" s="106" t="s">
        <v>60</v>
      </c>
      <c r="H1646" s="106">
        <v>6</v>
      </c>
      <c r="I1646" s="106" t="s">
        <v>3640</v>
      </c>
      <c r="J1646" s="106">
        <v>43050</v>
      </c>
      <c r="K1646" s="106">
        <v>26927</v>
      </c>
      <c r="L1646" s="106">
        <v>18637</v>
      </c>
      <c r="M1646" s="106">
        <v>0.44</v>
      </c>
      <c r="N1646" s="106">
        <v>0.63</v>
      </c>
      <c r="O1646" s="106">
        <v>0.93</v>
      </c>
      <c r="P1646" s="106">
        <v>27162</v>
      </c>
      <c r="Q1646" s="106">
        <v>19050.624936772889</v>
      </c>
      <c r="R1646" s="106">
        <v>0.44796627454254284</v>
      </c>
      <c r="S1646" s="106">
        <v>30234.788821446637</v>
      </c>
      <c r="T1646" s="106">
        <v>31999.87076378351</v>
      </c>
      <c r="U1646" s="106">
        <v>25611.636064744562</v>
      </c>
      <c r="V1646" s="106">
        <v>0.91662605265181962</v>
      </c>
      <c r="W1646" s="106">
        <v>91225.404682274238</v>
      </c>
      <c r="X1646" s="110">
        <v>0.57487156802740313</v>
      </c>
      <c r="Y1646" s="106">
        <v>416.28843861740165</v>
      </c>
      <c r="Z1646" s="106">
        <v>14.138259833134683</v>
      </c>
      <c r="AA1646" s="106">
        <v>94555.00373482726</v>
      </c>
      <c r="AB1646" s="106">
        <v>869.83911116455647</v>
      </c>
      <c r="AC1646" s="106">
        <v>1.0575854904563575</v>
      </c>
      <c r="AD1646" s="106">
        <v>26.923076923076923</v>
      </c>
      <c r="AE1646" s="106">
        <v>108.70401493930906</v>
      </c>
      <c r="AF1646" s="106">
        <v>1.0995088667822698E-2</v>
      </c>
      <c r="AG1646" s="106">
        <v>42550</v>
      </c>
      <c r="AH1646" s="106">
        <v>29536.229640870006</v>
      </c>
      <c r="AI1646" s="106">
        <v>30292.025290844715</v>
      </c>
      <c r="AJ1646" s="106">
        <v>32231.019979767323</v>
      </c>
      <c r="AK1646" s="104">
        <v>25611.636064744562</v>
      </c>
      <c r="AL1646" s="118"/>
      <c r="AM1646" s="118">
        <v>3941</v>
      </c>
      <c r="AN1646" s="118">
        <v>116422</v>
      </c>
      <c r="AO1646" s="118">
        <v>865</v>
      </c>
      <c r="AP1646" s="118">
        <f t="shared" si="25"/>
        <v>500</v>
      </c>
    </row>
    <row r="1647" spans="1:42" ht="12.75">
      <c r="A1647" s="106">
        <v>2018</v>
      </c>
      <c r="B1647" s="106">
        <v>-215743</v>
      </c>
      <c r="C1647" s="106">
        <v>0</v>
      </c>
      <c r="D1647" s="106">
        <v>215743</v>
      </c>
      <c r="E1647" s="106" t="s">
        <v>2662</v>
      </c>
      <c r="F1647" s="106" t="s">
        <v>2663</v>
      </c>
      <c r="G1647" s="106" t="s">
        <v>104</v>
      </c>
      <c r="H1647" s="106">
        <v>6</v>
      </c>
      <c r="I1647" s="106" t="s">
        <v>3640</v>
      </c>
      <c r="J1647" s="106">
        <v>35066</v>
      </c>
      <c r="K1647" s="106">
        <v>26597</v>
      </c>
      <c r="L1647" s="106">
        <v>21819</v>
      </c>
      <c r="M1647" s="106">
        <v>0.28999999999999998</v>
      </c>
      <c r="N1647" s="106">
        <v>0.78</v>
      </c>
      <c r="O1647" s="106">
        <v>1</v>
      </c>
      <c r="P1647" s="107">
        <v>20075</v>
      </c>
      <c r="Q1647" s="106">
        <v>10265.229430953244</v>
      </c>
      <c r="R1647" s="106">
        <v>0.42034704755132929</v>
      </c>
      <c r="S1647" s="106">
        <v>23753.202609641176</v>
      </c>
      <c r="T1647" s="106">
        <v>24727.929684668357</v>
      </c>
      <c r="U1647" s="106">
        <v>20029.076615057598</v>
      </c>
      <c r="V1647" s="106">
        <v>0.70675319999197017</v>
      </c>
      <c r="W1647" s="106">
        <v>74299.360443622922</v>
      </c>
      <c r="X1647" s="110">
        <v>0.58917306338009068</v>
      </c>
      <c r="Y1647" s="106">
        <v>428.30508474576271</v>
      </c>
      <c r="Z1647" s="106">
        <v>15.587570621468927</v>
      </c>
      <c r="AA1647" s="106">
        <v>77071.439861846462</v>
      </c>
      <c r="AB1647" s="106">
        <v>728.93051551172562</v>
      </c>
      <c r="AC1647" s="106">
        <v>1.2974974929656675</v>
      </c>
      <c r="AD1647" s="106">
        <v>33.410997204100653</v>
      </c>
      <c r="AE1647" s="106">
        <v>105.73221757322176</v>
      </c>
      <c r="AF1647" s="106">
        <v>-2.8722479147837616E-2</v>
      </c>
      <c r="AG1647" s="106">
        <v>33856</v>
      </c>
      <c r="AH1647" s="106">
        <v>22140.968829285972</v>
      </c>
      <c r="AI1647" s="106">
        <v>24050.815875317145</v>
      </c>
      <c r="AJ1647" s="106">
        <v>23763.406306632838</v>
      </c>
      <c r="AK1647" s="104">
        <v>21072.796303008337</v>
      </c>
      <c r="AL1647" s="118"/>
      <c r="AM1647" s="118">
        <v>2117</v>
      </c>
      <c r="AN1647" s="118">
        <v>75810</v>
      </c>
      <c r="AO1647" s="118">
        <v>391</v>
      </c>
      <c r="AP1647" s="118">
        <f t="shared" si="25"/>
        <v>1210</v>
      </c>
    </row>
    <row r="1648" spans="1:42" ht="12.75">
      <c r="A1648" s="106">
        <v>2018</v>
      </c>
      <c r="B1648" s="106">
        <v>-195720</v>
      </c>
      <c r="C1648" s="106">
        <v>0</v>
      </c>
      <c r="D1648" s="106">
        <v>195720</v>
      </c>
      <c r="E1648" s="106" t="s">
        <v>2664</v>
      </c>
      <c r="F1648" s="106" t="s">
        <v>1923</v>
      </c>
      <c r="G1648" s="106" t="s">
        <v>69</v>
      </c>
      <c r="H1648" s="106">
        <v>5</v>
      </c>
      <c r="I1648" s="106" t="s">
        <v>3639</v>
      </c>
      <c r="J1648" s="106">
        <v>33120</v>
      </c>
      <c r="K1648" s="106">
        <v>27794</v>
      </c>
      <c r="L1648" s="106">
        <v>18716</v>
      </c>
      <c r="M1648" s="106">
        <v>0.28999999999999998</v>
      </c>
      <c r="N1648" s="106">
        <v>0.82</v>
      </c>
      <c r="O1648" s="106">
        <v>1</v>
      </c>
      <c r="P1648" s="106">
        <v>16231</v>
      </c>
      <c r="Q1648" s="106">
        <v>9910.0220920947559</v>
      </c>
      <c r="R1648" s="106">
        <v>0.3270758188391939</v>
      </c>
      <c r="S1648" s="106">
        <v>27479.118445568274</v>
      </c>
      <c r="T1648" s="106">
        <v>25860.887676337505</v>
      </c>
      <c r="U1648" s="106">
        <v>21082.428799574129</v>
      </c>
      <c r="V1648" s="106">
        <v>0.96710065570854276</v>
      </c>
      <c r="W1648" s="106">
        <v>84224.433597621406</v>
      </c>
      <c r="X1648" s="110">
        <v>0.58311388543079568</v>
      </c>
      <c r="Y1648" s="106">
        <v>302.09903121636165</v>
      </c>
      <c r="Z1648" s="106">
        <v>12.132400430570506</v>
      </c>
      <c r="AA1648" s="106">
        <v>70657.167707404107</v>
      </c>
      <c r="AB1648" s="106">
        <v>846.67755211117048</v>
      </c>
      <c r="AC1648" s="106">
        <v>1.4152845810931236</v>
      </c>
      <c r="AD1648" s="106">
        <v>32.455124493341053</v>
      </c>
      <c r="AE1648" s="106">
        <v>83.452274754683316</v>
      </c>
      <c r="AF1648" s="106">
        <v>7.4364434095318302E-2</v>
      </c>
      <c r="AG1648" s="106">
        <v>32540</v>
      </c>
      <c r="AH1648" s="106">
        <v>26845.109661964332</v>
      </c>
      <c r="AI1648" s="106">
        <v>27808.165557625765</v>
      </c>
      <c r="AJ1648" s="106">
        <v>29837.259249401119</v>
      </c>
      <c r="AK1648" s="104">
        <v>21082.428799574129</v>
      </c>
      <c r="AL1648" s="118"/>
      <c r="AM1648" s="118">
        <v>2749</v>
      </c>
      <c r="AN1648" s="118">
        <v>93550</v>
      </c>
      <c r="AO1648" s="118">
        <v>723</v>
      </c>
      <c r="AP1648" s="118">
        <f t="shared" si="25"/>
        <v>580</v>
      </c>
    </row>
    <row r="1649" spans="1:42" ht="12.75">
      <c r="A1649" s="106">
        <v>2018</v>
      </c>
      <c r="B1649" s="106">
        <v>-137281</v>
      </c>
      <c r="C1649" s="106">
        <v>0</v>
      </c>
      <c r="D1649" s="106">
        <v>137281</v>
      </c>
      <c r="E1649" s="106" t="s">
        <v>2665</v>
      </c>
      <c r="F1649" s="106" t="s">
        <v>2666</v>
      </c>
      <c r="G1649" s="106" t="s">
        <v>258</v>
      </c>
      <c r="H1649" s="106">
        <v>4</v>
      </c>
      <c r="I1649" s="106" t="s">
        <v>24</v>
      </c>
      <c r="J1649" s="106">
        <v>2830</v>
      </c>
      <c r="K1649" s="106">
        <v>5183</v>
      </c>
      <c r="L1649" s="106">
        <v>4462</v>
      </c>
      <c r="M1649" s="106">
        <v>0.42</v>
      </c>
      <c r="N1649" s="106">
        <v>0.12</v>
      </c>
      <c r="O1649" s="106">
        <v>0.33</v>
      </c>
      <c r="P1649" s="106">
        <v>2091</v>
      </c>
      <c r="Q1649" s="106">
        <v>282.1446902654867</v>
      </c>
      <c r="R1649" s="106">
        <v>0.10072477475431782</v>
      </c>
      <c r="S1649" s="106">
        <v>9818.2880530973453</v>
      </c>
      <c r="T1649" s="106">
        <v>10738.786946902655</v>
      </c>
      <c r="U1649" s="106">
        <v>7778.2882802077675</v>
      </c>
      <c r="V1649" s="106">
        <v>0.32385020077600574</v>
      </c>
      <c r="W1649" s="106">
        <v>48970.481171548119</v>
      </c>
      <c r="X1649" s="110">
        <v>0.48224596979805051</v>
      </c>
      <c r="Y1649" s="106">
        <v>576.52893314366997</v>
      </c>
      <c r="Z1649" s="106">
        <v>19.288762446657184</v>
      </c>
      <c r="AA1649" s="106">
        <v>25403.080221487795</v>
      </c>
      <c r="AB1649" s="106">
        <v>260.23595044996154</v>
      </c>
      <c r="AC1649" s="106">
        <v>3.9365304966211396</v>
      </c>
      <c r="AD1649" s="106">
        <v>34.14754502837404</v>
      </c>
      <c r="AE1649" s="106">
        <v>97.615568400770698</v>
      </c>
      <c r="AF1649" s="106">
        <v>-3.0309130322836008E-2</v>
      </c>
      <c r="AG1649" s="106">
        <v>2067</v>
      </c>
      <c r="AH1649" s="106">
        <v>8460.4964601769916</v>
      </c>
      <c r="AI1649" s="106">
        <v>8624.7800884955759</v>
      </c>
      <c r="AJ1649" s="106">
        <v>9863.722787610619</v>
      </c>
      <c r="AK1649" s="104">
        <v>9645.7013274336277</v>
      </c>
      <c r="AL1649" s="118">
        <v>19762315</v>
      </c>
      <c r="AM1649" s="118">
        <v>7249</v>
      </c>
      <c r="AN1649" s="118">
        <v>135099.94666666666</v>
      </c>
      <c r="AO1649" s="118">
        <v>1053</v>
      </c>
      <c r="AP1649" s="118">
        <f t="shared" si="25"/>
        <v>763</v>
      </c>
    </row>
    <row r="1650" spans="1:42" ht="12.75">
      <c r="A1650" s="106">
        <v>2018</v>
      </c>
      <c r="B1650" s="106">
        <v>-174792</v>
      </c>
      <c r="C1650" s="106">
        <v>0</v>
      </c>
      <c r="D1650" s="106">
        <v>174792</v>
      </c>
      <c r="E1650" s="106" t="s">
        <v>2667</v>
      </c>
      <c r="F1650" s="106" t="s">
        <v>2668</v>
      </c>
      <c r="G1650" s="106" t="s">
        <v>113</v>
      </c>
      <c r="H1650" s="106">
        <v>7</v>
      </c>
      <c r="I1650" s="106" t="s">
        <v>3641</v>
      </c>
      <c r="J1650" s="106">
        <v>43356</v>
      </c>
      <c r="K1650" s="106">
        <v>27500</v>
      </c>
      <c r="L1650" s="106">
        <v>15380</v>
      </c>
      <c r="M1650" s="106">
        <v>0.23</v>
      </c>
      <c r="N1650" s="106">
        <v>0.68</v>
      </c>
      <c r="O1650" s="106">
        <v>1</v>
      </c>
      <c r="P1650" s="106">
        <v>25886</v>
      </c>
      <c r="Q1650" s="106">
        <v>20959.341591987348</v>
      </c>
      <c r="R1650" s="106">
        <v>0.53128622581071416</v>
      </c>
      <c r="S1650" s="106">
        <v>39889.872957300999</v>
      </c>
      <c r="T1650" s="106">
        <v>39707.209804955193</v>
      </c>
      <c r="U1650" s="106">
        <v>30084.880873815175</v>
      </c>
      <c r="V1650" s="106">
        <v>0.61462256332177645</v>
      </c>
      <c r="W1650" s="106">
        <v>92215.303687635576</v>
      </c>
      <c r="X1650" s="110">
        <v>0.56437429446168674</v>
      </c>
      <c r="Y1650" s="106">
        <v>387.98855835240278</v>
      </c>
      <c r="Z1650" s="106">
        <v>13.022883295194509</v>
      </c>
      <c r="AA1650" s="106">
        <v>141967.7089990731</v>
      </c>
      <c r="AB1650" s="106">
        <v>1009.8026968456816</v>
      </c>
      <c r="AC1650" s="106">
        <v>0.70438553037897433</v>
      </c>
      <c r="AD1650" s="106">
        <v>22.635135135135133</v>
      </c>
      <c r="AE1650" s="106">
        <v>140.58955223880596</v>
      </c>
      <c r="AF1650" s="106">
        <v>6.1390447545589533E-2</v>
      </c>
      <c r="AG1650" s="106">
        <v>42574</v>
      </c>
      <c r="AH1650" s="106">
        <v>31468.324723247231</v>
      </c>
      <c r="AI1650" s="106">
        <v>40076.544016868742</v>
      </c>
      <c r="AJ1650" s="106">
        <v>50840.557722720085</v>
      </c>
      <c r="AK1650" s="104">
        <v>31989.458091723773</v>
      </c>
      <c r="AL1650" s="118"/>
      <c r="AM1650" s="118">
        <v>1720</v>
      </c>
      <c r="AN1650" s="118">
        <v>56517</v>
      </c>
      <c r="AO1650" s="118">
        <v>381</v>
      </c>
      <c r="AP1650" s="118">
        <f t="shared" si="25"/>
        <v>782</v>
      </c>
    </row>
    <row r="1651" spans="1:42" ht="12.75">
      <c r="A1651" s="106">
        <v>2018</v>
      </c>
      <c r="B1651" s="106">
        <v>-161518</v>
      </c>
      <c r="C1651" s="106">
        <v>0</v>
      </c>
      <c r="D1651" s="106">
        <v>161518</v>
      </c>
      <c r="E1651" s="106" t="s">
        <v>2669</v>
      </c>
      <c r="F1651" s="106" t="s">
        <v>2670</v>
      </c>
      <c r="G1651" s="106" t="s">
        <v>301</v>
      </c>
      <c r="H1651" s="106">
        <v>6</v>
      </c>
      <c r="I1651" s="106" t="s">
        <v>3640</v>
      </c>
      <c r="J1651" s="106">
        <v>34610</v>
      </c>
      <c r="K1651" s="106">
        <v>27221</v>
      </c>
      <c r="L1651" s="106">
        <v>22556</v>
      </c>
      <c r="M1651" s="106">
        <v>0.32</v>
      </c>
      <c r="N1651" s="106">
        <v>0.81</v>
      </c>
      <c r="O1651" s="106">
        <v>0.96</v>
      </c>
      <c r="P1651" s="106">
        <v>20652</v>
      </c>
      <c r="Q1651" s="106">
        <v>10207.172093023255</v>
      </c>
      <c r="R1651" s="106">
        <v>0.44524954382196502</v>
      </c>
      <c r="S1651" s="106">
        <v>21254.894186046513</v>
      </c>
      <c r="T1651" s="106">
        <v>21441.665116279069</v>
      </c>
      <c r="U1651" s="106">
        <v>17757.348255813955</v>
      </c>
      <c r="V1651" s="106">
        <v>0.71617888028601584</v>
      </c>
      <c r="W1651" s="106">
        <v>54660.865478119937</v>
      </c>
      <c r="X1651" s="110">
        <v>0.60965403589360245</v>
      </c>
      <c r="Y1651" s="106">
        <v>381.765625</v>
      </c>
      <c r="Z1651" s="106">
        <v>13.4375</v>
      </c>
      <c r="AA1651" s="106">
        <v>48634.775477707008</v>
      </c>
      <c r="AB1651" s="106">
        <v>625.02842467155074</v>
      </c>
      <c r="AC1651" s="106">
        <v>2.0561419070565576</v>
      </c>
      <c r="AD1651" s="106">
        <v>39.797211660329531</v>
      </c>
      <c r="AE1651" s="106">
        <v>77.812101910828019</v>
      </c>
      <c r="AF1651" s="106">
        <v>1.3011975732315788E-2</v>
      </c>
      <c r="AG1651" s="106">
        <v>34610</v>
      </c>
      <c r="AH1651" s="106">
        <v>20407.912209302325</v>
      </c>
      <c r="AI1651" s="106">
        <v>21254.894186046513</v>
      </c>
      <c r="AJ1651" s="106">
        <v>21755.075581395347</v>
      </c>
      <c r="AK1651" s="104">
        <v>17757.348255813955</v>
      </c>
      <c r="AL1651" s="118"/>
      <c r="AM1651" s="118">
        <v>1533</v>
      </c>
      <c r="AN1651" s="118">
        <v>48866</v>
      </c>
      <c r="AO1651" s="118">
        <v>295</v>
      </c>
      <c r="AP1651" s="118">
        <f t="shared" si="25"/>
        <v>0</v>
      </c>
    </row>
    <row r="1652" spans="1:42" ht="12.75">
      <c r="A1652" s="106">
        <v>2018</v>
      </c>
      <c r="B1652" s="106">
        <v>-215770</v>
      </c>
      <c r="C1652" s="106">
        <v>0</v>
      </c>
      <c r="D1652" s="106">
        <v>215770</v>
      </c>
      <c r="E1652" s="106" t="s">
        <v>2671</v>
      </c>
      <c r="F1652" s="106" t="s">
        <v>721</v>
      </c>
      <c r="G1652" s="106" t="s">
        <v>104</v>
      </c>
      <c r="H1652" s="106">
        <v>6</v>
      </c>
      <c r="I1652" s="106" t="s">
        <v>3640</v>
      </c>
      <c r="J1652" s="106">
        <v>43880</v>
      </c>
      <c r="K1652" s="106">
        <v>35344</v>
      </c>
      <c r="L1652" s="106">
        <v>25822</v>
      </c>
      <c r="M1652" s="106">
        <v>0.12</v>
      </c>
      <c r="N1652" s="106">
        <v>0.59</v>
      </c>
      <c r="O1652" s="106">
        <v>0.98</v>
      </c>
      <c r="P1652" s="106">
        <v>24084</v>
      </c>
      <c r="Q1652" s="106">
        <v>14383.263401912489</v>
      </c>
      <c r="R1652" s="106">
        <v>0.38592331879187486</v>
      </c>
      <c r="S1652" s="106">
        <v>35689.529701535786</v>
      </c>
      <c r="T1652" s="106">
        <v>30112.290495508547</v>
      </c>
      <c r="U1652" s="106">
        <v>24339.390821437857</v>
      </c>
      <c r="V1652" s="106">
        <v>0.94030623210793396</v>
      </c>
      <c r="W1652" s="106">
        <v>100329.95058973541</v>
      </c>
      <c r="X1652" s="110">
        <v>0.50478345976991201</v>
      </c>
      <c r="Y1652" s="106">
        <v>464.79047619047617</v>
      </c>
      <c r="Z1652" s="106">
        <v>16.433333333333334</v>
      </c>
      <c r="AA1652" s="106">
        <v>68150.294300025998</v>
      </c>
      <c r="AB1652" s="106">
        <v>860.55404098909958</v>
      </c>
      <c r="AC1652" s="106">
        <v>1.4673450940616384</v>
      </c>
      <c r="AD1652" s="106">
        <v>40.238328436173688</v>
      </c>
      <c r="AE1652" s="106">
        <v>79.193509127789042</v>
      </c>
      <c r="AF1652" s="106">
        <v>0.12596795011054049</v>
      </c>
      <c r="AG1652" s="106">
        <v>43700</v>
      </c>
      <c r="AH1652" s="106">
        <v>30220.090118806143</v>
      </c>
      <c r="AI1652" s="106">
        <v>35689.529556650246</v>
      </c>
      <c r="AJ1652" s="106">
        <v>38894.643146913935</v>
      </c>
      <c r="AK1652" s="104">
        <v>24896.01072152999</v>
      </c>
      <c r="AL1652" s="118"/>
      <c r="AM1652" s="118">
        <v>5144</v>
      </c>
      <c r="AN1652" s="118">
        <v>195212</v>
      </c>
      <c r="AO1652" s="118">
        <v>1260</v>
      </c>
      <c r="AP1652" s="118">
        <f t="shared" si="25"/>
        <v>180</v>
      </c>
    </row>
    <row r="1653" spans="1:42" ht="12.75">
      <c r="A1653" s="106">
        <v>2018</v>
      </c>
      <c r="B1653" s="106">
        <v>-137032</v>
      </c>
      <c r="C1653" s="106">
        <v>0</v>
      </c>
      <c r="D1653" s="106">
        <v>137032</v>
      </c>
      <c r="E1653" s="106" t="s">
        <v>2672</v>
      </c>
      <c r="F1653" s="106" t="s">
        <v>2673</v>
      </c>
      <c r="G1653" s="106" t="s">
        <v>258</v>
      </c>
      <c r="H1653" s="106">
        <v>6</v>
      </c>
      <c r="I1653" s="106" t="s">
        <v>3640</v>
      </c>
      <c r="J1653" s="106">
        <v>22220</v>
      </c>
      <c r="K1653" s="106">
        <v>20036</v>
      </c>
      <c r="L1653" s="106">
        <v>16575</v>
      </c>
      <c r="M1653" s="106">
        <v>0.52</v>
      </c>
      <c r="N1653" s="106">
        <v>0.82</v>
      </c>
      <c r="O1653" s="106">
        <v>0.99</v>
      </c>
      <c r="P1653" s="106">
        <v>11587</v>
      </c>
      <c r="Q1653" s="106">
        <v>1819.28906383707</v>
      </c>
      <c r="R1653" s="106">
        <v>0.13818634967510801</v>
      </c>
      <c r="S1653" s="106">
        <v>12985.224199897313</v>
      </c>
      <c r="T1653" s="106">
        <v>13727.614923840492</v>
      </c>
      <c r="U1653" s="106">
        <v>12631.8595755605</v>
      </c>
      <c r="V1653" s="106">
        <v>0.89821984027182544</v>
      </c>
      <c r="W1653" s="106">
        <v>78615.853267889441</v>
      </c>
      <c r="X1653" s="110">
        <v>0.63234061734646207</v>
      </c>
      <c r="Y1653" s="106">
        <v>722.60747663551399</v>
      </c>
      <c r="Z1653" s="106">
        <v>25.203450754852621</v>
      </c>
      <c r="AA1653" s="106">
        <v>34130.846473988437</v>
      </c>
      <c r="AB1653" s="106">
        <v>440.58006739312759</v>
      </c>
      <c r="AC1653" s="106">
        <v>2.9299009644021368</v>
      </c>
      <c r="AD1653" s="106">
        <v>38.550672965504944</v>
      </c>
      <c r="AE1653" s="106">
        <v>77.467976878612717</v>
      </c>
      <c r="AF1653" s="106">
        <v>-2.1675815525000301E-2</v>
      </c>
      <c r="AG1653" s="106">
        <v>21600</v>
      </c>
      <c r="AH1653" s="106">
        <v>12936.058531576246</v>
      </c>
      <c r="AI1653" s="106">
        <v>12985.224199897313</v>
      </c>
      <c r="AJ1653" s="106">
        <v>13400.35161731987</v>
      </c>
      <c r="AK1653" s="104">
        <v>12631.8595755605</v>
      </c>
      <c r="AL1653" s="118"/>
      <c r="AM1653" s="118">
        <v>9671</v>
      </c>
      <c r="AN1653" s="118">
        <v>335049</v>
      </c>
      <c r="AO1653" s="118">
        <v>2873</v>
      </c>
      <c r="AP1653" s="118">
        <f t="shared" si="25"/>
        <v>620</v>
      </c>
    </row>
    <row r="1654" spans="1:42" ht="12.75">
      <c r="A1654" s="106">
        <v>2018</v>
      </c>
      <c r="B1654" s="106">
        <v>1665</v>
      </c>
      <c r="C1654" s="106">
        <v>1</v>
      </c>
      <c r="D1654" s="106">
        <v>179308</v>
      </c>
      <c r="E1654" s="106" t="s">
        <v>3869</v>
      </c>
      <c r="F1654" s="106" t="s">
        <v>1259</v>
      </c>
      <c r="G1654" s="106" t="s">
        <v>264</v>
      </c>
      <c r="H1654" s="106">
        <v>4</v>
      </c>
      <c r="I1654" s="106" t="s">
        <v>24</v>
      </c>
      <c r="J1654" s="106">
        <v>3285</v>
      </c>
      <c r="K1654" s="106">
        <v>7700</v>
      </c>
      <c r="L1654" s="106">
        <v>6861</v>
      </c>
      <c r="M1654" s="106">
        <v>0.52</v>
      </c>
      <c r="N1654" s="106">
        <v>0.06</v>
      </c>
      <c r="O1654" s="106">
        <v>0.06</v>
      </c>
      <c r="P1654" s="106">
        <v>1583</v>
      </c>
      <c r="Q1654" s="106">
        <v>252.36579729283591</v>
      </c>
      <c r="R1654" s="106">
        <v>7.1121442298518009E-2</v>
      </c>
      <c r="S1654" s="106">
        <v>15600.25957411687</v>
      </c>
      <c r="T1654" s="106">
        <v>15381.138659623639</v>
      </c>
      <c r="U1654" s="106">
        <v>13660.340046219875</v>
      </c>
      <c r="V1654" s="106">
        <v>0.24128335746499821</v>
      </c>
      <c r="W1654" s="106">
        <v>66432.414624583413</v>
      </c>
      <c r="X1654" s="110">
        <v>0.60613080286448429</v>
      </c>
      <c r="Y1654" s="106">
        <v>525.00722195474248</v>
      </c>
      <c r="Z1654" s="106">
        <v>17.50024073182475</v>
      </c>
      <c r="AA1654" s="106">
        <v>71125.345938977218</v>
      </c>
      <c r="AB1654" s="106">
        <v>455.34466820732916</v>
      </c>
      <c r="AC1654" s="106">
        <v>1.4059685570569471</v>
      </c>
      <c r="AD1654" s="106">
        <v>21.091271639626573</v>
      </c>
      <c r="AE1654" s="106">
        <v>156.20111731843576</v>
      </c>
      <c r="AF1654" s="106">
        <v>4.2721462981773893E-2</v>
      </c>
      <c r="AG1654" s="106">
        <v>2790</v>
      </c>
      <c r="AH1654" s="106">
        <v>14745.666721690326</v>
      </c>
      <c r="AI1654" s="106">
        <v>14813.691482337405</v>
      </c>
      <c r="AJ1654" s="106">
        <v>15713.963189171343</v>
      </c>
      <c r="AK1654" s="104">
        <v>14620.777814460218</v>
      </c>
      <c r="AL1654" s="118">
        <v>108473630</v>
      </c>
      <c r="AM1654" s="118">
        <v>18835</v>
      </c>
      <c r="AN1654" s="118">
        <v>363480</v>
      </c>
      <c r="AO1654" s="118">
        <v>1948</v>
      </c>
      <c r="AP1654" s="118">
        <f t="shared" si="25"/>
        <v>495</v>
      </c>
    </row>
    <row r="1655" spans="1:42" ht="12.75">
      <c r="A1655" s="106">
        <v>2018</v>
      </c>
      <c r="B1655" s="106">
        <v>-179159</v>
      </c>
      <c r="C1655" s="106">
        <v>0</v>
      </c>
      <c r="D1655" s="106">
        <v>179159</v>
      </c>
      <c r="E1655" s="106" t="s">
        <v>2674</v>
      </c>
      <c r="F1655" s="106" t="s">
        <v>1259</v>
      </c>
      <c r="G1655" s="106" t="s">
        <v>264</v>
      </c>
      <c r="H1655" s="106">
        <v>5</v>
      </c>
      <c r="I1655" s="106" t="s">
        <v>3639</v>
      </c>
      <c r="J1655" s="106">
        <v>42166</v>
      </c>
      <c r="K1655" s="106">
        <v>31460</v>
      </c>
      <c r="L1655" s="106">
        <v>20324</v>
      </c>
      <c r="M1655" s="106">
        <v>0.17</v>
      </c>
      <c r="N1655" s="106">
        <v>0.53</v>
      </c>
      <c r="O1655" s="106">
        <v>0.92</v>
      </c>
      <c r="P1655" s="106">
        <v>24573</v>
      </c>
      <c r="Q1655" s="106">
        <v>12926.648557163409</v>
      </c>
      <c r="R1655" s="106">
        <v>0.37773513042337875</v>
      </c>
      <c r="S1655" s="106">
        <v>65612.720825928744</v>
      </c>
      <c r="T1655" s="106">
        <v>68676.845307607684</v>
      </c>
      <c r="U1655" s="106">
        <v>33456.03935291963</v>
      </c>
      <c r="V1655" s="106">
        <v>0.63650133845500312</v>
      </c>
      <c r="W1655" s="106">
        <v>112057.92110129443</v>
      </c>
      <c r="X1655" s="110">
        <v>0.67202640016632476</v>
      </c>
      <c r="Y1655" s="106">
        <v>188.80608604407135</v>
      </c>
      <c r="Z1655" s="106">
        <v>7.4398740818468001</v>
      </c>
      <c r="AA1655" s="106">
        <v>119117.20910920495</v>
      </c>
      <c r="AB1655" s="106">
        <v>1318.3299610635047</v>
      </c>
      <c r="AC1655" s="106">
        <v>0.83950925939107102</v>
      </c>
      <c r="AD1655" s="106">
        <v>27.153726581035752</v>
      </c>
      <c r="AE1655" s="106">
        <v>90.354624887014154</v>
      </c>
      <c r="AF1655" s="106">
        <v>5.4108471090523677E-2</v>
      </c>
      <c r="AG1655" s="106">
        <v>41540</v>
      </c>
      <c r="AH1655" s="106">
        <v>60368.729288313443</v>
      </c>
      <c r="AI1655" s="106">
        <v>65645.410594905639</v>
      </c>
      <c r="AJ1655" s="106">
        <v>75493.141152576791</v>
      </c>
      <c r="AK1655" s="104">
        <v>39679.450114242194</v>
      </c>
      <c r="AL1655" s="118"/>
      <c r="AM1655" s="118">
        <v>9910</v>
      </c>
      <c r="AN1655" s="118">
        <v>299887</v>
      </c>
      <c r="AO1655" s="118">
        <v>1695</v>
      </c>
      <c r="AP1655" s="118">
        <f t="shared" si="25"/>
        <v>626</v>
      </c>
    </row>
    <row r="1656" spans="1:42" ht="12.75">
      <c r="A1656" s="106">
        <v>2018</v>
      </c>
      <c r="B1656" s="106">
        <v>-236452</v>
      </c>
      <c r="C1656" s="106">
        <v>0</v>
      </c>
      <c r="D1656" s="106">
        <v>236452</v>
      </c>
      <c r="E1656" s="106" t="s">
        <v>2675</v>
      </c>
      <c r="F1656" s="106" t="s">
        <v>2676</v>
      </c>
      <c r="G1656" s="106" t="s">
        <v>182</v>
      </c>
      <c r="H1656" s="106">
        <v>6</v>
      </c>
      <c r="I1656" s="106" t="s">
        <v>3640</v>
      </c>
      <c r="J1656" s="106">
        <v>35656</v>
      </c>
      <c r="K1656" s="106">
        <v>22578</v>
      </c>
      <c r="L1656" s="106">
        <v>15160</v>
      </c>
      <c r="M1656" s="106">
        <v>0.41</v>
      </c>
      <c r="N1656" s="106">
        <v>0.73</v>
      </c>
      <c r="O1656" s="106">
        <v>0.99</v>
      </c>
      <c r="P1656" s="106">
        <v>21732</v>
      </c>
      <c r="Q1656" s="106">
        <v>12946.606166783462</v>
      </c>
      <c r="R1656" s="106">
        <v>0.41724394296054235</v>
      </c>
      <c r="S1656" s="106">
        <v>25500.520672740015</v>
      </c>
      <c r="T1656" s="106">
        <v>26458.634197617379</v>
      </c>
      <c r="U1656" s="106">
        <v>22031.197895160982</v>
      </c>
      <c r="V1656" s="106">
        <v>0.82075697251057744</v>
      </c>
      <c r="W1656" s="106">
        <v>67633.916666666672</v>
      </c>
      <c r="X1656" s="110">
        <v>0.53739596054938499</v>
      </c>
      <c r="Y1656" s="106">
        <v>345.54696132596689</v>
      </c>
      <c r="Z1656" s="106">
        <v>11.825966850828729</v>
      </c>
      <c r="AA1656" s="106">
        <v>61283.663540730449</v>
      </c>
      <c r="AB1656" s="106">
        <v>753.99365398107068</v>
      </c>
      <c r="AC1656" s="106">
        <v>1.6317562335929514</v>
      </c>
      <c r="AD1656" s="106">
        <v>38.455772113943027</v>
      </c>
      <c r="AE1656" s="106">
        <v>81.278752436647167</v>
      </c>
      <c r="AF1656" s="106">
        <v>5.1281097928383923E-2</v>
      </c>
      <c r="AG1656" s="106">
        <v>35250</v>
      </c>
      <c r="AH1656" s="106">
        <v>23046.256482130342</v>
      </c>
      <c r="AI1656" s="106">
        <v>25500.520672740015</v>
      </c>
      <c r="AJ1656" s="106">
        <v>26670.231955150666</v>
      </c>
      <c r="AK1656" s="104">
        <v>22193.936229852839</v>
      </c>
      <c r="AL1656" s="118"/>
      <c r="AM1656" s="118">
        <v>1316</v>
      </c>
      <c r="AN1656" s="118">
        <v>41696</v>
      </c>
      <c r="AO1656" s="118">
        <v>293</v>
      </c>
      <c r="AP1656" s="118">
        <f t="shared" si="25"/>
        <v>406</v>
      </c>
    </row>
    <row r="1657" spans="1:42" ht="12.75">
      <c r="A1657" s="106">
        <v>2018</v>
      </c>
      <c r="B1657" s="106">
        <v>-152381</v>
      </c>
      <c r="C1657" s="106">
        <v>0</v>
      </c>
      <c r="D1657" s="106">
        <v>152381</v>
      </c>
      <c r="E1657" s="106" t="s">
        <v>2681</v>
      </c>
      <c r="F1657" s="106" t="s">
        <v>2682</v>
      </c>
      <c r="G1657" s="106" t="s">
        <v>161</v>
      </c>
      <c r="H1657" s="106">
        <v>7</v>
      </c>
      <c r="I1657" s="106" t="s">
        <v>3641</v>
      </c>
      <c r="J1657" s="106">
        <v>29510</v>
      </c>
      <c r="K1657" s="106">
        <v>16337</v>
      </c>
      <c r="L1657" s="106">
        <v>15791</v>
      </c>
      <c r="M1657" s="106">
        <v>0.64</v>
      </c>
      <c r="N1657" s="106">
        <v>0.7</v>
      </c>
      <c r="O1657" s="106">
        <v>0.98</v>
      </c>
      <c r="P1657" s="106">
        <v>18299</v>
      </c>
      <c r="Q1657" s="106">
        <v>7656.5203562340967</v>
      </c>
      <c r="R1657" s="106">
        <v>0.3486610093978178</v>
      </c>
      <c r="S1657" s="106">
        <v>20079.889312977099</v>
      </c>
      <c r="T1657" s="106">
        <v>22896.165394402036</v>
      </c>
      <c r="U1657" s="106">
        <v>20025.772264631043</v>
      </c>
      <c r="V1657" s="106">
        <v>0.71424278523533635</v>
      </c>
      <c r="W1657" s="106">
        <v>60400.676300578038</v>
      </c>
      <c r="X1657" s="110">
        <v>0.58063418955339141</v>
      </c>
      <c r="Y1657" s="106">
        <v>242.77090909090913</v>
      </c>
      <c r="Z1657" s="106">
        <v>8.574545454545456</v>
      </c>
      <c r="AA1657" s="106">
        <v>66135.533613445383</v>
      </c>
      <c r="AB1657" s="106">
        <v>707.30012582007726</v>
      </c>
      <c r="AC1657" s="106">
        <v>1.5120464678562744</v>
      </c>
      <c r="AD1657" s="106">
        <v>32.91839557399723</v>
      </c>
      <c r="AE1657" s="106">
        <v>93.504201680672267</v>
      </c>
      <c r="AF1657" s="106">
        <v>-0.1794336109676046</v>
      </c>
      <c r="AG1657" s="106">
        <v>29510</v>
      </c>
      <c r="AH1657" s="106">
        <v>17725.414758269719</v>
      </c>
      <c r="AI1657" s="106">
        <v>21113.16030534351</v>
      </c>
      <c r="AJ1657" s="106">
        <v>20876.347328244276</v>
      </c>
      <c r="AK1657" s="104">
        <v>20025.772264631043</v>
      </c>
      <c r="AM1657" s="118">
        <v>660</v>
      </c>
      <c r="AN1657" s="118">
        <v>22254</v>
      </c>
      <c r="AO1657" s="118">
        <v>134</v>
      </c>
      <c r="AP1657" s="118">
        <f t="shared" si="25"/>
        <v>0</v>
      </c>
    </row>
    <row r="1658" spans="1:42" ht="12.75">
      <c r="A1658" s="106">
        <v>2018</v>
      </c>
      <c r="B1658" s="106">
        <v>-152390</v>
      </c>
      <c r="C1658" s="106">
        <v>0</v>
      </c>
      <c r="D1658" s="106">
        <v>152390</v>
      </c>
      <c r="E1658" s="106" t="s">
        <v>2677</v>
      </c>
      <c r="F1658" s="106" t="s">
        <v>1501</v>
      </c>
      <c r="G1658" s="106" t="s">
        <v>161</v>
      </c>
      <c r="H1658" s="106">
        <v>7</v>
      </c>
      <c r="I1658" s="106" t="s">
        <v>3641</v>
      </c>
      <c r="J1658" s="106">
        <v>40800</v>
      </c>
      <c r="K1658" s="106">
        <v>25610</v>
      </c>
      <c r="L1658" s="106">
        <v>13025</v>
      </c>
      <c r="M1658" s="106">
        <v>0.26</v>
      </c>
      <c r="N1658" s="106">
        <v>0.67</v>
      </c>
      <c r="O1658" s="106">
        <v>1</v>
      </c>
      <c r="P1658" s="106">
        <v>27116</v>
      </c>
      <c r="Q1658" s="106">
        <v>21484.298076923078</v>
      </c>
      <c r="R1658" s="106">
        <v>0.53629535121743765</v>
      </c>
      <c r="S1658" s="106">
        <v>38831.370512820511</v>
      </c>
      <c r="T1658" s="106">
        <v>40414.5</v>
      </c>
      <c r="U1658" s="106">
        <v>33350.087820512817</v>
      </c>
      <c r="V1658" s="106">
        <v>0.55700822069491729</v>
      </c>
      <c r="W1658" s="106">
        <v>74444.145136778112</v>
      </c>
      <c r="X1658" s="110">
        <v>0.51796852868559806</v>
      </c>
      <c r="Y1658" s="106">
        <v>264.59652509652511</v>
      </c>
      <c r="Z1658" s="106">
        <v>9.0347490347490353</v>
      </c>
      <c r="AA1658" s="106">
        <v>129740.99002493765</v>
      </c>
      <c r="AB1658" s="106">
        <v>1138.7514391402369</v>
      </c>
      <c r="AC1658" s="106">
        <v>0.77076643226461339</v>
      </c>
      <c r="AD1658" s="106">
        <v>25.395820139328691</v>
      </c>
      <c r="AE1658" s="106">
        <v>113.93266832917706</v>
      </c>
      <c r="AF1658" s="106">
        <v>7.2810215286355839E-2</v>
      </c>
      <c r="AG1658" s="106">
        <v>39980</v>
      </c>
      <c r="AH1658" s="106">
        <v>30632.955769230768</v>
      </c>
      <c r="AI1658" s="106">
        <v>38858.894871794873</v>
      </c>
      <c r="AJ1658" s="106">
        <v>52443.411538461536</v>
      </c>
      <c r="AK1658" s="104">
        <v>33350.087820512817</v>
      </c>
      <c r="AL1658" s="118"/>
      <c r="AM1658" s="118">
        <v>1531</v>
      </c>
      <c r="AN1658" s="118">
        <v>45687</v>
      </c>
      <c r="AO1658" s="118">
        <v>375</v>
      </c>
      <c r="AP1658" s="118">
        <f t="shared" si="25"/>
        <v>820</v>
      </c>
    </row>
    <row r="1659" spans="1:42" ht="12.75">
      <c r="A1659" s="106">
        <v>2018</v>
      </c>
      <c r="B1659" s="106">
        <v>-123554</v>
      </c>
      <c r="C1659" s="106">
        <v>0</v>
      </c>
      <c r="D1659" s="106">
        <v>123554</v>
      </c>
      <c r="E1659" s="106" t="s">
        <v>2678</v>
      </c>
      <c r="F1659" s="106" t="s">
        <v>2679</v>
      </c>
      <c r="G1659" s="106" t="s">
        <v>121</v>
      </c>
      <c r="H1659" s="106">
        <v>6</v>
      </c>
      <c r="I1659" s="106" t="s">
        <v>3640</v>
      </c>
      <c r="J1659" s="106">
        <v>45686</v>
      </c>
      <c r="K1659" s="106">
        <v>35332</v>
      </c>
      <c r="L1659" s="106">
        <v>28858</v>
      </c>
      <c r="M1659" s="106">
        <v>0.24</v>
      </c>
      <c r="N1659" s="106">
        <v>0.87</v>
      </c>
      <c r="O1659" s="106">
        <v>0.99</v>
      </c>
      <c r="P1659" s="106">
        <v>26658</v>
      </c>
      <c r="Q1659" s="106">
        <v>14263.141188420517</v>
      </c>
      <c r="R1659" s="106">
        <v>0.38599742967319356</v>
      </c>
      <c r="S1659" s="106">
        <v>33236.90248857288</v>
      </c>
      <c r="T1659" s="106">
        <v>33514.18156424581</v>
      </c>
      <c r="U1659" s="106">
        <v>29711.932960893853</v>
      </c>
      <c r="V1659" s="106">
        <v>0.76360726417246794</v>
      </c>
      <c r="W1659" s="106">
        <v>101171.72485207101</v>
      </c>
      <c r="X1659" s="110">
        <v>0.60457239030130339</v>
      </c>
      <c r="Y1659" s="106">
        <v>297.52986348122869</v>
      </c>
      <c r="Z1659" s="106">
        <v>10.080204778156997</v>
      </c>
      <c r="AA1659" s="106">
        <v>97423.473771856792</v>
      </c>
      <c r="AB1659" s="106">
        <v>1006.6296038198477</v>
      </c>
      <c r="AC1659" s="106">
        <v>1.026446667608844</v>
      </c>
      <c r="AD1659" s="106">
        <v>34.49167145318782</v>
      </c>
      <c r="AE1659" s="106">
        <v>96.781848459616981</v>
      </c>
      <c r="AF1659" s="106">
        <v>5.4272238373769571E-2</v>
      </c>
      <c r="AG1659" s="106">
        <v>45536</v>
      </c>
      <c r="AH1659" s="106">
        <v>30329.843067546979</v>
      </c>
      <c r="AI1659" s="106">
        <v>33294.363890299646</v>
      </c>
      <c r="AJ1659" s="106">
        <v>36776.006348400202</v>
      </c>
      <c r="AK1659" s="104">
        <v>29711.932960893853</v>
      </c>
      <c r="AL1659" s="118"/>
      <c r="AM1659" s="118">
        <v>2777</v>
      </c>
      <c r="AN1659" s="118">
        <v>116235</v>
      </c>
      <c r="AO1659" s="118">
        <v>657</v>
      </c>
      <c r="AP1659" s="118">
        <f t="shared" si="25"/>
        <v>150</v>
      </c>
    </row>
    <row r="1660" spans="1:42" ht="12.75">
      <c r="A1660" s="106">
        <v>2018</v>
      </c>
      <c r="B1660" s="106">
        <v>-174817</v>
      </c>
      <c r="C1660" s="106">
        <v>0</v>
      </c>
      <c r="D1660" s="106">
        <v>174817</v>
      </c>
      <c r="E1660" s="106" t="s">
        <v>2680</v>
      </c>
      <c r="F1660" s="106" t="s">
        <v>2009</v>
      </c>
      <c r="G1660" s="106" t="s">
        <v>113</v>
      </c>
      <c r="H1660" s="106">
        <v>6</v>
      </c>
      <c r="I1660" s="106" t="s">
        <v>3640</v>
      </c>
      <c r="J1660" s="106">
        <v>33560</v>
      </c>
      <c r="K1660" s="106">
        <v>21370</v>
      </c>
      <c r="L1660" s="106">
        <v>15494</v>
      </c>
      <c r="M1660" s="106">
        <v>0.3</v>
      </c>
      <c r="N1660" s="106">
        <v>0.66</v>
      </c>
      <c r="O1660" s="106">
        <v>1</v>
      </c>
      <c r="P1660" s="106">
        <v>20751</v>
      </c>
      <c r="Q1660" s="106">
        <v>5600.4942331288339</v>
      </c>
      <c r="R1660" s="106">
        <v>0.31361458451211849</v>
      </c>
      <c r="S1660" s="106">
        <v>20489.130552147239</v>
      </c>
      <c r="T1660" s="106">
        <v>18697.341349693252</v>
      </c>
      <c r="U1660" s="106">
        <v>15316.704508301698</v>
      </c>
      <c r="V1660" s="106">
        <v>0.80026314431971346</v>
      </c>
      <c r="W1660" s="106">
        <v>67275.932386363638</v>
      </c>
      <c r="X1660" s="110">
        <v>0.51801658989842803</v>
      </c>
      <c r="Y1660" s="106">
        <v>509.17915309446249</v>
      </c>
      <c r="Z1660" s="106">
        <v>19.910423452768729</v>
      </c>
      <c r="AA1660" s="106">
        <v>32106.775139572746</v>
      </c>
      <c r="AB1660" s="106">
        <v>598.92882653945242</v>
      </c>
      <c r="AC1660" s="106">
        <v>3.1146074174464946</v>
      </c>
      <c r="AD1660" s="106">
        <v>42.762868455785309</v>
      </c>
      <c r="AE1660" s="106">
        <v>53.60699588477366</v>
      </c>
      <c r="AF1660" s="106">
        <v>9.4097474525047214E-2</v>
      </c>
      <c r="AG1660" s="106">
        <v>33020</v>
      </c>
      <c r="AH1660" s="106">
        <v>15257.89717791411</v>
      </c>
      <c r="AI1660" s="106">
        <v>19537.417423312883</v>
      </c>
      <c r="AJ1660" s="106">
        <v>21924.226503067486</v>
      </c>
      <c r="AK1660" s="104">
        <v>17462.233128834356</v>
      </c>
      <c r="AL1660" s="118"/>
      <c r="AM1660" s="118">
        <v>1503</v>
      </c>
      <c r="AN1660" s="118">
        <v>104212</v>
      </c>
      <c r="AO1660" s="118">
        <v>469</v>
      </c>
      <c r="AP1660" s="118">
        <f t="shared" si="25"/>
        <v>540</v>
      </c>
    </row>
    <row r="1661" spans="1:42" ht="12.75">
      <c r="A1661" s="106">
        <v>2018</v>
      </c>
      <c r="B1661" s="106">
        <v>-231059</v>
      </c>
      <c r="C1661" s="106">
        <v>0</v>
      </c>
      <c r="D1661" s="106">
        <v>231059</v>
      </c>
      <c r="E1661" s="106" t="s">
        <v>2683</v>
      </c>
      <c r="F1661" s="106" t="s">
        <v>2684</v>
      </c>
      <c r="G1661" s="106" t="s">
        <v>345</v>
      </c>
      <c r="H1661" s="106">
        <v>7</v>
      </c>
      <c r="I1661" s="106" t="s">
        <v>3641</v>
      </c>
      <c r="J1661" s="106">
        <v>43640</v>
      </c>
      <c r="K1661" s="106">
        <v>31323</v>
      </c>
      <c r="L1661" s="106">
        <v>20674</v>
      </c>
      <c r="M1661" s="106">
        <v>0.2</v>
      </c>
      <c r="N1661" s="106">
        <v>0.67</v>
      </c>
      <c r="O1661" s="106">
        <v>1</v>
      </c>
      <c r="P1661" s="106">
        <v>24810</v>
      </c>
      <c r="Q1661" s="106">
        <v>18624.525399129172</v>
      </c>
      <c r="R1661" s="106">
        <v>0.47726466158176384</v>
      </c>
      <c r="S1661" s="106">
        <v>35163.339138848576</v>
      </c>
      <c r="T1661" s="106">
        <v>37658.823899371069</v>
      </c>
      <c r="U1661" s="106">
        <v>25007.089078225374</v>
      </c>
      <c r="V1661" s="106">
        <v>0.81572665806608413</v>
      </c>
      <c r="W1661" s="106">
        <v>98546.093247588418</v>
      </c>
      <c r="X1661" s="110">
        <v>0.52496615880910458</v>
      </c>
      <c r="Y1661" s="106">
        <v>377.01030927835052</v>
      </c>
      <c r="Z1661" s="106">
        <v>12.785567010309279</v>
      </c>
      <c r="AA1661" s="106">
        <v>94496.623628321468</v>
      </c>
      <c r="AB1661" s="106">
        <v>848.06649917459958</v>
      </c>
      <c r="AC1661" s="106">
        <v>1.0582388678067975</v>
      </c>
      <c r="AD1661" s="106">
        <v>28.638743455497384</v>
      </c>
      <c r="AE1661" s="106">
        <v>111.42595978062157</v>
      </c>
      <c r="AF1661" s="106">
        <v>-5.2185419381870265E-3</v>
      </c>
      <c r="AG1661" s="106">
        <v>43315</v>
      </c>
      <c r="AH1661" s="106">
        <v>33264.329462989837</v>
      </c>
      <c r="AI1661" s="106">
        <v>35310.145137880987</v>
      </c>
      <c r="AJ1661" s="106">
        <v>37392.266086115145</v>
      </c>
      <c r="AK1661" s="104">
        <v>27222.422351233672</v>
      </c>
      <c r="AL1661" s="118"/>
      <c r="AM1661" s="118">
        <v>1792</v>
      </c>
      <c r="AN1661" s="118">
        <v>60950</v>
      </c>
      <c r="AO1661" s="118">
        <v>490</v>
      </c>
      <c r="AP1661" s="118">
        <f t="shared" si="25"/>
        <v>325</v>
      </c>
    </row>
    <row r="1662" spans="1:42" ht="12.75">
      <c r="A1662" s="106">
        <v>2018</v>
      </c>
      <c r="B1662" s="106">
        <v>-239716</v>
      </c>
      <c r="C1662" s="106">
        <v>0</v>
      </c>
      <c r="D1662" s="106">
        <v>239716</v>
      </c>
      <c r="E1662" s="106" t="s">
        <v>2685</v>
      </c>
      <c r="F1662" s="106" t="s">
        <v>2686</v>
      </c>
      <c r="G1662" s="106" t="s">
        <v>139</v>
      </c>
      <c r="H1662" s="106">
        <v>7</v>
      </c>
      <c r="I1662" s="106" t="s">
        <v>3641</v>
      </c>
      <c r="J1662" s="106">
        <v>36593</v>
      </c>
      <c r="K1662" s="106">
        <v>27002</v>
      </c>
      <c r="L1662" s="106">
        <v>19283</v>
      </c>
      <c r="M1662" s="106">
        <v>0.22</v>
      </c>
      <c r="N1662" s="106">
        <v>0.64</v>
      </c>
      <c r="O1662" s="106">
        <v>1</v>
      </c>
      <c r="P1662" s="106">
        <v>18594</v>
      </c>
      <c r="Q1662" s="106">
        <v>15193.896632366697</v>
      </c>
      <c r="R1662" s="106">
        <v>0.43452837041970871</v>
      </c>
      <c r="S1662" s="106">
        <v>48402.928437792332</v>
      </c>
      <c r="T1662" s="106">
        <v>34252.644059869039</v>
      </c>
      <c r="U1662" s="106">
        <v>27448.880615004015</v>
      </c>
      <c r="V1662" s="106">
        <v>0.72033947169743795</v>
      </c>
      <c r="W1662" s="106">
        <v>74793.629441624362</v>
      </c>
      <c r="X1662" s="110">
        <v>0.60360146724076236</v>
      </c>
      <c r="Y1662" s="106">
        <v>422.87417218543044</v>
      </c>
      <c r="Z1662" s="106">
        <v>14.158940397350994</v>
      </c>
      <c r="AA1662" s="106">
        <v>120257.59580917742</v>
      </c>
      <c r="AB1662" s="106">
        <v>919.06077543894787</v>
      </c>
      <c r="AC1662" s="106">
        <v>0.83154830534512103</v>
      </c>
      <c r="AD1662" s="106">
        <v>23.193916349809886</v>
      </c>
      <c r="AE1662" s="106">
        <v>130.84836065573771</v>
      </c>
      <c r="AF1662" s="106">
        <v>0.15555649443341582</v>
      </c>
      <c r="AG1662" s="106">
        <v>35878</v>
      </c>
      <c r="AH1662" s="106">
        <v>30504.093077642658</v>
      </c>
      <c r="AI1662" s="106">
        <v>48402.928437792332</v>
      </c>
      <c r="AJ1662" s="106">
        <v>52694.632834424694</v>
      </c>
      <c r="AK1662" s="104">
        <v>28527.506548175865</v>
      </c>
      <c r="AL1662" s="118"/>
      <c r="AM1662" s="118">
        <v>2067</v>
      </c>
      <c r="AN1662" s="118">
        <v>63854</v>
      </c>
      <c r="AO1662" s="118">
        <v>429</v>
      </c>
      <c r="AP1662" s="118">
        <f t="shared" si="25"/>
        <v>715</v>
      </c>
    </row>
    <row r="1663" spans="1:42" ht="12.75">
      <c r="A1663" s="106">
        <v>2018</v>
      </c>
      <c r="B1663" s="106">
        <v>-175041</v>
      </c>
      <c r="C1663" s="106">
        <v>0</v>
      </c>
      <c r="D1663" s="106">
        <v>175041</v>
      </c>
      <c r="E1663" s="106" t="s">
        <v>2687</v>
      </c>
      <c r="F1663" s="106" t="s">
        <v>366</v>
      </c>
      <c r="G1663" s="106" t="s">
        <v>113</v>
      </c>
      <c r="H1663" s="106">
        <v>4</v>
      </c>
      <c r="I1663" s="106" t="s">
        <v>24</v>
      </c>
      <c r="J1663" s="106">
        <v>5560</v>
      </c>
      <c r="K1663" s="106">
        <v>11973</v>
      </c>
      <c r="L1663" s="106">
        <v>11441</v>
      </c>
      <c r="M1663" s="106">
        <v>0.75</v>
      </c>
      <c r="N1663" s="106">
        <v>0.24</v>
      </c>
      <c r="O1663" s="106">
        <v>0.01</v>
      </c>
      <c r="P1663" s="106">
        <v>1445</v>
      </c>
      <c r="Q1663" s="106">
        <v>12.947114329602808</v>
      </c>
      <c r="R1663" s="106">
        <v>2.4169431813526689E-3</v>
      </c>
      <c r="S1663" s="106">
        <v>12503.620803159974</v>
      </c>
      <c r="T1663" s="106">
        <v>13157.340355497037</v>
      </c>
      <c r="U1663" s="106">
        <v>10450.515690147027</v>
      </c>
      <c r="V1663" s="106">
        <v>0.51134955798668713</v>
      </c>
      <c r="W1663" s="106">
        <v>129373.71428571428</v>
      </c>
      <c r="X1663" s="110">
        <v>0.62934053837686377</v>
      </c>
      <c r="Y1663" s="106">
        <v>932.09318181818185</v>
      </c>
      <c r="Z1663" s="106">
        <v>31.070454545454549</v>
      </c>
      <c r="AA1663" s="106">
        <v>33349.439775910367</v>
      </c>
      <c r="AB1663" s="106">
        <v>348.35816746764976</v>
      </c>
      <c r="AC1663" s="106">
        <v>2.9985511202570185</v>
      </c>
      <c r="AD1663" s="106">
        <v>35.7984457257458</v>
      </c>
      <c r="AE1663" s="106">
        <v>95.733193277310917</v>
      </c>
      <c r="AF1663" s="106">
        <v>-1.4807450816241106E-2</v>
      </c>
      <c r="AG1663" s="106">
        <v>4850</v>
      </c>
      <c r="AH1663" s="106">
        <v>12478.165459732279</v>
      </c>
      <c r="AI1663" s="106">
        <v>12641.43076585473</v>
      </c>
      <c r="AJ1663" s="106">
        <v>12613.122668422207</v>
      </c>
      <c r="AK1663" s="104">
        <v>11038.18301514154</v>
      </c>
      <c r="AL1663" s="118">
        <v>21224000</v>
      </c>
      <c r="AM1663" s="118">
        <v>6940</v>
      </c>
      <c r="AN1663" s="118">
        <v>136707</v>
      </c>
      <c r="AO1663" s="118">
        <v>636</v>
      </c>
      <c r="AP1663" s="118">
        <f t="shared" si="25"/>
        <v>710</v>
      </c>
    </row>
    <row r="1664" spans="1:42" ht="12.75">
      <c r="A1664" s="106">
        <v>2018</v>
      </c>
      <c r="B1664" s="106">
        <v>-186432</v>
      </c>
      <c r="C1664" s="106">
        <v>0</v>
      </c>
      <c r="D1664" s="106">
        <v>186432</v>
      </c>
      <c r="E1664" s="106" t="s">
        <v>2688</v>
      </c>
      <c r="F1664" s="106" t="s">
        <v>1526</v>
      </c>
      <c r="G1664" s="106" t="s">
        <v>234</v>
      </c>
      <c r="H1664" s="106">
        <v>6</v>
      </c>
      <c r="I1664" s="106" t="s">
        <v>3640</v>
      </c>
      <c r="J1664" s="106">
        <v>36402</v>
      </c>
      <c r="K1664" s="106">
        <v>13246</v>
      </c>
      <c r="L1664" s="106">
        <v>9219</v>
      </c>
      <c r="M1664" s="106">
        <v>0.69</v>
      </c>
      <c r="N1664" s="106">
        <v>0.53</v>
      </c>
      <c r="O1664" s="106">
        <v>1</v>
      </c>
      <c r="P1664" s="106">
        <v>22406</v>
      </c>
      <c r="Q1664" s="106">
        <v>14342.170913610938</v>
      </c>
      <c r="R1664" s="106">
        <v>0.45242084689855111</v>
      </c>
      <c r="S1664" s="106">
        <v>25806.147607209448</v>
      </c>
      <c r="T1664" s="106">
        <v>23177.479801118709</v>
      </c>
      <c r="U1664" s="106">
        <v>20435.97482908639</v>
      </c>
      <c r="V1664" s="106">
        <v>0.84942263934046647</v>
      </c>
      <c r="W1664" s="106">
        <v>83232.629213483146</v>
      </c>
      <c r="X1664" s="110">
        <v>0.4965938921069119</v>
      </c>
      <c r="Y1664" s="106">
        <v>478.92321428571421</v>
      </c>
      <c r="Z1664" s="106">
        <v>17.239285714285714</v>
      </c>
      <c r="AA1664" s="106">
        <v>76915.750877192986</v>
      </c>
      <c r="AB1664" s="106">
        <v>735.6118860389937</v>
      </c>
      <c r="AC1664" s="106">
        <v>1.3001238219680691</v>
      </c>
      <c r="AD1664" s="106">
        <v>28.77818916189835</v>
      </c>
      <c r="AE1664" s="106">
        <v>104.56023391812866</v>
      </c>
      <c r="AF1664" s="106">
        <v>0.23146927447411259</v>
      </c>
      <c r="AG1664" s="106">
        <v>35326</v>
      </c>
      <c r="AH1664" s="106">
        <v>21449.895587321316</v>
      </c>
      <c r="AI1664" s="106">
        <v>25806.16625233064</v>
      </c>
      <c r="AJ1664" s="106">
        <v>26763.380049720323</v>
      </c>
      <c r="AK1664" s="104">
        <v>20435.97482908639</v>
      </c>
      <c r="AL1664" s="118"/>
      <c r="AM1664" s="118">
        <v>2637</v>
      </c>
      <c r="AN1664" s="118">
        <v>89399</v>
      </c>
      <c r="AO1664" s="118">
        <v>487</v>
      </c>
      <c r="AP1664" s="118">
        <f t="shared" si="25"/>
        <v>1076</v>
      </c>
    </row>
    <row r="1665" spans="1:42" ht="12.75">
      <c r="A1665" s="106">
        <v>2018</v>
      </c>
      <c r="B1665" s="106">
        <v>1789</v>
      </c>
      <c r="C1665" s="106">
        <v>1</v>
      </c>
      <c r="D1665" s="106">
        <v>215798</v>
      </c>
      <c r="E1665" s="106" t="s">
        <v>3870</v>
      </c>
      <c r="F1665" s="106" t="s">
        <v>2689</v>
      </c>
      <c r="G1665" s="106" t="s">
        <v>104</v>
      </c>
      <c r="H1665" s="106">
        <v>7</v>
      </c>
      <c r="I1665" s="106" t="s">
        <v>3641</v>
      </c>
      <c r="J1665" s="106">
        <v>34430</v>
      </c>
      <c r="K1665" s="106">
        <v>21146</v>
      </c>
      <c r="L1665" s="106">
        <v>14446</v>
      </c>
      <c r="M1665" s="106">
        <v>0.32</v>
      </c>
      <c r="N1665" s="106">
        <v>0.78</v>
      </c>
      <c r="O1665" s="106">
        <v>1</v>
      </c>
      <c r="P1665" s="106">
        <v>23657</v>
      </c>
      <c r="Q1665" s="106">
        <v>16955.790650406503</v>
      </c>
      <c r="R1665" s="106">
        <v>0.552104287944302</v>
      </c>
      <c r="S1665" s="106">
        <v>36877.033028455284</v>
      </c>
      <c r="T1665" s="106">
        <v>29112.320121951219</v>
      </c>
      <c r="U1665" s="106">
        <v>20850.930916582016</v>
      </c>
      <c r="V1665" s="106">
        <v>0.65970288148515566</v>
      </c>
      <c r="W1665" s="106">
        <v>77000.059665871115</v>
      </c>
      <c r="X1665" s="110">
        <v>0.56312287882197776</v>
      </c>
      <c r="Y1665" s="106">
        <v>411.35885167464113</v>
      </c>
      <c r="Z1665" s="106">
        <v>14.124401913875596</v>
      </c>
      <c r="AA1665" s="106">
        <v>92628.966238901587</v>
      </c>
      <c r="AB1665" s="106">
        <v>715.93677234687357</v>
      </c>
      <c r="AC1665" s="106">
        <v>1.0795759043892124</v>
      </c>
      <c r="AD1665" s="106">
        <v>24.181222707423579</v>
      </c>
      <c r="AE1665" s="106">
        <v>129.38148984198645</v>
      </c>
      <c r="AF1665" s="106">
        <v>0.10410228354506541</v>
      </c>
      <c r="AG1665" s="106">
        <v>33516</v>
      </c>
      <c r="AH1665" s="106">
        <v>24908.170223577235</v>
      </c>
      <c r="AI1665" s="106">
        <v>36989.480182926833</v>
      </c>
      <c r="AJ1665" s="106">
        <v>40167.684451219509</v>
      </c>
      <c r="AK1665" s="104">
        <v>23290.944613821139</v>
      </c>
      <c r="AL1665" s="118"/>
      <c r="AM1665" s="118">
        <v>1667</v>
      </c>
      <c r="AN1665" s="118">
        <v>57316</v>
      </c>
      <c r="AO1665" s="118">
        <v>362</v>
      </c>
      <c r="AP1665" s="118">
        <f t="shared" si="25"/>
        <v>914</v>
      </c>
    </row>
    <row r="1666" spans="1:42" ht="12.75">
      <c r="A1666" s="106">
        <v>2018</v>
      </c>
      <c r="B1666" s="106">
        <v>-148627</v>
      </c>
      <c r="C1666" s="106">
        <v>0</v>
      </c>
      <c r="D1666" s="106">
        <v>148627</v>
      </c>
      <c r="E1666" s="106" t="s">
        <v>2690</v>
      </c>
      <c r="F1666" s="106" t="s">
        <v>725</v>
      </c>
      <c r="G1666" s="106" t="s">
        <v>243</v>
      </c>
      <c r="H1666" s="106">
        <v>6</v>
      </c>
      <c r="I1666" s="106" t="s">
        <v>3640</v>
      </c>
      <c r="J1666" s="106">
        <v>33380</v>
      </c>
      <c r="K1666" s="106">
        <v>15131</v>
      </c>
      <c r="L1666" s="106">
        <v>11866</v>
      </c>
      <c r="M1666" s="106">
        <v>0.56000000000000005</v>
      </c>
      <c r="N1666" s="106">
        <v>0.85</v>
      </c>
      <c r="O1666" s="106">
        <v>1</v>
      </c>
      <c r="P1666" s="106">
        <v>19676</v>
      </c>
      <c r="Q1666" s="106">
        <v>12760.207258548291</v>
      </c>
      <c r="R1666" s="106">
        <v>0.42422331142716913</v>
      </c>
      <c r="S1666" s="106">
        <v>20374.36622675465</v>
      </c>
      <c r="T1666" s="106">
        <v>19104.021895620877</v>
      </c>
      <c r="U1666" s="106">
        <v>17599.411742348806</v>
      </c>
      <c r="V1666" s="106">
        <v>0.98405443873317866</v>
      </c>
      <c r="W1666" s="106">
        <v>74251.019053876487</v>
      </c>
      <c r="X1666" s="110">
        <v>0.59143280994248504</v>
      </c>
      <c r="Y1666" s="106">
        <v>457.31132075471697</v>
      </c>
      <c r="Z1666" s="106">
        <v>15.726415094339623</v>
      </c>
      <c r="AA1666" s="106">
        <v>56419.652643260502</v>
      </c>
      <c r="AB1666" s="106">
        <v>605.22371066519781</v>
      </c>
      <c r="AC1666" s="106">
        <v>1.7724320394578907</v>
      </c>
      <c r="AD1666" s="106">
        <v>33.036848792884371</v>
      </c>
      <c r="AE1666" s="106">
        <v>93.22115384615384</v>
      </c>
      <c r="AF1666" s="106">
        <v>6.2042383907067289E-2</v>
      </c>
      <c r="AG1666" s="106">
        <v>32320</v>
      </c>
      <c r="AH1666" s="106">
        <v>19865.950809838032</v>
      </c>
      <c r="AI1666" s="106">
        <v>20437.203359328134</v>
      </c>
      <c r="AJ1666" s="106">
        <v>20650.646370725855</v>
      </c>
      <c r="AK1666" s="104">
        <v>18223.164067186564</v>
      </c>
      <c r="AL1666" s="118"/>
      <c r="AM1666" s="118">
        <v>2942</v>
      </c>
      <c r="AN1666" s="118">
        <v>96950</v>
      </c>
      <c r="AO1666" s="118">
        <v>712</v>
      </c>
      <c r="AP1666" s="118">
        <f t="shared" si="25"/>
        <v>1060</v>
      </c>
    </row>
    <row r="1667" spans="1:42" ht="12.75">
      <c r="A1667" s="106">
        <v>2018</v>
      </c>
      <c r="B1667" s="106">
        <v>-199607</v>
      </c>
      <c r="C1667" s="106">
        <v>0</v>
      </c>
      <c r="D1667" s="106">
        <v>199607</v>
      </c>
      <c r="E1667" s="106" t="s">
        <v>2691</v>
      </c>
      <c r="F1667" s="106" t="s">
        <v>1262</v>
      </c>
      <c r="G1667" s="106" t="s">
        <v>90</v>
      </c>
      <c r="H1667" s="106">
        <v>7</v>
      </c>
      <c r="I1667" s="106" t="s">
        <v>3641</v>
      </c>
      <c r="J1667" s="106">
        <v>28566</v>
      </c>
      <c r="K1667" s="106">
        <v>15560</v>
      </c>
      <c r="L1667" s="106">
        <v>14798</v>
      </c>
      <c r="M1667" s="106">
        <v>0.55000000000000004</v>
      </c>
      <c r="N1667" s="106">
        <v>0.73</v>
      </c>
      <c r="O1667" s="106">
        <v>0.98</v>
      </c>
      <c r="P1667" s="106">
        <v>24160</v>
      </c>
      <c r="Q1667" s="106">
        <v>17965.170454545456</v>
      </c>
      <c r="R1667" s="106">
        <v>0.66607572661274472</v>
      </c>
      <c r="S1667" s="106">
        <v>24593.3125</v>
      </c>
      <c r="T1667" s="106">
        <v>30718.63068181818</v>
      </c>
      <c r="U1667" s="106">
        <v>27316.843181818182</v>
      </c>
      <c r="V1667" s="106">
        <v>0.32970475841120667</v>
      </c>
      <c r="W1667" s="106">
        <v>69867.269035532998</v>
      </c>
      <c r="X1667" s="110">
        <v>0.50916139690915285</v>
      </c>
      <c r="Y1667" s="106">
        <v>286.78228782287823</v>
      </c>
      <c r="Z1667" s="106">
        <v>9.741697416974171</v>
      </c>
      <c r="AA1667" s="106">
        <v>103615.61206896552</v>
      </c>
      <c r="AB1667" s="106">
        <v>927.92488226665637</v>
      </c>
      <c r="AC1667" s="106">
        <v>0.96510552804958583</v>
      </c>
      <c r="AD1667" s="106">
        <v>29.182389937106919</v>
      </c>
      <c r="AE1667" s="106">
        <v>111.66379310344827</v>
      </c>
      <c r="AF1667" s="106">
        <v>-2.771389264325495E-2</v>
      </c>
      <c r="AG1667" s="106">
        <v>28100</v>
      </c>
      <c r="AH1667" s="106">
        <v>18380.587500000001</v>
      </c>
      <c r="AI1667" s="106">
        <v>24593.3125</v>
      </c>
      <c r="AJ1667" s="106">
        <v>29885.067045454547</v>
      </c>
      <c r="AK1667" s="104">
        <v>27316.843181818182</v>
      </c>
      <c r="AL1667" s="118"/>
      <c r="AM1667" s="118">
        <v>824</v>
      </c>
      <c r="AN1667" s="118">
        <v>25906</v>
      </c>
      <c r="AO1667" s="118">
        <v>200</v>
      </c>
      <c r="AP1667" s="118">
        <f t="shared" si="25"/>
        <v>466</v>
      </c>
    </row>
    <row r="1668" spans="1:42" ht="12.75">
      <c r="A1668" s="106">
        <v>2018</v>
      </c>
      <c r="B1668" s="106">
        <v>-186469</v>
      </c>
      <c r="C1668" s="106">
        <v>0</v>
      </c>
      <c r="D1668" s="106">
        <v>186469</v>
      </c>
      <c r="E1668" s="106" t="s">
        <v>2692</v>
      </c>
      <c r="F1668" s="106" t="s">
        <v>2693</v>
      </c>
      <c r="G1668" s="106" t="s">
        <v>234</v>
      </c>
      <c r="H1668" s="106">
        <v>4</v>
      </c>
      <c r="I1668" s="106" t="s">
        <v>24</v>
      </c>
      <c r="J1668" s="106">
        <v>4950</v>
      </c>
      <c r="K1668" s="106">
        <v>8450</v>
      </c>
      <c r="L1668" s="106">
        <v>7365</v>
      </c>
      <c r="M1668" s="106">
        <v>0.54</v>
      </c>
      <c r="N1668" s="106">
        <v>0.12</v>
      </c>
      <c r="O1668" s="106">
        <v>0.02</v>
      </c>
      <c r="P1668" s="106">
        <v>2021</v>
      </c>
      <c r="Q1668" s="106">
        <v>3.8809831824062092E-2</v>
      </c>
      <c r="R1668" s="106">
        <v>6.6214699839936994E-6</v>
      </c>
      <c r="S1668" s="106">
        <v>17643.206985769728</v>
      </c>
      <c r="T1668" s="106">
        <v>18601.411384217336</v>
      </c>
      <c r="U1668" s="106">
        <v>15978.354774434318</v>
      </c>
      <c r="V1668" s="106">
        <v>0.36681949672935527</v>
      </c>
      <c r="W1668" s="106">
        <v>60285.518181818181</v>
      </c>
      <c r="X1668" s="110">
        <v>0.46119043534024984</v>
      </c>
      <c r="Y1668" s="106">
        <v>565.85365853658539</v>
      </c>
      <c r="Z1668" s="106">
        <v>18.853658536585368</v>
      </c>
      <c r="AA1668" s="106">
        <v>46608.559398632933</v>
      </c>
      <c r="AB1668" s="106">
        <v>532.3822517516262</v>
      </c>
      <c r="AC1668" s="106">
        <v>2.1455286601913959</v>
      </c>
      <c r="AD1668" s="106">
        <v>40.334855403348548</v>
      </c>
      <c r="AE1668" s="106">
        <v>87.547169811320757</v>
      </c>
      <c r="AF1668" s="106">
        <v>1.273966056336105E-2</v>
      </c>
      <c r="AG1668" s="106">
        <v>4950</v>
      </c>
      <c r="AH1668" s="106">
        <v>16165.364812419146</v>
      </c>
      <c r="AI1668" s="106">
        <v>16165.364812419146</v>
      </c>
      <c r="AJ1668" s="106">
        <v>17655.22509702458</v>
      </c>
      <c r="AK1668" s="104">
        <v>18275.48253557568</v>
      </c>
      <c r="AL1668" s="119">
        <v>4758123</v>
      </c>
      <c r="AM1668" s="118">
        <v>916</v>
      </c>
      <c r="AN1668" s="118">
        <v>23200</v>
      </c>
      <c r="AO1668" s="118">
        <v>227</v>
      </c>
      <c r="AP1668" s="118">
        <f t="shared" si="25"/>
        <v>0</v>
      </c>
    </row>
    <row r="1669" spans="1:42" ht="12.75">
      <c r="A1669" s="106">
        <v>2018</v>
      </c>
      <c r="B1669" s="106">
        <v>-167729</v>
      </c>
      <c r="C1669" s="106">
        <v>0</v>
      </c>
      <c r="D1669" s="106">
        <v>167729</v>
      </c>
      <c r="E1669" s="106" t="s">
        <v>2694</v>
      </c>
      <c r="F1669" s="106" t="s">
        <v>717</v>
      </c>
      <c r="G1669" s="106" t="s">
        <v>150</v>
      </c>
      <c r="H1669" s="106">
        <v>2</v>
      </c>
      <c r="I1669" s="106" t="s">
        <v>25</v>
      </c>
      <c r="J1669" s="106">
        <v>10278</v>
      </c>
      <c r="K1669" s="106">
        <v>17782</v>
      </c>
      <c r="L1669" s="106">
        <v>14856</v>
      </c>
      <c r="M1669" s="106">
        <v>0.42</v>
      </c>
      <c r="N1669" s="106">
        <v>0.77</v>
      </c>
      <c r="O1669" s="106">
        <v>0.57999999999999996</v>
      </c>
      <c r="P1669" s="106">
        <v>2466</v>
      </c>
      <c r="Q1669" s="106">
        <v>672.30702446724547</v>
      </c>
      <c r="R1669" s="106">
        <v>5.8072093196810622E-2</v>
      </c>
      <c r="S1669" s="106">
        <v>23217.394369902657</v>
      </c>
      <c r="T1669" s="106">
        <v>24392.804525124968</v>
      </c>
      <c r="U1669" s="106">
        <v>16952.708419188286</v>
      </c>
      <c r="V1669" s="106">
        <v>0.64324843795100184</v>
      </c>
      <c r="W1669" s="106">
        <v>115841.86744400124</v>
      </c>
      <c r="X1669" s="110">
        <v>0.67863937646851358</v>
      </c>
      <c r="Y1669" s="106">
        <v>438.93774834437085</v>
      </c>
      <c r="Z1669" s="106">
        <v>15.103311258278145</v>
      </c>
      <c r="AA1669" s="106">
        <v>57024.110355163422</v>
      </c>
      <c r="AB1669" s="106">
        <v>583.32196966790389</v>
      </c>
      <c r="AC1669" s="106">
        <v>1.7536441932573734</v>
      </c>
      <c r="AD1669" s="106">
        <v>31.193926846100762</v>
      </c>
      <c r="AE1669" s="106">
        <v>97.757522123893807</v>
      </c>
      <c r="AF1669" s="106">
        <v>-4.0427186198539126E-2</v>
      </c>
      <c r="AG1669" s="106">
        <v>910</v>
      </c>
      <c r="AH1669" s="106">
        <v>23089.72138910813</v>
      </c>
      <c r="AI1669" s="106">
        <v>23373.878321494343</v>
      </c>
      <c r="AJ1669" s="106">
        <v>23416.21270718232</v>
      </c>
      <c r="AK1669" s="104">
        <v>17757.652065245988</v>
      </c>
      <c r="AL1669" s="118">
        <v>60128013</v>
      </c>
      <c r="AM1669" s="118">
        <v>7110</v>
      </c>
      <c r="AN1669" s="118">
        <v>220932</v>
      </c>
      <c r="AO1669" s="118">
        <v>1666</v>
      </c>
      <c r="AP1669" s="118">
        <f t="shared" si="25"/>
        <v>9368</v>
      </c>
    </row>
    <row r="1670" spans="1:42" ht="12.75">
      <c r="A1670" s="106">
        <v>2018</v>
      </c>
      <c r="B1670" s="106">
        <v>-155830</v>
      </c>
      <c r="C1670" s="106">
        <v>0</v>
      </c>
      <c r="D1670" s="106">
        <v>155830</v>
      </c>
      <c r="E1670" s="106" t="s">
        <v>2695</v>
      </c>
      <c r="F1670" s="106" t="s">
        <v>1657</v>
      </c>
      <c r="G1670" s="106" t="s">
        <v>129</v>
      </c>
      <c r="H1670" s="106">
        <v>4</v>
      </c>
      <c r="I1670" s="106" t="s">
        <v>24</v>
      </c>
      <c r="J1670" s="106">
        <v>7080</v>
      </c>
      <c r="K1670" s="106">
        <v>7641</v>
      </c>
      <c r="L1670" s="106">
        <v>7656</v>
      </c>
      <c r="M1670" s="106">
        <v>0.54</v>
      </c>
      <c r="N1670" s="106">
        <v>0.55000000000000004</v>
      </c>
      <c r="O1670" s="106">
        <v>0.03</v>
      </c>
      <c r="P1670" s="106">
        <v>1342</v>
      </c>
      <c r="Q1670" s="106"/>
      <c r="R1670" s="106"/>
      <c r="S1670" s="106">
        <v>12351.246153846154</v>
      </c>
      <c r="T1670" s="106">
        <v>11637.889743589743</v>
      </c>
      <c r="U1670" s="106">
        <v>9667.0102564102563</v>
      </c>
      <c r="V1670" s="106">
        <v>0.3788806976091566</v>
      </c>
      <c r="W1670" s="106">
        <v>48980.094339622643</v>
      </c>
      <c r="X1670" s="110">
        <v>0.57194812611414925</v>
      </c>
      <c r="Y1670" s="106">
        <v>398.52272727272731</v>
      </c>
      <c r="Z1670" s="106">
        <v>13.295454545454547</v>
      </c>
      <c r="AA1670" s="106">
        <v>8955.1876484560562</v>
      </c>
      <c r="AB1670" s="106">
        <v>322.50932420872539</v>
      </c>
      <c r="AC1670" s="106">
        <v>11.166711846316337</v>
      </c>
      <c r="AD1670" s="106">
        <v>133.22784810126583</v>
      </c>
      <c r="AE1670" s="106">
        <v>27.767220902612827</v>
      </c>
      <c r="AF1670" s="106">
        <v>7.5213559530895022E-2</v>
      </c>
      <c r="AG1670" s="106">
        <v>5008</v>
      </c>
      <c r="AH1670" s="106">
        <v>11360.612820512821</v>
      </c>
      <c r="AI1670" s="106">
        <v>12217.115384615385</v>
      </c>
      <c r="AJ1670" s="106">
        <v>12401.623076923077</v>
      </c>
      <c r="AK1670" s="104">
        <v>9801.1410256410254</v>
      </c>
      <c r="AL1670" s="119">
        <v>2592210</v>
      </c>
      <c r="AM1670" s="118">
        <v>598</v>
      </c>
      <c r="AN1670" s="118">
        <v>11690</v>
      </c>
      <c r="AO1670" s="118">
        <v>36</v>
      </c>
      <c r="AP1670" s="118">
        <f t="shared" ref="AP1670:AP1733" si="26">J1670-AG1670</f>
        <v>2072</v>
      </c>
    </row>
    <row r="1671" spans="1:42" ht="12.75">
      <c r="A1671" s="106">
        <v>2018</v>
      </c>
      <c r="B1671" s="106">
        <v>-163851</v>
      </c>
      <c r="C1671" s="106">
        <v>0</v>
      </c>
      <c r="D1671" s="106">
        <v>163851</v>
      </c>
      <c r="E1671" s="106" t="s">
        <v>2696</v>
      </c>
      <c r="F1671" s="106" t="s">
        <v>629</v>
      </c>
      <c r="G1671" s="106" t="s">
        <v>124</v>
      </c>
      <c r="H1671" s="106">
        <v>2</v>
      </c>
      <c r="I1671" s="106" t="s">
        <v>25</v>
      </c>
      <c r="J1671" s="106">
        <v>9582</v>
      </c>
      <c r="K1671" s="106">
        <v>18163</v>
      </c>
      <c r="L1671" s="106">
        <v>9379</v>
      </c>
      <c r="M1671" s="106">
        <v>0.24</v>
      </c>
      <c r="N1671" s="106">
        <v>0.52</v>
      </c>
      <c r="O1671" s="106">
        <v>0.65</v>
      </c>
      <c r="P1671" s="106">
        <v>3774</v>
      </c>
      <c r="Q1671" s="106">
        <v>1357.9773975226663</v>
      </c>
      <c r="R1671" s="106">
        <v>0.14065763806977569</v>
      </c>
      <c r="S1671" s="106">
        <v>23509.136508747288</v>
      </c>
      <c r="T1671" s="106">
        <v>22956.075213893499</v>
      </c>
      <c r="U1671" s="106">
        <v>13565.353300826131</v>
      </c>
      <c r="V1671" s="106">
        <v>0.61159557294812872</v>
      </c>
      <c r="W1671" s="106">
        <v>84397.304018195602</v>
      </c>
      <c r="X1671" s="110">
        <v>0.61923929330984584</v>
      </c>
      <c r="Y1671" s="106">
        <v>450.89453125</v>
      </c>
      <c r="Z1671" s="106">
        <v>15.294921875</v>
      </c>
      <c r="AA1671" s="106">
        <v>47636.897622766563</v>
      </c>
      <c r="AB1671" s="106">
        <v>460.15421470674369</v>
      </c>
      <c r="AC1671" s="106">
        <v>2.0992131098018469</v>
      </c>
      <c r="AD1671" s="106">
        <v>27.53426348931967</v>
      </c>
      <c r="AE1671" s="106">
        <v>103.52376681614349</v>
      </c>
      <c r="AF1671" s="106">
        <v>1.5794231984081919E-2</v>
      </c>
      <c r="AG1671" s="106">
        <v>6982</v>
      </c>
      <c r="AH1671" s="106">
        <v>23499.699655216449</v>
      </c>
      <c r="AI1671" s="106">
        <v>23499.699655216449</v>
      </c>
      <c r="AJ1671" s="106">
        <v>23778.131273145191</v>
      </c>
      <c r="AK1671" s="104">
        <v>15241.945600817266</v>
      </c>
      <c r="AL1671" s="118">
        <v>53730307</v>
      </c>
      <c r="AM1671" s="118">
        <v>7782</v>
      </c>
      <c r="AN1671" s="118">
        <v>230858</v>
      </c>
      <c r="AO1671" s="118">
        <v>1873</v>
      </c>
      <c r="AP1671" s="118">
        <f t="shared" si="26"/>
        <v>2600</v>
      </c>
    </row>
    <row r="1672" spans="1:42" ht="12.75">
      <c r="A1672" s="106">
        <v>2018</v>
      </c>
      <c r="B1672" s="106">
        <v>-230746</v>
      </c>
      <c r="C1672" s="106">
        <v>0</v>
      </c>
      <c r="D1672" s="106">
        <v>230746</v>
      </c>
      <c r="E1672" s="106" t="s">
        <v>2697</v>
      </c>
      <c r="F1672" s="106" t="s">
        <v>2698</v>
      </c>
      <c r="G1672" s="106" t="s">
        <v>458</v>
      </c>
      <c r="H1672" s="106">
        <v>4</v>
      </c>
      <c r="I1672" s="106" t="s">
        <v>24</v>
      </c>
      <c r="J1672" s="106">
        <v>3781</v>
      </c>
      <c r="K1672" s="106">
        <v>7378</v>
      </c>
      <c r="L1672" s="106">
        <v>6530</v>
      </c>
      <c r="M1672" s="106">
        <v>0.49</v>
      </c>
      <c r="N1672" s="106">
        <v>0.15</v>
      </c>
      <c r="O1672" s="106">
        <v>7.0000000000000007E-2</v>
      </c>
      <c r="P1672" s="106">
        <v>1780</v>
      </c>
      <c r="Q1672" s="106">
        <v>284.74275675364322</v>
      </c>
      <c r="R1672" s="106">
        <v>6.1752207210699857E-2</v>
      </c>
      <c r="S1672" s="106">
        <v>12264.967167789873</v>
      </c>
      <c r="T1672" s="106">
        <v>11821.217498991993</v>
      </c>
      <c r="U1672" s="106">
        <v>10261.84344134642</v>
      </c>
      <c r="V1672" s="106">
        <v>0.42159200556111448</v>
      </c>
      <c r="W1672" s="106">
        <v>67625.259177430315</v>
      </c>
      <c r="X1672" s="110">
        <v>0.64628400380752826</v>
      </c>
      <c r="Y1672" s="106">
        <v>719.21670046082954</v>
      </c>
      <c r="Z1672" s="106">
        <v>24.001382488479265</v>
      </c>
      <c r="AA1672" s="106">
        <v>31370.992073466314</v>
      </c>
      <c r="AB1672" s="106">
        <v>342.45371292801593</v>
      </c>
      <c r="AC1672" s="106">
        <v>3.1876581960116055</v>
      </c>
      <c r="AD1672" s="106">
        <v>37.5272583096544</v>
      </c>
      <c r="AE1672" s="106">
        <v>91.606517579386036</v>
      </c>
      <c r="AF1672" s="106">
        <v>0.15171390880928287</v>
      </c>
      <c r="AG1672" s="106">
        <v>3319</v>
      </c>
      <c r="AH1672" s="106">
        <v>11301.941247623985</v>
      </c>
      <c r="AI1672" s="106">
        <v>11411.40176257128</v>
      </c>
      <c r="AJ1672" s="106">
        <v>12359.349519036921</v>
      </c>
      <c r="AK1672" s="104">
        <v>11290.363400725764</v>
      </c>
      <c r="AL1672" s="119">
        <v>101516463</v>
      </c>
      <c r="AM1672" s="118">
        <v>29620</v>
      </c>
      <c r="AN1672" s="118">
        <v>520233.41333333333</v>
      </c>
      <c r="AO1672" s="118">
        <v>3251</v>
      </c>
      <c r="AP1672" s="118">
        <f t="shared" si="26"/>
        <v>462</v>
      </c>
    </row>
    <row r="1673" spans="1:42" ht="12.75">
      <c r="A1673" s="106">
        <v>2018</v>
      </c>
      <c r="B1673" s="106">
        <v>-217536</v>
      </c>
      <c r="C1673" s="106">
        <v>0</v>
      </c>
      <c r="D1673" s="106">
        <v>217536</v>
      </c>
      <c r="E1673" s="106" t="s">
        <v>2699</v>
      </c>
      <c r="F1673" s="106" t="s">
        <v>212</v>
      </c>
      <c r="G1673" s="106" t="s">
        <v>469</v>
      </c>
      <c r="H1673" s="106">
        <v>6</v>
      </c>
      <c r="I1673" s="106" t="s">
        <v>3640</v>
      </c>
      <c r="J1673" s="106">
        <v>38986</v>
      </c>
      <c r="K1673" s="106">
        <v>33291</v>
      </c>
      <c r="L1673" s="106">
        <v>23771</v>
      </c>
      <c r="M1673" s="106">
        <v>0.26</v>
      </c>
      <c r="N1673" s="106">
        <v>0.91</v>
      </c>
      <c r="O1673" s="106">
        <v>0.99</v>
      </c>
      <c r="P1673" s="106">
        <v>21803</v>
      </c>
      <c r="Q1673" s="106">
        <v>15726.911251980982</v>
      </c>
      <c r="R1673" s="106">
        <v>0.46023015679447277</v>
      </c>
      <c r="S1673" s="106">
        <v>28763.470681458002</v>
      </c>
      <c r="T1673" s="106">
        <v>28334.786053882726</v>
      </c>
      <c r="U1673" s="106">
        <v>21688.154224183185</v>
      </c>
      <c r="V1673" s="106">
        <v>0.85046097025908818</v>
      </c>
      <c r="W1673" s="106">
        <v>86903.296703296699</v>
      </c>
      <c r="X1673" s="110">
        <v>0.55288952277080972</v>
      </c>
      <c r="Y1673" s="106">
        <v>403.82222222222219</v>
      </c>
      <c r="Z1673" s="106">
        <v>14.022222222222222</v>
      </c>
      <c r="AA1673" s="106">
        <v>62632.610139403158</v>
      </c>
      <c r="AB1673" s="106">
        <v>753.09406314437547</v>
      </c>
      <c r="AC1673" s="106">
        <v>1.5966123681805244</v>
      </c>
      <c r="AD1673" s="106">
        <v>35.17102615694165</v>
      </c>
      <c r="AE1673" s="106">
        <v>83.167048054919903</v>
      </c>
      <c r="AF1673" s="106">
        <v>4.0727227367698883E-2</v>
      </c>
      <c r="AG1673" s="106">
        <v>38386</v>
      </c>
      <c r="AH1673" s="106">
        <v>26927.892234548337</v>
      </c>
      <c r="AI1673" s="106">
        <v>28763.470681458002</v>
      </c>
      <c r="AJ1673" s="106">
        <v>30404.516640253565</v>
      </c>
      <c r="AK1673" s="104">
        <v>22101.030110935022</v>
      </c>
      <c r="AM1673" s="118">
        <v>2180</v>
      </c>
      <c r="AN1673" s="118">
        <v>72688</v>
      </c>
      <c r="AO1673" s="118">
        <v>558</v>
      </c>
      <c r="AP1673" s="118">
        <f t="shared" si="26"/>
        <v>600</v>
      </c>
    </row>
    <row r="1674" spans="1:42" ht="12.75">
      <c r="A1674" s="106">
        <v>2018</v>
      </c>
      <c r="B1674" s="106">
        <v>-227881</v>
      </c>
      <c r="C1674" s="106">
        <v>0</v>
      </c>
      <c r="D1674" s="106">
        <v>227881</v>
      </c>
      <c r="E1674" s="106" t="s">
        <v>2700</v>
      </c>
      <c r="F1674" s="106" t="s">
        <v>1600</v>
      </c>
      <c r="G1674" s="106" t="s">
        <v>60</v>
      </c>
      <c r="H1674" s="106">
        <v>1</v>
      </c>
      <c r="I1674" s="106" t="s">
        <v>23</v>
      </c>
      <c r="J1674" s="106">
        <v>8062</v>
      </c>
      <c r="K1674" s="106">
        <v>12516</v>
      </c>
      <c r="L1674" s="106">
        <v>9861</v>
      </c>
      <c r="M1674" s="106">
        <v>0.44</v>
      </c>
      <c r="N1674" s="106">
        <v>0.62</v>
      </c>
      <c r="O1674" s="106">
        <v>0.1</v>
      </c>
      <c r="P1674" s="106">
        <v>5516</v>
      </c>
      <c r="Q1674" s="106">
        <v>2188.7675840978595</v>
      </c>
      <c r="R1674" s="106">
        <v>0.18728467317872441</v>
      </c>
      <c r="S1674" s="106">
        <v>20211.479576234164</v>
      </c>
      <c r="T1674" s="106">
        <v>19861.680701179554</v>
      </c>
      <c r="U1674" s="106">
        <v>11933.059998237664</v>
      </c>
      <c r="V1674" s="106">
        <v>0.79594679174680083</v>
      </c>
      <c r="W1674" s="106">
        <v>85473.126727752751</v>
      </c>
      <c r="X1674" s="110">
        <v>0.50439989352201176</v>
      </c>
      <c r="Y1674" s="106">
        <v>624.85979142526071</v>
      </c>
      <c r="Z1674" s="106">
        <v>21.219003476245653</v>
      </c>
      <c r="AA1674" s="106">
        <v>45458.330494638671</v>
      </c>
      <c r="AB1674" s="106">
        <v>405.22313174817083</v>
      </c>
      <c r="AC1674" s="106">
        <v>2.1998168193131056</v>
      </c>
      <c r="AD1674" s="106">
        <v>27.365364909484232</v>
      </c>
      <c r="AE1674" s="106">
        <v>112.18098606199293</v>
      </c>
      <c r="AF1674" s="106">
        <v>0.11442210596139807</v>
      </c>
      <c r="AG1674" s="106">
        <v>5472</v>
      </c>
      <c r="AH1674" s="106">
        <v>19167.274355613805</v>
      </c>
      <c r="AI1674" s="106">
        <v>19570.198776758411</v>
      </c>
      <c r="AJ1674" s="106">
        <v>20699.273044997815</v>
      </c>
      <c r="AK1674" s="104">
        <v>15276.318370467454</v>
      </c>
      <c r="AL1674" s="118">
        <v>71568170</v>
      </c>
      <c r="AM1674" s="118">
        <v>18416</v>
      </c>
      <c r="AN1674" s="118">
        <v>539254</v>
      </c>
      <c r="AO1674" s="118">
        <v>3836</v>
      </c>
      <c r="AP1674" s="118">
        <f t="shared" si="26"/>
        <v>2590</v>
      </c>
    </row>
    <row r="1675" spans="1:42" ht="12.75">
      <c r="A1675" s="106">
        <v>2018</v>
      </c>
      <c r="B1675" s="106">
        <v>-102049</v>
      </c>
      <c r="C1675" s="106">
        <v>0</v>
      </c>
      <c r="D1675" s="106">
        <v>102049</v>
      </c>
      <c r="E1675" s="106" t="s">
        <v>2701</v>
      </c>
      <c r="F1675" s="106" t="s">
        <v>377</v>
      </c>
      <c r="G1675" s="106" t="s">
        <v>85</v>
      </c>
      <c r="H1675" s="106">
        <v>6</v>
      </c>
      <c r="I1675" s="106" t="s">
        <v>3640</v>
      </c>
      <c r="J1675" s="106">
        <v>30490</v>
      </c>
      <c r="K1675" s="106">
        <v>30594</v>
      </c>
      <c r="L1675" s="106">
        <v>24005</v>
      </c>
      <c r="M1675" s="106">
        <v>0.14000000000000001</v>
      </c>
      <c r="N1675" s="106">
        <v>0.38</v>
      </c>
      <c r="O1675" s="106">
        <v>0.97</v>
      </c>
      <c r="P1675" s="106">
        <v>14905</v>
      </c>
      <c r="Q1675" s="106">
        <v>8904.2705737848737</v>
      </c>
      <c r="R1675" s="106">
        <v>0.31608195010807982</v>
      </c>
      <c r="S1675" s="106">
        <v>28268.434111247589</v>
      </c>
      <c r="T1675" s="106">
        <v>29755.669591156344</v>
      </c>
      <c r="U1675" s="106">
        <v>25421.993937359057</v>
      </c>
      <c r="V1675" s="106">
        <v>0.75786719256032975</v>
      </c>
      <c r="W1675" s="106">
        <v>90078.875966594482</v>
      </c>
      <c r="X1675" s="110">
        <v>0.57245192953329482</v>
      </c>
      <c r="Y1675" s="106">
        <v>306.73801916932911</v>
      </c>
      <c r="Z1675" s="106">
        <v>13.655750798722046</v>
      </c>
      <c r="AA1675" s="106">
        <v>88611.586207345114</v>
      </c>
      <c r="AB1675" s="106">
        <v>1131.7684549027379</v>
      </c>
      <c r="AC1675" s="106">
        <v>1.1285205951060031</v>
      </c>
      <c r="AD1675" s="106">
        <v>30.773574251835122</v>
      </c>
      <c r="AE1675" s="106">
        <v>78.294801223241592</v>
      </c>
      <c r="AF1675" s="106">
        <v>2.3327094230233523E-2</v>
      </c>
      <c r="AG1675" s="106">
        <v>29640</v>
      </c>
      <c r="AH1675" s="106">
        <v>25543.682224951746</v>
      </c>
      <c r="AI1675" s="106">
        <v>28268.434111247589</v>
      </c>
      <c r="AJ1675" s="106">
        <v>31669.46429198105</v>
      </c>
      <c r="AK1675" s="104">
        <v>26244.343393577819</v>
      </c>
      <c r="AL1675" s="118"/>
      <c r="AM1675" s="118">
        <v>3373</v>
      </c>
      <c r="AN1675" s="118">
        <v>128012</v>
      </c>
      <c r="AO1675" s="118">
        <v>805</v>
      </c>
      <c r="AP1675" s="118">
        <f t="shared" si="26"/>
        <v>850</v>
      </c>
    </row>
    <row r="1676" spans="1:42" ht="12.75">
      <c r="A1676" s="106">
        <v>2018</v>
      </c>
      <c r="B1676" s="106">
        <v>-199625</v>
      </c>
      <c r="C1676" s="106">
        <v>0</v>
      </c>
      <c r="D1676" s="106">
        <v>199625</v>
      </c>
      <c r="E1676" s="106" t="s">
        <v>2702</v>
      </c>
      <c r="F1676" s="106" t="s">
        <v>1417</v>
      </c>
      <c r="G1676" s="106" t="s">
        <v>90</v>
      </c>
      <c r="H1676" s="106">
        <v>4</v>
      </c>
      <c r="I1676" s="106" t="s">
        <v>24</v>
      </c>
      <c r="J1676" s="106">
        <v>3154</v>
      </c>
      <c r="K1676" s="106">
        <v>8553</v>
      </c>
      <c r="L1676" s="106">
        <v>8548</v>
      </c>
      <c r="M1676" s="106">
        <v>0.98</v>
      </c>
      <c r="N1676" s="106">
        <v>0</v>
      </c>
      <c r="O1676" s="106">
        <v>0.14000000000000001</v>
      </c>
      <c r="P1676" s="106">
        <v>975</v>
      </c>
      <c r="Q1676" s="106">
        <v>101.59389454209065</v>
      </c>
      <c r="R1676" s="106">
        <v>5.7315184194759838E-2</v>
      </c>
      <c r="S1676" s="106">
        <v>14196.397779833487</v>
      </c>
      <c r="T1676" s="106">
        <v>15200.613320999075</v>
      </c>
      <c r="U1676" s="106">
        <v>11047.067530064754</v>
      </c>
      <c r="V1676" s="106">
        <v>0.15125767467098983</v>
      </c>
      <c r="W1676" s="106">
        <v>49272.707865168537</v>
      </c>
      <c r="X1676" s="110">
        <v>0.53375213753912143</v>
      </c>
      <c r="Y1676" s="106">
        <v>353.80363636363643</v>
      </c>
      <c r="Z1676" s="106">
        <v>11.792727272727275</v>
      </c>
      <c r="AA1676" s="106">
        <v>48942.131147540982</v>
      </c>
      <c r="AB1676" s="106">
        <v>368.2128761716823</v>
      </c>
      <c r="AC1676" s="106">
        <v>2.0432293742693779</v>
      </c>
      <c r="AD1676" s="106">
        <v>31.003811944091485</v>
      </c>
      <c r="AE1676" s="106">
        <v>132.91803278688525</v>
      </c>
      <c r="AF1676" s="106">
        <v>-3.5550765462929852E-2</v>
      </c>
      <c r="AG1676" s="106">
        <v>3116</v>
      </c>
      <c r="AH1676" s="106">
        <v>12783.780758556892</v>
      </c>
      <c r="AI1676" s="106">
        <v>12872.296022201665</v>
      </c>
      <c r="AJ1676" s="106">
        <v>14196.397779833487</v>
      </c>
      <c r="AK1676" s="104">
        <v>12586.562442183164</v>
      </c>
      <c r="AL1676" s="118">
        <v>10778825</v>
      </c>
      <c r="AM1676" s="118">
        <v>1443</v>
      </c>
      <c r="AN1676" s="118">
        <v>32432</v>
      </c>
      <c r="AO1676" s="118">
        <v>166</v>
      </c>
      <c r="AP1676" s="118">
        <f t="shared" si="26"/>
        <v>38</v>
      </c>
    </row>
    <row r="1677" spans="1:42" ht="12.75">
      <c r="A1677" s="106">
        <v>2018</v>
      </c>
      <c r="B1677" s="106">
        <v>-227924</v>
      </c>
      <c r="C1677" s="106">
        <v>0</v>
      </c>
      <c r="D1677" s="106">
        <v>227924</v>
      </c>
      <c r="E1677" s="106" t="s">
        <v>4187</v>
      </c>
      <c r="F1677" s="106" t="s">
        <v>2291</v>
      </c>
      <c r="G1677" s="106" t="s">
        <v>60</v>
      </c>
      <c r="H1677" s="106">
        <v>4</v>
      </c>
      <c r="I1677" s="106" t="s">
        <v>24</v>
      </c>
      <c r="J1677" s="106">
        <v>2760</v>
      </c>
      <c r="K1677" s="106">
        <v>4918</v>
      </c>
      <c r="L1677" s="106">
        <v>4074</v>
      </c>
      <c r="M1677" s="106">
        <v>0.54</v>
      </c>
      <c r="N1677" s="106">
        <v>0.06</v>
      </c>
      <c r="O1677" s="106">
        <v>0.11</v>
      </c>
      <c r="P1677" s="106">
        <v>1778</v>
      </c>
      <c r="Q1677" s="106">
        <v>819.29226450405486</v>
      </c>
      <c r="R1677" s="106">
        <v>0.27403252401187367</v>
      </c>
      <c r="S1677" s="106">
        <v>9629.9759045539613</v>
      </c>
      <c r="T1677" s="106">
        <v>9265.1175920149726</v>
      </c>
      <c r="U1677" s="106">
        <v>7619.0516887380345</v>
      </c>
      <c r="V1677" s="106">
        <v>0.28487411434739307</v>
      </c>
      <c r="W1677" s="106">
        <v>72221.869052300433</v>
      </c>
      <c r="X1677" s="110">
        <v>0.51525164130434165</v>
      </c>
      <c r="Y1677" s="106">
        <v>913.81235154394301</v>
      </c>
      <c r="Z1677" s="106">
        <v>30.460807600950119</v>
      </c>
      <c r="AA1677" s="106">
        <v>18746.492489711542</v>
      </c>
      <c r="AB1677" s="106">
        <v>253.97169035877613</v>
      </c>
      <c r="AC1677" s="106">
        <v>5.334331211819066</v>
      </c>
      <c r="AD1677" s="106">
        <v>58.535489667565145</v>
      </c>
      <c r="AE1677" s="106">
        <v>73.813315425940132</v>
      </c>
      <c r="AF1677" s="106"/>
      <c r="AG1677" s="106">
        <v>2580</v>
      </c>
      <c r="AH1677" s="106">
        <v>8354.3247816593885</v>
      </c>
      <c r="AI1677" s="106">
        <v>8362.7075015595765</v>
      </c>
      <c r="AJ1677" s="106">
        <v>9631.9374610106042</v>
      </c>
      <c r="AK1677" s="104">
        <v>9246.5577822832183</v>
      </c>
      <c r="AL1677" s="119">
        <v>69255699</v>
      </c>
      <c r="AM1677" s="118">
        <v>19385</v>
      </c>
      <c r="AN1677" s="118">
        <v>384715</v>
      </c>
      <c r="AO1677" s="118">
        <v>4293</v>
      </c>
      <c r="AP1677" s="118">
        <f t="shared" si="26"/>
        <v>180</v>
      </c>
    </row>
    <row r="1678" spans="1:42" ht="12.75">
      <c r="A1678" s="106">
        <v>2018</v>
      </c>
      <c r="B1678" s="106">
        <v>-123527</v>
      </c>
      <c r="C1678" s="106">
        <v>0</v>
      </c>
      <c r="D1678" s="106">
        <v>123527</v>
      </c>
      <c r="E1678" s="106" t="s">
        <v>4188</v>
      </c>
      <c r="F1678" s="106" t="s">
        <v>560</v>
      </c>
      <c r="G1678" s="106" t="s">
        <v>121</v>
      </c>
      <c r="H1678" s="106">
        <v>4</v>
      </c>
      <c r="I1678" s="106" t="s">
        <v>24</v>
      </c>
      <c r="J1678" s="106">
        <v>1328</v>
      </c>
      <c r="K1678" s="106">
        <v>9327</v>
      </c>
      <c r="L1678" s="106">
        <v>6499</v>
      </c>
      <c r="M1678" s="106">
        <v>0.48</v>
      </c>
      <c r="N1678" s="106">
        <v>0</v>
      </c>
      <c r="O1678" s="106">
        <v>0</v>
      </c>
      <c r="P1678" s="106">
        <v>625</v>
      </c>
      <c r="Q1678" s="106">
        <v>10.747114264534575</v>
      </c>
      <c r="R1678" s="106">
        <v>6.895082773605391E-3</v>
      </c>
      <c r="S1678" s="106">
        <v>16141.753044583289</v>
      </c>
      <c r="T1678" s="106">
        <v>9805.811182886795</v>
      </c>
      <c r="U1678" s="106">
        <v>7274.2465697350699</v>
      </c>
      <c r="V1678" s="106">
        <v>0.21279405794201237</v>
      </c>
      <c r="W1678" s="106">
        <v>103213.44796650717</v>
      </c>
      <c r="X1678" s="110">
        <v>0.62123767937749119</v>
      </c>
      <c r="Y1678" s="106">
        <v>816.36023054755049</v>
      </c>
      <c r="Z1678" s="106">
        <v>27.213256484149856</v>
      </c>
      <c r="AA1678" s="106">
        <v>54430.039903334597</v>
      </c>
      <c r="AB1678" s="106">
        <v>242.48601318853372</v>
      </c>
      <c r="AC1678" s="106">
        <v>1.8372207732640962</v>
      </c>
      <c r="AD1678" s="106">
        <v>16.671070013210041</v>
      </c>
      <c r="AE1678" s="106">
        <v>224.46671949286846</v>
      </c>
      <c r="AF1678" s="106"/>
      <c r="AG1678" s="106">
        <v>0</v>
      </c>
      <c r="AH1678" s="106">
        <v>15335.755903844118</v>
      </c>
      <c r="AI1678" s="106">
        <v>15335.755903844118</v>
      </c>
      <c r="AJ1678" s="106">
        <v>16141.753044583289</v>
      </c>
      <c r="AK1678" s="104">
        <v>8786.2411309965046</v>
      </c>
      <c r="AL1678" s="119">
        <v>66576197</v>
      </c>
      <c r="AM1678" s="118">
        <v>13892</v>
      </c>
      <c r="AN1678" s="118">
        <v>283277</v>
      </c>
      <c r="AO1678" s="118">
        <v>1019</v>
      </c>
      <c r="AP1678" s="118">
        <f t="shared" si="26"/>
        <v>1328</v>
      </c>
    </row>
    <row r="1679" spans="1:42" ht="12.75">
      <c r="A1679" s="106">
        <v>2018</v>
      </c>
      <c r="B1679" s="106">
        <v>-112084</v>
      </c>
      <c r="C1679" s="106">
        <v>0</v>
      </c>
      <c r="D1679" s="106">
        <v>112084</v>
      </c>
      <c r="E1679" s="106" t="s">
        <v>2703</v>
      </c>
      <c r="F1679" s="106" t="s">
        <v>2704</v>
      </c>
      <c r="G1679" s="106" t="s">
        <v>121</v>
      </c>
      <c r="H1679" s="106">
        <v>7</v>
      </c>
      <c r="I1679" s="106" t="s">
        <v>3641</v>
      </c>
      <c r="J1679" s="106">
        <v>22094</v>
      </c>
      <c r="K1679" s="106">
        <v>30212</v>
      </c>
      <c r="L1679" s="106">
        <v>28514</v>
      </c>
      <c r="M1679" s="106">
        <v>0.41</v>
      </c>
      <c r="N1679" s="106">
        <v>0.64</v>
      </c>
      <c r="O1679" s="106">
        <v>0.96</v>
      </c>
      <c r="P1679" s="106">
        <v>11841</v>
      </c>
      <c r="Q1679" s="106">
        <v>6353.3602484472049</v>
      </c>
      <c r="R1679" s="106">
        <v>0.24111009203938413</v>
      </c>
      <c r="S1679" s="106">
        <v>20688.986024844722</v>
      </c>
      <c r="T1679" s="106">
        <v>22201.222049689441</v>
      </c>
      <c r="U1679" s="106">
        <v>15480.681677018634</v>
      </c>
      <c r="V1679" s="106">
        <v>1.2917450009574145</v>
      </c>
      <c r="W1679" s="106">
        <v>51587.907120743039</v>
      </c>
      <c r="X1679" s="110">
        <v>0.38847799981913034</v>
      </c>
      <c r="Y1679" s="106">
        <v>397.47916666666669</v>
      </c>
      <c r="Z1679" s="106">
        <v>13.416666666666666</v>
      </c>
      <c r="AA1679" s="106">
        <v>58644.464705882354</v>
      </c>
      <c r="AB1679" s="106">
        <v>522.54096126631373</v>
      </c>
      <c r="AC1679" s="106">
        <v>1.7051907712266914</v>
      </c>
      <c r="AD1679" s="106">
        <v>29.159519725557459</v>
      </c>
      <c r="AE1679" s="106">
        <v>112.22941176470589</v>
      </c>
      <c r="AF1679" s="106">
        <v>-0.23035417915443374</v>
      </c>
      <c r="AG1679" s="106">
        <v>21057</v>
      </c>
      <c r="AH1679" s="106">
        <v>20266.360248447207</v>
      </c>
      <c r="AI1679" s="106">
        <v>20688.986024844722</v>
      </c>
      <c r="AJ1679" s="106">
        <v>20704.004658385093</v>
      </c>
      <c r="AK1679" s="104">
        <v>15480.681677018634</v>
      </c>
      <c r="AL1679" s="118"/>
      <c r="AM1679" s="118">
        <v>658</v>
      </c>
      <c r="AN1679" s="118">
        <v>19079</v>
      </c>
      <c r="AO1679" s="118">
        <v>149</v>
      </c>
      <c r="AP1679" s="118">
        <f t="shared" si="26"/>
        <v>1037</v>
      </c>
    </row>
    <row r="1680" spans="1:42" ht="12.75">
      <c r="A1680" s="106">
        <v>2018</v>
      </c>
      <c r="B1680" s="106">
        <v>-122339</v>
      </c>
      <c r="C1680" s="106">
        <v>0</v>
      </c>
      <c r="D1680" s="106">
        <v>122339</v>
      </c>
      <c r="E1680" s="106" t="s">
        <v>2705</v>
      </c>
      <c r="F1680" s="106" t="s">
        <v>2475</v>
      </c>
      <c r="G1680" s="106" t="s">
        <v>121</v>
      </c>
      <c r="H1680" s="106">
        <v>4</v>
      </c>
      <c r="I1680" s="106" t="s">
        <v>24</v>
      </c>
      <c r="J1680" s="106">
        <v>1142</v>
      </c>
      <c r="K1680" s="106">
        <v>6980</v>
      </c>
      <c r="L1680" s="106">
        <v>5259</v>
      </c>
      <c r="M1680" s="106">
        <v>0.64</v>
      </c>
      <c r="N1680" s="106">
        <v>0.01</v>
      </c>
      <c r="O1680" s="106">
        <v>0</v>
      </c>
      <c r="P1680" s="106"/>
      <c r="Q1680" s="106">
        <v>1187.9326097328244</v>
      </c>
      <c r="R1680" s="106">
        <v>0.69937743246401296</v>
      </c>
      <c r="S1680" s="106">
        <v>16610.896588740459</v>
      </c>
      <c r="T1680" s="106">
        <v>15658.178315839694</v>
      </c>
      <c r="U1680" s="106">
        <v>8314.5370443453266</v>
      </c>
      <c r="V1680" s="106">
        <v>6.141347851987089E-2</v>
      </c>
      <c r="W1680" s="106">
        <v>152105.12403697995</v>
      </c>
      <c r="X1680" s="110">
        <v>0.50130816497460695</v>
      </c>
      <c r="Y1680" s="106">
        <v>920.23536585365855</v>
      </c>
      <c r="Z1680" s="106">
        <v>30.673170731707319</v>
      </c>
      <c r="AA1680" s="106">
        <v>39540.033227334781</v>
      </c>
      <c r="AB1680" s="106">
        <v>277.13911438268531</v>
      </c>
      <c r="AC1680" s="106">
        <v>2.529082346113662</v>
      </c>
      <c r="AD1680" s="106">
        <v>23.59791192611431</v>
      </c>
      <c r="AE1680" s="106">
        <v>142.67214974475326</v>
      </c>
      <c r="AF1680" s="106">
        <v>-0.37979619011497201</v>
      </c>
      <c r="AG1680" s="106">
        <v>1104</v>
      </c>
      <c r="AH1680" s="106">
        <v>14057.861760496184</v>
      </c>
      <c r="AI1680" s="106">
        <v>14057.861760496184</v>
      </c>
      <c r="AJ1680" s="106">
        <v>16722.603888358779</v>
      </c>
      <c r="AK1680" s="104">
        <v>11408.720300572519</v>
      </c>
      <c r="AL1680" s="118">
        <v>85139706</v>
      </c>
      <c r="AM1680" s="118">
        <v>15569</v>
      </c>
      <c r="AN1680" s="118">
        <v>251531</v>
      </c>
      <c r="AO1680" s="118">
        <v>853</v>
      </c>
      <c r="AP1680" s="118">
        <f t="shared" si="26"/>
        <v>38</v>
      </c>
    </row>
    <row r="1681" spans="1:42" ht="12.75">
      <c r="A1681" s="106">
        <v>2018</v>
      </c>
      <c r="B1681" s="106">
        <v>-122375</v>
      </c>
      <c r="C1681" s="106">
        <v>0</v>
      </c>
      <c r="D1681" s="106">
        <v>122375</v>
      </c>
      <c r="E1681" s="106" t="s">
        <v>2706</v>
      </c>
      <c r="F1681" s="106" t="s">
        <v>2475</v>
      </c>
      <c r="G1681" s="106" t="s">
        <v>121</v>
      </c>
      <c r="H1681" s="106">
        <v>4</v>
      </c>
      <c r="I1681" s="106" t="s">
        <v>24</v>
      </c>
      <c r="J1681" s="106">
        <v>1142</v>
      </c>
      <c r="K1681" s="106">
        <v>7904</v>
      </c>
      <c r="L1681" s="106">
        <v>4718</v>
      </c>
      <c r="M1681" s="106">
        <v>0.46</v>
      </c>
      <c r="N1681" s="106">
        <v>0.02</v>
      </c>
      <c r="O1681" s="106">
        <v>0.12</v>
      </c>
      <c r="P1681" s="106">
        <v>486</v>
      </c>
      <c r="Q1681" s="106">
        <v>825.90328412172346</v>
      </c>
      <c r="R1681" s="106">
        <v>0.63708495204326698</v>
      </c>
      <c r="S1681" s="106">
        <v>11803.843100331425</v>
      </c>
      <c r="T1681" s="106">
        <v>11690.463543235914</v>
      </c>
      <c r="U1681" s="106">
        <v>6784.5840909363142</v>
      </c>
      <c r="V1681" s="106">
        <v>6.934475090252043E-2</v>
      </c>
      <c r="W1681" s="106">
        <v>150430.15330602691</v>
      </c>
      <c r="X1681" s="110">
        <v>0.55214956007758476</v>
      </c>
      <c r="Y1681" s="106">
        <v>1046.2539404553415</v>
      </c>
      <c r="Z1681" s="106">
        <v>34.87565674255692</v>
      </c>
      <c r="AA1681" s="106">
        <v>44480.068341368147</v>
      </c>
      <c r="AB1681" s="106">
        <v>226.15621002443169</v>
      </c>
      <c r="AC1681" s="106">
        <v>2.2481979846014806</v>
      </c>
      <c r="AD1681" s="106">
        <v>15.697674418604651</v>
      </c>
      <c r="AE1681" s="106">
        <v>196.67851851851853</v>
      </c>
      <c r="AF1681" s="106">
        <v>-9.8888360554578919E-2</v>
      </c>
      <c r="AG1681" s="106">
        <v>1104</v>
      </c>
      <c r="AH1681" s="106">
        <v>10275.893341367882</v>
      </c>
      <c r="AI1681" s="106">
        <v>10275.893341367882</v>
      </c>
      <c r="AJ1681" s="106">
        <v>11887.245555890328</v>
      </c>
      <c r="AK1681" s="104">
        <v>8608.9554082554987</v>
      </c>
      <c r="AL1681" s="119">
        <v>100657343</v>
      </c>
      <c r="AM1681" s="118">
        <v>23532</v>
      </c>
      <c r="AN1681" s="118">
        <v>398274</v>
      </c>
      <c r="AO1681" s="118">
        <v>1610</v>
      </c>
      <c r="AP1681" s="118">
        <f t="shared" si="26"/>
        <v>38</v>
      </c>
    </row>
    <row r="1682" spans="1:42" ht="12.75">
      <c r="A1682" s="106">
        <v>2018</v>
      </c>
      <c r="B1682" s="106">
        <v>-122384</v>
      </c>
      <c r="C1682" s="106">
        <v>0</v>
      </c>
      <c r="D1682" s="106">
        <v>122384</v>
      </c>
      <c r="E1682" s="106" t="s">
        <v>2707</v>
      </c>
      <c r="F1682" s="106" t="s">
        <v>2475</v>
      </c>
      <c r="G1682" s="106" t="s">
        <v>121</v>
      </c>
      <c r="H1682" s="106">
        <v>4</v>
      </c>
      <c r="I1682" s="106" t="s">
        <v>24</v>
      </c>
      <c r="J1682" s="106">
        <v>1142</v>
      </c>
      <c r="K1682" s="106">
        <v>8058</v>
      </c>
      <c r="L1682" s="106">
        <v>5493</v>
      </c>
      <c r="M1682" s="106">
        <v>0.37</v>
      </c>
      <c r="N1682" s="106">
        <v>0.01</v>
      </c>
      <c r="O1682" s="106">
        <v>0</v>
      </c>
      <c r="P1682" s="106"/>
      <c r="Q1682" s="106">
        <v>744.27236758136564</v>
      </c>
      <c r="R1682" s="106">
        <v>0.5994933778272612</v>
      </c>
      <c r="S1682" s="106">
        <v>12136.066496490108</v>
      </c>
      <c r="T1682" s="106">
        <v>12131.380855137204</v>
      </c>
      <c r="U1682" s="106">
        <v>7144.7678569377513</v>
      </c>
      <c r="V1682" s="106">
        <v>6.9593564961405646E-2</v>
      </c>
      <c r="W1682" s="106">
        <v>156851.7342945417</v>
      </c>
      <c r="X1682" s="110">
        <v>0.53411904291547685</v>
      </c>
      <c r="Y1682" s="106">
        <v>1124.688995215311</v>
      </c>
      <c r="Z1682" s="106">
        <v>37.488038277511961</v>
      </c>
      <c r="AA1682" s="106">
        <v>28215.350886646815</v>
      </c>
      <c r="AB1682" s="106">
        <v>238.14879672895125</v>
      </c>
      <c r="AC1682" s="106">
        <v>3.544169994615447</v>
      </c>
      <c r="AD1682" s="106">
        <v>27.92006754855052</v>
      </c>
      <c r="AE1682" s="106">
        <v>118.47782258064517</v>
      </c>
      <c r="AF1682" s="106">
        <v>-4.7019449523711045E-2</v>
      </c>
      <c r="AG1682" s="106">
        <v>1104</v>
      </c>
      <c r="AH1682" s="106">
        <v>10614.692405871092</v>
      </c>
      <c r="AI1682" s="106">
        <v>10614.692405871092</v>
      </c>
      <c r="AJ1682" s="106">
        <v>12222.61314613912</v>
      </c>
      <c r="AK1682" s="104">
        <v>8989.716528398214</v>
      </c>
      <c r="AL1682" s="118">
        <v>61643726</v>
      </c>
      <c r="AM1682" s="118">
        <v>15692</v>
      </c>
      <c r="AN1682" s="118">
        <v>235060</v>
      </c>
      <c r="AO1682" s="118">
        <v>1058</v>
      </c>
      <c r="AP1682" s="118">
        <f t="shared" si="26"/>
        <v>38</v>
      </c>
    </row>
    <row r="1683" spans="1:42" ht="12.75">
      <c r="A1683" s="106">
        <v>2018</v>
      </c>
      <c r="B1683" s="106">
        <v>2205</v>
      </c>
      <c r="C1683" s="106">
        <v>1</v>
      </c>
      <c r="D1683" s="106">
        <v>122409</v>
      </c>
      <c r="E1683" s="106" t="s">
        <v>3871</v>
      </c>
      <c r="F1683" s="106" t="s">
        <v>2475</v>
      </c>
      <c r="G1683" s="106" t="s">
        <v>121</v>
      </c>
      <c r="H1683" s="106">
        <v>1</v>
      </c>
      <c r="I1683" s="106" t="s">
        <v>23</v>
      </c>
      <c r="J1683" s="106">
        <v>7460</v>
      </c>
      <c r="K1683" s="106">
        <v>14568</v>
      </c>
      <c r="L1683" s="106">
        <v>9456</v>
      </c>
      <c r="M1683" s="106">
        <v>0.24</v>
      </c>
      <c r="N1683" s="106">
        <v>0.31</v>
      </c>
      <c r="O1683" s="106">
        <v>0.2</v>
      </c>
      <c r="P1683" s="106">
        <v>6677</v>
      </c>
      <c r="Q1683" s="106">
        <v>2224.6249570621117</v>
      </c>
      <c r="R1683" s="106">
        <v>0.20870416365673156</v>
      </c>
      <c r="S1683" s="106">
        <v>22363.121475189706</v>
      </c>
      <c r="T1683" s="106">
        <v>21706.121475189706</v>
      </c>
      <c r="U1683" s="106">
        <v>13493.801582165346</v>
      </c>
      <c r="V1683" s="106">
        <v>0.62507229828925448</v>
      </c>
      <c r="W1683" s="106">
        <v>160107.05475097138</v>
      </c>
      <c r="X1683" s="110">
        <v>0.65208782761026629</v>
      </c>
      <c r="Y1683" s="106">
        <v>802.06230351529018</v>
      </c>
      <c r="Z1683" s="106">
        <v>27.456130322949416</v>
      </c>
      <c r="AA1683" s="106">
        <v>44075.072222121671</v>
      </c>
      <c r="AB1683" s="106">
        <v>461.91869779713437</v>
      </c>
      <c r="AC1683" s="106">
        <v>2.2688561801110132</v>
      </c>
      <c r="AD1683" s="106">
        <v>30.583023988520448</v>
      </c>
      <c r="AE1683" s="106">
        <v>95.417380660954706</v>
      </c>
      <c r="AF1683" s="106">
        <v>0.24121518650927384</v>
      </c>
      <c r="AG1683" s="106">
        <v>5742</v>
      </c>
      <c r="AH1683" s="106">
        <v>22448.374699434782</v>
      </c>
      <c r="AI1683" s="106">
        <v>22986.162914155451</v>
      </c>
      <c r="AJ1683" s="106">
        <v>22501.499234924897</v>
      </c>
      <c r="AK1683" s="104">
        <v>14637.19879461637</v>
      </c>
      <c r="AL1683" s="118">
        <v>284541742</v>
      </c>
      <c r="AM1683" s="118">
        <v>30249</v>
      </c>
      <c r="AN1683" s="118">
        <v>935472</v>
      </c>
      <c r="AO1683" s="118">
        <v>7784</v>
      </c>
      <c r="AP1683" s="118">
        <f t="shared" si="26"/>
        <v>1718</v>
      </c>
    </row>
    <row r="1684" spans="1:42" ht="12.75">
      <c r="A1684" s="106">
        <v>2018</v>
      </c>
      <c r="B1684" s="106">
        <v>-122597</v>
      </c>
      <c r="C1684" s="106">
        <v>0</v>
      </c>
      <c r="D1684" s="106">
        <v>122597</v>
      </c>
      <c r="E1684" s="106" t="s">
        <v>2708</v>
      </c>
      <c r="F1684" s="106" t="s">
        <v>530</v>
      </c>
      <c r="G1684" s="106" t="s">
        <v>121</v>
      </c>
      <c r="H1684" s="106">
        <v>1</v>
      </c>
      <c r="I1684" s="106" t="s">
        <v>23</v>
      </c>
      <c r="J1684" s="106">
        <v>7254</v>
      </c>
      <c r="K1684" s="106">
        <v>14964</v>
      </c>
      <c r="L1684" s="106">
        <v>11189</v>
      </c>
      <c r="M1684" s="106">
        <v>0.51</v>
      </c>
      <c r="N1684" s="106">
        <v>0.42</v>
      </c>
      <c r="O1684" s="106">
        <v>0.48</v>
      </c>
      <c r="P1684" s="106">
        <v>5669</v>
      </c>
      <c r="Q1684" s="106">
        <v>2535.4229136107465</v>
      </c>
      <c r="R1684" s="106">
        <v>0.25878897459669309</v>
      </c>
      <c r="S1684" s="106">
        <v>23738.448197328806</v>
      </c>
      <c r="T1684" s="106">
        <v>23820.063498803367</v>
      </c>
      <c r="U1684" s="106">
        <v>13302.651062142622</v>
      </c>
      <c r="V1684" s="106">
        <v>0.54589398939014766</v>
      </c>
      <c r="W1684" s="106">
        <v>154508.1845291194</v>
      </c>
      <c r="X1684" s="110">
        <v>0.65492355629914778</v>
      </c>
      <c r="Y1684" s="106">
        <v>673.20424403183029</v>
      </c>
      <c r="Z1684" s="106">
        <v>22.905393457117594</v>
      </c>
      <c r="AA1684" s="106">
        <v>46363.309352329721</v>
      </c>
      <c r="AB1684" s="106">
        <v>452.61517481864422</v>
      </c>
      <c r="AC1684" s="106">
        <v>2.1568779579573967</v>
      </c>
      <c r="AD1684" s="106">
        <v>28.14997159628858</v>
      </c>
      <c r="AE1684" s="106">
        <v>102.43427956410602</v>
      </c>
      <c r="AF1684" s="106">
        <v>6.1156203877601361E-3</v>
      </c>
      <c r="AG1684" s="106">
        <v>5742</v>
      </c>
      <c r="AH1684" s="106">
        <v>23439.088126302788</v>
      </c>
      <c r="AI1684" s="106">
        <v>23550.712614838263</v>
      </c>
      <c r="AJ1684" s="106">
        <v>23806.544854473868</v>
      </c>
      <c r="AK1684" s="104">
        <v>16456.845595614916</v>
      </c>
      <c r="AL1684" s="118">
        <v>254022449</v>
      </c>
      <c r="AM1684" s="118">
        <v>26680</v>
      </c>
      <c r="AN1684" s="118">
        <v>761394</v>
      </c>
      <c r="AO1684" s="118">
        <v>6288</v>
      </c>
      <c r="AP1684" s="118">
        <f t="shared" si="26"/>
        <v>1512</v>
      </c>
    </row>
    <row r="1685" spans="1:42" ht="12.75">
      <c r="A1685" s="106">
        <v>2018</v>
      </c>
      <c r="B1685" s="106">
        <v>1510</v>
      </c>
      <c r="C1685" s="106">
        <v>1</v>
      </c>
      <c r="D1685" s="106">
        <v>227979</v>
      </c>
      <c r="E1685" s="106" t="s">
        <v>3872</v>
      </c>
      <c r="F1685" s="106" t="s">
        <v>532</v>
      </c>
      <c r="G1685" s="106" t="s">
        <v>60</v>
      </c>
      <c r="H1685" s="106">
        <v>4</v>
      </c>
      <c r="I1685" s="106" t="s">
        <v>24</v>
      </c>
      <c r="J1685" s="106">
        <v>1500</v>
      </c>
      <c r="K1685" s="106">
        <v>8790</v>
      </c>
      <c r="L1685" s="106">
        <v>8225</v>
      </c>
      <c r="M1685" s="106">
        <v>0.39</v>
      </c>
      <c r="N1685" s="106">
        <v>0.04</v>
      </c>
      <c r="O1685" s="106">
        <v>0.02</v>
      </c>
      <c r="P1685" s="106">
        <v>1123</v>
      </c>
      <c r="Q1685" s="106">
        <v>234.25195652173912</v>
      </c>
      <c r="R1685" s="106">
        <v>5.4310006011490275E-2</v>
      </c>
      <c r="S1685" s="106">
        <v>17557.947608695653</v>
      </c>
      <c r="T1685" s="106">
        <v>17610.738550724636</v>
      </c>
      <c r="U1685" s="106">
        <v>14438.171308330686</v>
      </c>
      <c r="V1685" s="106">
        <v>0.28251400351210748</v>
      </c>
      <c r="W1685" s="106">
        <v>73437.434166973151</v>
      </c>
      <c r="X1685" s="110">
        <v>0.54774546074062058</v>
      </c>
      <c r="Y1685" s="106">
        <v>369.77470785262369</v>
      </c>
      <c r="Z1685" s="106">
        <v>15.40751767770748</v>
      </c>
      <c r="AA1685" s="106">
        <v>27174.95418098247</v>
      </c>
      <c r="AB1685" s="106">
        <v>601.59977127352772</v>
      </c>
      <c r="AC1685" s="106">
        <v>3.6798590103964859</v>
      </c>
      <c r="AD1685" s="106">
        <v>49.053321736803376</v>
      </c>
      <c r="AE1685" s="106">
        <v>45.171151118385161</v>
      </c>
      <c r="AF1685" s="106">
        <v>1.6237383020180723E-2</v>
      </c>
      <c r="AG1685" s="106">
        <v>1200</v>
      </c>
      <c r="AH1685" s="106">
        <v>16182.085942028985</v>
      </c>
      <c r="AI1685" s="106">
        <v>16182.085942028985</v>
      </c>
      <c r="AJ1685" s="106">
        <v>17804.091014492755</v>
      </c>
      <c r="AK1685" s="104">
        <v>17273.936231884058</v>
      </c>
      <c r="AL1685" s="119">
        <v>146385112</v>
      </c>
      <c r="AM1685" s="118">
        <v>30509</v>
      </c>
      <c r="AN1685" s="118">
        <v>331194.88</v>
      </c>
      <c r="AO1685" s="118">
        <v>4746</v>
      </c>
      <c r="AP1685" s="118">
        <f t="shared" si="26"/>
        <v>300</v>
      </c>
    </row>
    <row r="1686" spans="1:42" ht="12.75">
      <c r="A1686" s="106">
        <v>2018</v>
      </c>
      <c r="B1686" s="106">
        <v>-122658</v>
      </c>
      <c r="C1686" s="106">
        <v>0</v>
      </c>
      <c r="D1686" s="106">
        <v>122658</v>
      </c>
      <c r="E1686" s="106" t="s">
        <v>2709</v>
      </c>
      <c r="F1686" s="106" t="s">
        <v>1531</v>
      </c>
      <c r="G1686" s="106" t="s">
        <v>121</v>
      </c>
      <c r="H1686" s="106">
        <v>4</v>
      </c>
      <c r="I1686" s="106" t="s">
        <v>24</v>
      </c>
      <c r="J1686" s="106">
        <v>1104</v>
      </c>
      <c r="K1686" s="106">
        <v>12059</v>
      </c>
      <c r="L1686" s="106">
        <v>10012</v>
      </c>
      <c r="M1686" s="106">
        <v>0.54</v>
      </c>
      <c r="N1686" s="106">
        <v>0.14000000000000001</v>
      </c>
      <c r="O1686" s="106">
        <v>0</v>
      </c>
      <c r="P1686" s="106"/>
      <c r="Q1686" s="106">
        <v>116.68736310025274</v>
      </c>
      <c r="R1686" s="106">
        <v>7.4136994246601542E-2</v>
      </c>
      <c r="S1686" s="106">
        <v>14217.911373209772</v>
      </c>
      <c r="T1686" s="106">
        <v>14547.253159224936</v>
      </c>
      <c r="U1686" s="106">
        <v>8458.2282581302679</v>
      </c>
      <c r="V1686" s="106">
        <v>0.17228845715793337</v>
      </c>
      <c r="W1686" s="106">
        <v>93555.514498757257</v>
      </c>
      <c r="X1686" s="110">
        <v>0.4359670699839141</v>
      </c>
      <c r="Y1686" s="106">
        <v>911.4880546075085</v>
      </c>
      <c r="Z1686" s="106">
        <v>30.383959044368599</v>
      </c>
      <c r="AA1686" s="106">
        <v>28401.46235474011</v>
      </c>
      <c r="AB1686" s="106">
        <v>281.95044321630127</v>
      </c>
      <c r="AC1686" s="106">
        <v>3.5209454622786467</v>
      </c>
      <c r="AD1686" s="106">
        <v>34.420642648490748</v>
      </c>
      <c r="AE1686" s="106">
        <v>100.73210749646393</v>
      </c>
      <c r="AF1686" s="106">
        <v>0.34139990669569636</v>
      </c>
      <c r="AG1686" s="106">
        <v>1104</v>
      </c>
      <c r="AH1686" s="106">
        <v>13003.6550126369</v>
      </c>
      <c r="AI1686" s="106">
        <v>13003.6550126369</v>
      </c>
      <c r="AJ1686" s="106">
        <v>14237.350716090985</v>
      </c>
      <c r="AK1686" s="104">
        <v>10001.420640269587</v>
      </c>
      <c r="AL1686" s="118">
        <v>86647179</v>
      </c>
      <c r="AM1686" s="118">
        <v>17849</v>
      </c>
      <c r="AN1686" s="118">
        <v>356088</v>
      </c>
      <c r="AO1686" s="118">
        <v>2785</v>
      </c>
      <c r="AP1686" s="118">
        <f t="shared" si="26"/>
        <v>0</v>
      </c>
    </row>
    <row r="1687" spans="1:42" ht="12.75">
      <c r="A1687" s="106">
        <v>2018</v>
      </c>
      <c r="B1687" s="106">
        <v>-122746</v>
      </c>
      <c r="C1687" s="106">
        <v>0</v>
      </c>
      <c r="D1687" s="106">
        <v>122746</v>
      </c>
      <c r="E1687" s="106" t="s">
        <v>4189</v>
      </c>
      <c r="F1687" s="106" t="s">
        <v>1203</v>
      </c>
      <c r="G1687" s="106" t="s">
        <v>121</v>
      </c>
      <c r="H1687" s="106">
        <v>4</v>
      </c>
      <c r="I1687" s="106" t="s">
        <v>24</v>
      </c>
      <c r="J1687" s="106">
        <v>1399</v>
      </c>
      <c r="K1687" s="106">
        <v>12970</v>
      </c>
      <c r="L1687" s="106">
        <v>9858</v>
      </c>
      <c r="M1687" s="106">
        <v>0.37</v>
      </c>
      <c r="N1687" s="106">
        <v>0.01</v>
      </c>
      <c r="O1687" s="106">
        <v>0.01</v>
      </c>
      <c r="P1687" s="106">
        <v>429</v>
      </c>
      <c r="Q1687" s="106">
        <v>930.44730918764071</v>
      </c>
      <c r="R1687" s="106">
        <v>0.45413471086951029</v>
      </c>
      <c r="S1687" s="106">
        <v>14397.54716595048</v>
      </c>
      <c r="T1687" s="106">
        <v>19672.973194188664</v>
      </c>
      <c r="U1687" s="106">
        <v>17986.29957028852</v>
      </c>
      <c r="V1687" s="106">
        <v>6.2180003637354611E-2</v>
      </c>
      <c r="W1687" s="106">
        <v>173329.66666666666</v>
      </c>
      <c r="X1687" s="110">
        <v>0.6273931989221756</v>
      </c>
      <c r="Y1687" s="106">
        <v>701.42583732057415</v>
      </c>
      <c r="Z1687" s="106">
        <v>23.382775119617225</v>
      </c>
      <c r="AA1687" s="106">
        <v>68563.998439937597</v>
      </c>
      <c r="AB1687" s="106">
        <v>599.5923955306348</v>
      </c>
      <c r="AC1687" s="106">
        <v>1.4584913697470618</v>
      </c>
      <c r="AD1687" s="106">
        <v>28.163444639718804</v>
      </c>
      <c r="AE1687" s="106">
        <v>114.35101404056162</v>
      </c>
      <c r="AF1687" s="106"/>
      <c r="AG1687" s="106">
        <v>1356</v>
      </c>
      <c r="AH1687" s="106">
        <v>13007.566605279313</v>
      </c>
      <c r="AI1687" s="106">
        <v>13007.566605279313</v>
      </c>
      <c r="AJ1687" s="106">
        <v>14626.963986085533</v>
      </c>
      <c r="AK1687" s="104">
        <v>19672.973194188664</v>
      </c>
      <c r="AL1687" s="118">
        <v>42543098</v>
      </c>
      <c r="AM1687" s="118">
        <v>9336</v>
      </c>
      <c r="AN1687" s="118">
        <v>146598</v>
      </c>
      <c r="AO1687" s="118">
        <v>668</v>
      </c>
      <c r="AP1687" s="118">
        <f t="shared" si="26"/>
        <v>43</v>
      </c>
    </row>
    <row r="1688" spans="1:42" ht="12.75">
      <c r="A1688" s="106">
        <v>2018</v>
      </c>
      <c r="B1688" s="106">
        <v>-122755</v>
      </c>
      <c r="C1688" s="106">
        <v>0</v>
      </c>
      <c r="D1688" s="106">
        <v>122755</v>
      </c>
      <c r="E1688" s="106" t="s">
        <v>2710</v>
      </c>
      <c r="F1688" s="106" t="s">
        <v>1203</v>
      </c>
      <c r="G1688" s="106" t="s">
        <v>121</v>
      </c>
      <c r="H1688" s="106">
        <v>2</v>
      </c>
      <c r="I1688" s="106" t="s">
        <v>25</v>
      </c>
      <c r="J1688" s="106">
        <v>7721</v>
      </c>
      <c r="K1688" s="106">
        <v>14519</v>
      </c>
      <c r="L1688" s="106">
        <v>11033</v>
      </c>
      <c r="M1688" s="106">
        <v>0.43</v>
      </c>
      <c r="N1688" s="106">
        <v>0.38</v>
      </c>
      <c r="O1688" s="106">
        <v>0.41</v>
      </c>
      <c r="P1688" s="106">
        <v>6526</v>
      </c>
      <c r="Q1688" s="106">
        <v>2039.1382707660948</v>
      </c>
      <c r="R1688" s="106">
        <v>0.20138789874571836</v>
      </c>
      <c r="S1688" s="106">
        <v>21511.733106845593</v>
      </c>
      <c r="T1688" s="106">
        <v>22480.296347885171</v>
      </c>
      <c r="U1688" s="106">
        <v>13767.838372616852</v>
      </c>
      <c r="V1688" s="106">
        <v>0.5873316880853553</v>
      </c>
      <c r="W1688" s="106">
        <v>157017.54650565263</v>
      </c>
      <c r="X1688" s="110">
        <v>0.615692250486927</v>
      </c>
      <c r="Y1688" s="106">
        <v>739.38161318300092</v>
      </c>
      <c r="Z1688" s="106">
        <v>25.529054640069383</v>
      </c>
      <c r="AA1688" s="106">
        <v>41809.173888164347</v>
      </c>
      <c r="AB1688" s="106">
        <v>475.37008200281878</v>
      </c>
      <c r="AC1688" s="106">
        <v>2.3918195625555936</v>
      </c>
      <c r="AD1688" s="106">
        <v>31.623764314378001</v>
      </c>
      <c r="AE1688" s="106">
        <v>87.950789229340756</v>
      </c>
      <c r="AF1688" s="106">
        <v>-0.46051155923772291</v>
      </c>
      <c r="AG1688" s="106">
        <v>5742</v>
      </c>
      <c r="AH1688" s="106">
        <v>21516.150161372516</v>
      </c>
      <c r="AI1688" s="106">
        <v>21707.641039578732</v>
      </c>
      <c r="AJ1688" s="106">
        <v>21635.351758111094</v>
      </c>
      <c r="AK1688" s="104">
        <v>15232.112179378291</v>
      </c>
      <c r="AL1688" s="119">
        <v>240961874</v>
      </c>
      <c r="AM1688" s="118">
        <v>27778</v>
      </c>
      <c r="AN1688" s="118">
        <v>852507</v>
      </c>
      <c r="AO1688" s="118">
        <v>6691</v>
      </c>
      <c r="AP1688" s="118">
        <f t="shared" si="26"/>
        <v>1979</v>
      </c>
    </row>
    <row r="1689" spans="1:42" ht="12.75">
      <c r="A1689" s="106">
        <v>2018</v>
      </c>
      <c r="B1689" s="106">
        <v>-188100</v>
      </c>
      <c r="C1689" s="106">
        <v>0</v>
      </c>
      <c r="D1689" s="106">
        <v>188100</v>
      </c>
      <c r="E1689" s="106" t="s">
        <v>2711</v>
      </c>
      <c r="F1689" s="106" t="s">
        <v>2712</v>
      </c>
      <c r="G1689" s="106" t="s">
        <v>674</v>
      </c>
      <c r="H1689" s="106">
        <v>4</v>
      </c>
      <c r="I1689" s="106" t="s">
        <v>24</v>
      </c>
      <c r="J1689" s="106">
        <v>1474</v>
      </c>
      <c r="K1689" s="106">
        <v>5796</v>
      </c>
      <c r="L1689" s="106">
        <v>3997</v>
      </c>
      <c r="M1689" s="106">
        <v>0.59</v>
      </c>
      <c r="N1689" s="106">
        <v>7.0000000000000007E-2</v>
      </c>
      <c r="O1689" s="106">
        <v>0.35</v>
      </c>
      <c r="P1689" s="106">
        <v>887</v>
      </c>
      <c r="Q1689" s="106">
        <v>777.63694548664751</v>
      </c>
      <c r="R1689" s="106">
        <v>0.30040691445077033</v>
      </c>
      <c r="S1689" s="106">
        <v>15365.072390200839</v>
      </c>
      <c r="T1689" s="106">
        <v>18157.150077245642</v>
      </c>
      <c r="U1689" s="106">
        <v>11239.528668255445</v>
      </c>
      <c r="V1689" s="106">
        <v>0.16112553418791145</v>
      </c>
      <c r="W1689" s="106">
        <v>67943.645886561062</v>
      </c>
      <c r="X1689" s="110">
        <v>0.53873683820795681</v>
      </c>
      <c r="Y1689" s="106">
        <v>507.79576587795765</v>
      </c>
      <c r="Z1689" s="106">
        <v>16.927770859277707</v>
      </c>
      <c r="AA1689" s="106">
        <v>30901.883735355234</v>
      </c>
      <c r="AB1689" s="106">
        <v>374.67851968706168</v>
      </c>
      <c r="AC1689" s="106">
        <v>3.2360486776923811</v>
      </c>
      <c r="AD1689" s="106">
        <v>41.303258145363408</v>
      </c>
      <c r="AE1689" s="106">
        <v>82.475728155339809</v>
      </c>
      <c r="AF1689" s="106">
        <v>3.3813793573177966</v>
      </c>
      <c r="AG1689" s="106">
        <v>1104</v>
      </c>
      <c r="AH1689" s="106">
        <v>13399.688810417127</v>
      </c>
      <c r="AI1689" s="106">
        <v>13399.688810417127</v>
      </c>
      <c r="AJ1689" s="106">
        <v>15388.217612006179</v>
      </c>
      <c r="AK1689" s="104">
        <v>14006.422202604281</v>
      </c>
      <c r="AL1689" s="118">
        <v>40138784</v>
      </c>
      <c r="AM1689" s="118">
        <v>7030</v>
      </c>
      <c r="AN1689" s="118">
        <v>135920</v>
      </c>
      <c r="AO1689" s="118">
        <v>827</v>
      </c>
      <c r="AP1689" s="118">
        <f t="shared" si="26"/>
        <v>370</v>
      </c>
    </row>
    <row r="1690" spans="1:42" ht="12.75">
      <c r="A1690" s="106">
        <v>2018</v>
      </c>
      <c r="B1690" s="106">
        <v>-199634</v>
      </c>
      <c r="C1690" s="106">
        <v>0</v>
      </c>
      <c r="D1690" s="106">
        <v>199634</v>
      </c>
      <c r="E1690" s="106" t="s">
        <v>2713</v>
      </c>
      <c r="F1690" s="106" t="s">
        <v>2714</v>
      </c>
      <c r="G1690" s="106" t="s">
        <v>90</v>
      </c>
      <c r="H1690" s="106">
        <v>4</v>
      </c>
      <c r="I1690" s="106" t="s">
        <v>24</v>
      </c>
      <c r="J1690" s="106">
        <v>2598</v>
      </c>
      <c r="K1690" s="106">
        <v>8867</v>
      </c>
      <c r="L1690" s="106">
        <v>8014</v>
      </c>
      <c r="M1690" s="106">
        <v>0.56000000000000005</v>
      </c>
      <c r="N1690" s="106">
        <v>0</v>
      </c>
      <c r="O1690" s="106">
        <v>0.27</v>
      </c>
      <c r="P1690" s="106">
        <v>1796</v>
      </c>
      <c r="Q1690" s="106">
        <v>377.99145603417588</v>
      </c>
      <c r="R1690" s="106">
        <v>0.15475810128368223</v>
      </c>
      <c r="S1690" s="106">
        <v>12622.920256318976</v>
      </c>
      <c r="T1690" s="106">
        <v>13603.510501957991</v>
      </c>
      <c r="U1690" s="106">
        <v>9428.2773228907081</v>
      </c>
      <c r="V1690" s="106">
        <v>0.21896628953500319</v>
      </c>
      <c r="W1690" s="106">
        <v>73202.702127659577</v>
      </c>
      <c r="X1690" s="110">
        <v>0.81033527432464669</v>
      </c>
      <c r="Y1690" s="106">
        <v>353.53006993006994</v>
      </c>
      <c r="Z1690" s="106">
        <v>11.786013986013987</v>
      </c>
      <c r="AA1690" s="106">
        <v>32940.33706467662</v>
      </c>
      <c r="AB1690" s="106">
        <v>314.32066984737355</v>
      </c>
      <c r="AC1690" s="106">
        <v>3.0357916436512253</v>
      </c>
      <c r="AD1690" s="106">
        <v>33.569937369519835</v>
      </c>
      <c r="AE1690" s="106">
        <v>104.79850746268657</v>
      </c>
      <c r="AF1690" s="106">
        <v>1.5515475653625217E-2</v>
      </c>
      <c r="AG1690" s="106">
        <v>2432</v>
      </c>
      <c r="AH1690" s="106">
        <v>10445.402278390886</v>
      </c>
      <c r="AI1690" s="106">
        <v>11167.898540405839</v>
      </c>
      <c r="AJ1690" s="106">
        <v>13314.937700249198</v>
      </c>
      <c r="AK1690" s="104">
        <v>11113.252046991813</v>
      </c>
      <c r="AL1690" s="118">
        <v>21855838</v>
      </c>
      <c r="AM1690" s="118">
        <v>4206</v>
      </c>
      <c r="AN1690" s="118">
        <v>84258</v>
      </c>
      <c r="AO1690" s="118">
        <v>560</v>
      </c>
      <c r="AP1690" s="118">
        <f t="shared" si="26"/>
        <v>166</v>
      </c>
    </row>
    <row r="1691" spans="1:42" ht="12.75">
      <c r="A1691" s="106">
        <v>2018</v>
      </c>
      <c r="B1691" s="106">
        <v>-121619</v>
      </c>
      <c r="C1691" s="106">
        <v>0</v>
      </c>
      <c r="D1691" s="106">
        <v>121619</v>
      </c>
      <c r="E1691" s="106" t="s">
        <v>4190</v>
      </c>
      <c r="F1691" s="106" t="s">
        <v>2715</v>
      </c>
      <c r="G1691" s="106" t="s">
        <v>121</v>
      </c>
      <c r="H1691" s="106">
        <v>4</v>
      </c>
      <c r="I1691" s="106" t="s">
        <v>24</v>
      </c>
      <c r="J1691" s="106">
        <v>1142</v>
      </c>
      <c r="K1691" s="106">
        <v>6683</v>
      </c>
      <c r="L1691" s="106">
        <v>3966</v>
      </c>
      <c r="M1691" s="106">
        <v>0.51</v>
      </c>
      <c r="N1691" s="106">
        <v>0</v>
      </c>
      <c r="O1691" s="106">
        <v>0.01</v>
      </c>
      <c r="P1691" s="106">
        <v>1150</v>
      </c>
      <c r="Q1691" s="106"/>
      <c r="R1691" s="106"/>
      <c r="S1691" s="106">
        <v>15018.182086878638</v>
      </c>
      <c r="T1691" s="106">
        <v>14613.08078817734</v>
      </c>
      <c r="U1691" s="106">
        <v>12122.900023970653</v>
      </c>
      <c r="V1691" s="106">
        <v>0.13826708347361588</v>
      </c>
      <c r="W1691" s="106">
        <v>127081.9506781751</v>
      </c>
      <c r="X1691" s="110">
        <v>0.63169030866694553</v>
      </c>
      <c r="Y1691" s="106">
        <v>723.92291066282428</v>
      </c>
      <c r="Z1691" s="106">
        <v>24.131844380403461</v>
      </c>
      <c r="AA1691" s="106">
        <v>10537.343617565772</v>
      </c>
      <c r="AB1691" s="106">
        <v>404.11476485775552</v>
      </c>
      <c r="AC1691" s="106">
        <v>9.4900578010286978</v>
      </c>
      <c r="AD1691" s="106">
        <v>88.009592326139085</v>
      </c>
      <c r="AE1691" s="106">
        <v>26.075126508369014</v>
      </c>
      <c r="AF1691" s="106"/>
      <c r="AG1691" s="106">
        <v>1104</v>
      </c>
      <c r="AH1691" s="106">
        <v>14553.921271831618</v>
      </c>
      <c r="AI1691" s="106">
        <v>14553.921271831618</v>
      </c>
      <c r="AJ1691" s="106">
        <v>15135.773936408419</v>
      </c>
      <c r="AK1691" s="104">
        <v>13147.217823555755</v>
      </c>
      <c r="AL1691" s="119">
        <v>94359586</v>
      </c>
      <c r="AM1691" s="118">
        <v>28083</v>
      </c>
      <c r="AN1691" s="118">
        <v>334935</v>
      </c>
      <c r="AO1691" s="118">
        <v>2850</v>
      </c>
      <c r="AP1691" s="118">
        <f t="shared" si="26"/>
        <v>38</v>
      </c>
    </row>
    <row r="1692" spans="1:42" ht="12.75">
      <c r="A1692" s="106">
        <v>2018</v>
      </c>
      <c r="B1692" s="106">
        <v>-122889</v>
      </c>
      <c r="C1692" s="106">
        <v>0</v>
      </c>
      <c r="D1692" s="106">
        <v>122889</v>
      </c>
      <c r="E1692" s="106" t="s">
        <v>2716</v>
      </c>
      <c r="F1692" s="106" t="s">
        <v>180</v>
      </c>
      <c r="G1692" s="106" t="s">
        <v>121</v>
      </c>
      <c r="H1692" s="106">
        <v>4</v>
      </c>
      <c r="I1692" s="106" t="s">
        <v>24</v>
      </c>
      <c r="J1692" s="106">
        <v>1466</v>
      </c>
      <c r="K1692" s="106">
        <v>10214</v>
      </c>
      <c r="L1692" s="106">
        <v>7244</v>
      </c>
      <c r="M1692" s="106">
        <v>0.21</v>
      </c>
      <c r="N1692" s="106">
        <v>0.1</v>
      </c>
      <c r="O1692" s="106">
        <v>0.14000000000000001</v>
      </c>
      <c r="P1692" s="106">
        <v>1490</v>
      </c>
      <c r="Q1692" s="106">
        <v>1641.8194141193596</v>
      </c>
      <c r="R1692" s="106">
        <v>0.57013075469617835</v>
      </c>
      <c r="S1692" s="106">
        <v>15343.10134643377</v>
      </c>
      <c r="T1692" s="106">
        <v>16166.428129548764</v>
      </c>
      <c r="U1692" s="106">
        <v>12166.33948917039</v>
      </c>
      <c r="V1692" s="106">
        <v>0.10174834690094758</v>
      </c>
      <c r="W1692" s="106">
        <v>117290.60767423648</v>
      </c>
      <c r="X1692" s="110">
        <v>0.56191688057703193</v>
      </c>
      <c r="Y1692" s="106">
        <v>646.56274509803927</v>
      </c>
      <c r="Z1692" s="106">
        <v>21.55294117647059</v>
      </c>
      <c r="AA1692" s="106">
        <v>36114.610765584912</v>
      </c>
      <c r="AB1692" s="106">
        <v>405.56063789802766</v>
      </c>
      <c r="AC1692" s="106">
        <v>2.7689624193677891</v>
      </c>
      <c r="AD1692" s="106">
        <v>37.689567430025441</v>
      </c>
      <c r="AE1692" s="106">
        <v>89.048609235754796</v>
      </c>
      <c r="AF1692" s="106">
        <v>-0.12673324159329113</v>
      </c>
      <c r="AG1692" s="106">
        <v>1380</v>
      </c>
      <c r="AH1692" s="106">
        <v>13013.517740174673</v>
      </c>
      <c r="AI1692" s="106">
        <v>13013.517740174673</v>
      </c>
      <c r="AJ1692" s="106">
        <v>15412.434679767104</v>
      </c>
      <c r="AK1692" s="104">
        <v>15132.2096069869</v>
      </c>
      <c r="AL1692" s="119">
        <v>56300433</v>
      </c>
      <c r="AM1692" s="118">
        <v>16385</v>
      </c>
      <c r="AN1692" s="118">
        <v>329747</v>
      </c>
      <c r="AO1692" s="118">
        <v>2228</v>
      </c>
      <c r="AP1692" s="118">
        <f t="shared" si="26"/>
        <v>86</v>
      </c>
    </row>
    <row r="1693" spans="1:42" ht="12.75">
      <c r="A1693" s="106">
        <v>2018</v>
      </c>
      <c r="B1693" s="106">
        <v>2900</v>
      </c>
      <c r="C1693" s="106">
        <v>1</v>
      </c>
      <c r="D1693" s="106">
        <v>122931</v>
      </c>
      <c r="E1693" s="106" t="s">
        <v>3873</v>
      </c>
      <c r="F1693" s="106" t="s">
        <v>2021</v>
      </c>
      <c r="G1693" s="106" t="s">
        <v>121</v>
      </c>
      <c r="H1693" s="106">
        <v>6</v>
      </c>
      <c r="I1693" s="106" t="s">
        <v>3640</v>
      </c>
      <c r="J1693" s="106">
        <v>49858</v>
      </c>
      <c r="K1693" s="106">
        <v>41545</v>
      </c>
      <c r="L1693" s="106">
        <v>21208</v>
      </c>
      <c r="M1693" s="106">
        <v>0.1</v>
      </c>
      <c r="N1693" s="106">
        <v>0.34</v>
      </c>
      <c r="O1693" s="106">
        <v>0.72</v>
      </c>
      <c r="P1693" s="106">
        <v>25905</v>
      </c>
      <c r="Q1693" s="106">
        <v>13002.148906585766</v>
      </c>
      <c r="R1693" s="106">
        <v>0.2856182889004279</v>
      </c>
      <c r="S1693" s="106">
        <v>47037.28984957654</v>
      </c>
      <c r="T1693" s="106">
        <v>47310.453798508403</v>
      </c>
      <c r="U1693" s="106">
        <v>39642.96446988469</v>
      </c>
      <c r="V1693" s="106">
        <v>0.82033893932955104</v>
      </c>
      <c r="W1693" s="106">
        <v>130873.62413371382</v>
      </c>
      <c r="X1693" s="110">
        <v>0.57183392870979211</v>
      </c>
      <c r="Y1693" s="106">
        <v>529.45087001023535</v>
      </c>
      <c r="Z1693" s="106">
        <v>12.145854657113613</v>
      </c>
      <c r="AA1693" s="106">
        <v>119654.89962657681</v>
      </c>
      <c r="AB1693" s="106">
        <v>909.42845106483651</v>
      </c>
      <c r="AC1693" s="106">
        <v>0.8357367756112245</v>
      </c>
      <c r="AD1693" s="106">
        <v>33.346055979643765</v>
      </c>
      <c r="AE1693" s="106">
        <v>131.57153758107592</v>
      </c>
      <c r="AF1693" s="106">
        <v>6.5178697970998206E-2</v>
      </c>
      <c r="AG1693" s="106">
        <v>49233</v>
      </c>
      <c r="AH1693" s="106">
        <v>40479.206168625962</v>
      </c>
      <c r="AI1693" s="106">
        <v>47037.28984957654</v>
      </c>
      <c r="AJ1693" s="106">
        <v>60018.07609657439</v>
      </c>
      <c r="AK1693" s="104">
        <v>43071.419542409305</v>
      </c>
      <c r="AL1693" s="118"/>
      <c r="AM1693" s="118">
        <v>5501</v>
      </c>
      <c r="AN1693" s="118">
        <v>344849</v>
      </c>
      <c r="AO1693" s="118">
        <v>1412</v>
      </c>
      <c r="AP1693" s="118">
        <f t="shared" si="26"/>
        <v>625</v>
      </c>
    </row>
    <row r="1694" spans="1:42" ht="12.75">
      <c r="A1694" s="106">
        <v>2018</v>
      </c>
      <c r="B1694" s="106">
        <v>-137096</v>
      </c>
      <c r="C1694" s="106">
        <v>0</v>
      </c>
      <c r="D1694" s="106">
        <v>137096</v>
      </c>
      <c r="E1694" s="106" t="s">
        <v>2717</v>
      </c>
      <c r="F1694" s="106" t="s">
        <v>438</v>
      </c>
      <c r="G1694" s="106" t="s">
        <v>258</v>
      </c>
      <c r="H1694" s="106">
        <v>4</v>
      </c>
      <c r="I1694" s="106" t="s">
        <v>24</v>
      </c>
      <c r="J1694" s="106">
        <v>2563</v>
      </c>
      <c r="K1694" s="106">
        <v>11244</v>
      </c>
      <c r="L1694" s="106">
        <v>11363</v>
      </c>
      <c r="M1694" s="106">
        <v>0.4</v>
      </c>
      <c r="N1694" s="106">
        <v>0.2</v>
      </c>
      <c r="O1694" s="106">
        <v>0.04</v>
      </c>
      <c r="P1694" s="106">
        <v>1423</v>
      </c>
      <c r="Q1694" s="106">
        <v>250.87837083875766</v>
      </c>
      <c r="R1694" s="106">
        <v>7.2187895420924186E-2</v>
      </c>
      <c r="S1694" s="106">
        <v>9905.7303328993858</v>
      </c>
      <c r="T1694" s="106">
        <v>10985.417891017296</v>
      </c>
      <c r="U1694" s="106">
        <v>8823.3706775530609</v>
      </c>
      <c r="V1694" s="106">
        <v>0.36544695683925627</v>
      </c>
      <c r="W1694" s="106">
        <v>83174.972365512163</v>
      </c>
      <c r="X1694" s="110">
        <v>0.63693430342812307</v>
      </c>
      <c r="Y1694" s="106">
        <v>800.59863560732117</v>
      </c>
      <c r="Z1694" s="106">
        <v>26.840266222961734</v>
      </c>
      <c r="AA1694" s="106">
        <v>27793.359187582195</v>
      </c>
      <c r="AB1694" s="106">
        <v>295.80567270108992</v>
      </c>
      <c r="AC1694" s="106">
        <v>3.5979817813702435</v>
      </c>
      <c r="AD1694" s="106">
        <v>35.518102372034953</v>
      </c>
      <c r="AE1694" s="106">
        <v>93.958168326498722</v>
      </c>
      <c r="AF1694" s="106">
        <v>1.6096851513282256E-2</v>
      </c>
      <c r="AG1694" s="106">
        <v>1872</v>
      </c>
      <c r="AH1694" s="106">
        <v>8676.7337734796347</v>
      </c>
      <c r="AI1694" s="106">
        <v>8676.7337734796347</v>
      </c>
      <c r="AJ1694" s="106">
        <v>9981.5501208852511</v>
      </c>
      <c r="AK1694" s="104">
        <v>10648.936860702994</v>
      </c>
      <c r="AL1694" s="119">
        <v>44423508</v>
      </c>
      <c r="AM1694" s="118">
        <v>14588</v>
      </c>
      <c r="AN1694" s="118">
        <v>320773.18666666665</v>
      </c>
      <c r="AO1694" s="118">
        <v>3065</v>
      </c>
      <c r="AP1694" s="118">
        <f t="shared" si="26"/>
        <v>691</v>
      </c>
    </row>
    <row r="1695" spans="1:42" ht="12.75">
      <c r="A1695" s="106">
        <v>2018</v>
      </c>
      <c r="B1695" s="106">
        <v>-188137</v>
      </c>
      <c r="C1695" s="106">
        <v>0</v>
      </c>
      <c r="D1695" s="106">
        <v>188137</v>
      </c>
      <c r="E1695" s="106" t="s">
        <v>2718</v>
      </c>
      <c r="F1695" s="106" t="s">
        <v>2719</v>
      </c>
      <c r="G1695" s="106" t="s">
        <v>674</v>
      </c>
      <c r="H1695" s="106">
        <v>4</v>
      </c>
      <c r="I1695" s="106" t="s">
        <v>24</v>
      </c>
      <c r="J1695" s="106">
        <v>1755</v>
      </c>
      <c r="K1695" s="106">
        <v>9713</v>
      </c>
      <c r="L1695" s="106">
        <v>8614</v>
      </c>
      <c r="M1695" s="106">
        <v>0.61</v>
      </c>
      <c r="N1695" s="106">
        <v>0.03</v>
      </c>
      <c r="O1695" s="106">
        <v>0.16</v>
      </c>
      <c r="P1695" s="106">
        <v>900</v>
      </c>
      <c r="Q1695" s="106">
        <v>274.37519747235388</v>
      </c>
      <c r="R1695" s="106">
        <v>9.033357020304697E-2</v>
      </c>
      <c r="S1695" s="106">
        <v>24053.39889415482</v>
      </c>
      <c r="T1695" s="106">
        <v>27027.504344391786</v>
      </c>
      <c r="U1695" s="106">
        <v>16021.730363196244</v>
      </c>
      <c r="V1695" s="106">
        <v>0.17245207509272562</v>
      </c>
      <c r="W1695" s="106">
        <v>93237.388489208635</v>
      </c>
      <c r="X1695" s="110">
        <v>0.63126832605618632</v>
      </c>
      <c r="Y1695" s="106">
        <v>411.32490974729239</v>
      </c>
      <c r="Z1695" s="106">
        <v>13.711191335740072</v>
      </c>
      <c r="AA1695" s="106">
        <v>38635.258361536085</v>
      </c>
      <c r="AB1695" s="106">
        <v>534.07174069371092</v>
      </c>
      <c r="AC1695" s="106">
        <v>2.5883093381758382</v>
      </c>
      <c r="AD1695" s="106">
        <v>44.397463002114165</v>
      </c>
      <c r="AE1695" s="106">
        <v>72.340952380952388</v>
      </c>
      <c r="AF1695" s="106">
        <v>-0.14947351068052778</v>
      </c>
      <c r="AG1695" s="106">
        <v>1440</v>
      </c>
      <c r="AH1695" s="106">
        <v>22703.232622432861</v>
      </c>
      <c r="AI1695" s="106">
        <v>22703.232622432861</v>
      </c>
      <c r="AJ1695" s="106">
        <v>24053.39889415482</v>
      </c>
      <c r="AK1695" s="104">
        <v>22099.31990521327</v>
      </c>
      <c r="AL1695" s="118">
        <v>38001857</v>
      </c>
      <c r="AM1695" s="118">
        <v>4581</v>
      </c>
      <c r="AN1695" s="118">
        <v>75958</v>
      </c>
      <c r="AO1695" s="118">
        <v>360</v>
      </c>
      <c r="AP1695" s="118">
        <f t="shared" si="26"/>
        <v>315</v>
      </c>
    </row>
    <row r="1696" spans="1:42" ht="12.75">
      <c r="A1696" s="106">
        <v>2018</v>
      </c>
      <c r="B1696" s="106">
        <v>-122977</v>
      </c>
      <c r="C1696" s="106">
        <v>0</v>
      </c>
      <c r="D1696" s="106">
        <v>122977</v>
      </c>
      <c r="E1696" s="106" t="s">
        <v>2720</v>
      </c>
      <c r="F1696" s="106" t="s">
        <v>2721</v>
      </c>
      <c r="G1696" s="106" t="s">
        <v>121</v>
      </c>
      <c r="H1696" s="106">
        <v>4</v>
      </c>
      <c r="I1696" s="106" t="s">
        <v>24</v>
      </c>
      <c r="J1696" s="106">
        <v>1142</v>
      </c>
      <c r="K1696" s="106">
        <v>6227</v>
      </c>
      <c r="L1696" s="106">
        <v>3776</v>
      </c>
      <c r="M1696" s="106">
        <v>0.38</v>
      </c>
      <c r="N1696" s="106">
        <v>0.02</v>
      </c>
      <c r="O1696" s="106">
        <v>0.01</v>
      </c>
      <c r="P1696" s="106">
        <v>649</v>
      </c>
      <c r="Q1696" s="106">
        <v>15.468428995667201</v>
      </c>
      <c r="R1696" s="106">
        <v>4.2287977108751134E-3</v>
      </c>
      <c r="S1696" s="106">
        <v>15043.130422082664</v>
      </c>
      <c r="T1696" s="106">
        <v>15489.395891144541</v>
      </c>
      <c r="U1696" s="106">
        <v>13015.694123947227</v>
      </c>
      <c r="V1696" s="106">
        <v>0.27984756079691731</v>
      </c>
      <c r="W1696" s="106">
        <v>155955.25072273327</v>
      </c>
      <c r="X1696" s="110">
        <v>0.62169495776033901</v>
      </c>
      <c r="Y1696" s="106">
        <v>883.27424749163868</v>
      </c>
      <c r="Z1696" s="106">
        <v>29.44242713807931</v>
      </c>
      <c r="AA1696" s="106">
        <v>42423.892891145668</v>
      </c>
      <c r="AB1696" s="106">
        <v>433.85576674980649</v>
      </c>
      <c r="AC1696" s="106">
        <v>2.3571622777897194</v>
      </c>
      <c r="AD1696" s="106">
        <v>33.832608578944544</v>
      </c>
      <c r="AE1696" s="106">
        <v>97.783402094573148</v>
      </c>
      <c r="AF1696" s="106">
        <v>-1.1689432451551627</v>
      </c>
      <c r="AG1696" s="106">
        <v>1104</v>
      </c>
      <c r="AH1696" s="106">
        <v>14240.060707852588</v>
      </c>
      <c r="AI1696" s="106">
        <v>14371.794751959496</v>
      </c>
      <c r="AJ1696" s="106">
        <v>15197.286256754784</v>
      </c>
      <c r="AK1696" s="104">
        <v>14681.113675088847</v>
      </c>
      <c r="AL1696" s="119">
        <v>127254447</v>
      </c>
      <c r="AM1696" s="118">
        <v>29760</v>
      </c>
      <c r="AN1696" s="118">
        <v>616231</v>
      </c>
      <c r="AO1696" s="118">
        <v>3836</v>
      </c>
      <c r="AP1696" s="118">
        <f t="shared" si="26"/>
        <v>38</v>
      </c>
    </row>
    <row r="1697" spans="1:42" ht="12.75">
      <c r="A1697" s="106">
        <v>2018</v>
      </c>
      <c r="B1697" s="106">
        <v>-123013</v>
      </c>
      <c r="C1697" s="106">
        <v>0</v>
      </c>
      <c r="D1697" s="106">
        <v>123013</v>
      </c>
      <c r="E1697" s="106" t="s">
        <v>2722</v>
      </c>
      <c r="F1697" s="106" t="s">
        <v>2723</v>
      </c>
      <c r="G1697" s="106" t="s">
        <v>121</v>
      </c>
      <c r="H1697" s="106">
        <v>4</v>
      </c>
      <c r="I1697" s="106" t="s">
        <v>24</v>
      </c>
      <c r="J1697" s="106">
        <v>1282</v>
      </c>
      <c r="K1697" s="106">
        <v>8433</v>
      </c>
      <c r="L1697" s="106">
        <v>5265</v>
      </c>
      <c r="M1697" s="106">
        <v>0.34</v>
      </c>
      <c r="N1697" s="106">
        <v>0.01</v>
      </c>
      <c r="O1697" s="106">
        <v>0.48</v>
      </c>
      <c r="P1697" s="106">
        <v>972</v>
      </c>
      <c r="Q1697" s="106">
        <v>136.64200890648195</v>
      </c>
      <c r="R1697" s="106">
        <v>6.9511916240398181E-2</v>
      </c>
      <c r="S1697" s="106">
        <v>14233.15042058387</v>
      </c>
      <c r="T1697" s="106">
        <v>17517.695365330695</v>
      </c>
      <c r="U1697" s="106">
        <v>13698.076856661224</v>
      </c>
      <c r="V1697" s="106">
        <v>0.13352918386980331</v>
      </c>
      <c r="W1697" s="106">
        <v>122977.05683785344</v>
      </c>
      <c r="X1697" s="110">
        <v>0.66886252676507107</v>
      </c>
      <c r="Y1697" s="106">
        <v>582.06719999999996</v>
      </c>
      <c r="Z1697" s="106">
        <v>19.401599999999998</v>
      </c>
      <c r="AA1697" s="106">
        <v>29939.235754122928</v>
      </c>
      <c r="AB1697" s="106">
        <v>456.58750045046071</v>
      </c>
      <c r="AC1697" s="106">
        <v>3.3400986191248725</v>
      </c>
      <c r="AD1697" s="106">
        <v>49.784637473079684</v>
      </c>
      <c r="AE1697" s="106">
        <v>65.57173756308579</v>
      </c>
      <c r="AF1697" s="106">
        <v>-2.2646060431335338E-2</v>
      </c>
      <c r="AG1697" s="106">
        <v>1242</v>
      </c>
      <c r="AH1697" s="106">
        <v>13602.416378030677</v>
      </c>
      <c r="AI1697" s="106">
        <v>13602.416378030677</v>
      </c>
      <c r="AJ1697" s="106">
        <v>14359.132772554842</v>
      </c>
      <c r="AK1697" s="104">
        <v>15385.433118918027</v>
      </c>
      <c r="AL1697" s="119">
        <v>89158787</v>
      </c>
      <c r="AM1697" s="118">
        <v>20671</v>
      </c>
      <c r="AN1697" s="118">
        <v>363792</v>
      </c>
      <c r="AO1697" s="118">
        <v>2462</v>
      </c>
      <c r="AP1697" s="118">
        <f t="shared" si="26"/>
        <v>40</v>
      </c>
    </row>
    <row r="1698" spans="1:42" ht="12.75">
      <c r="A1698" s="106">
        <v>2018</v>
      </c>
      <c r="B1698" s="106">
        <v>-399212</v>
      </c>
      <c r="C1698" s="106">
        <v>0</v>
      </c>
      <c r="D1698" s="106">
        <v>399212</v>
      </c>
      <c r="E1698" s="106" t="s">
        <v>4191</v>
      </c>
      <c r="F1698" s="106" t="s">
        <v>707</v>
      </c>
      <c r="G1698" s="106" t="s">
        <v>121</v>
      </c>
      <c r="H1698" s="106">
        <v>4</v>
      </c>
      <c r="I1698" s="106" t="s">
        <v>24</v>
      </c>
      <c r="J1698" s="106">
        <v>1142</v>
      </c>
      <c r="K1698" s="106">
        <v>5875</v>
      </c>
      <c r="L1698" s="106">
        <v>2734</v>
      </c>
      <c r="M1698" s="106">
        <v>0.3</v>
      </c>
      <c r="N1698" s="106">
        <v>0.01</v>
      </c>
      <c r="O1698" s="106">
        <v>0.02</v>
      </c>
      <c r="P1698" s="106">
        <v>478</v>
      </c>
      <c r="Q1698" s="106"/>
      <c r="R1698" s="106"/>
      <c r="S1698" s="106">
        <v>12786.41021069692</v>
      </c>
      <c r="T1698" s="106">
        <v>13020.866774716369</v>
      </c>
      <c r="U1698" s="106">
        <v>11114.037198149572</v>
      </c>
      <c r="V1698" s="106">
        <v>0.11186510458651616</v>
      </c>
      <c r="W1698" s="106">
        <v>112844.33108108108</v>
      </c>
      <c r="X1698" s="110">
        <v>0.62364530500276161</v>
      </c>
      <c r="Y1698" s="106">
        <v>705.63278271918682</v>
      </c>
      <c r="Z1698" s="106">
        <v>23.519695044472684</v>
      </c>
      <c r="AA1698" s="106">
        <v>22228.074396299144</v>
      </c>
      <c r="AB1698" s="106">
        <v>370.44589199227954</v>
      </c>
      <c r="AC1698" s="106">
        <v>4.4988152467516249</v>
      </c>
      <c r="AD1698" s="106">
        <v>50.765180187592563</v>
      </c>
      <c r="AE1698" s="106">
        <v>60.003565640194488</v>
      </c>
      <c r="AF1698" s="106"/>
      <c r="AG1698" s="106">
        <v>1104</v>
      </c>
      <c r="AH1698" s="106">
        <v>12372.141166936792</v>
      </c>
      <c r="AI1698" s="106">
        <v>12372.141166936792</v>
      </c>
      <c r="AJ1698" s="106">
        <v>12889.523176661263</v>
      </c>
      <c r="AK1698" s="104">
        <v>11956.144570502431</v>
      </c>
      <c r="AL1698" s="119">
        <v>45724462</v>
      </c>
      <c r="AM1698" s="118">
        <v>12307</v>
      </c>
      <c r="AN1698" s="118">
        <v>185111</v>
      </c>
      <c r="AO1698" s="118">
        <v>1687</v>
      </c>
      <c r="AP1698" s="118">
        <f t="shared" si="26"/>
        <v>38</v>
      </c>
    </row>
    <row r="1699" spans="1:42" ht="12.75">
      <c r="A1699" s="106">
        <v>2018</v>
      </c>
      <c r="B1699" s="106">
        <v>-195304</v>
      </c>
      <c r="C1699" s="106">
        <v>0</v>
      </c>
      <c r="D1699" s="106">
        <v>195304</v>
      </c>
      <c r="E1699" s="106" t="s">
        <v>2724</v>
      </c>
      <c r="F1699" s="106" t="s">
        <v>921</v>
      </c>
      <c r="G1699" s="106" t="s">
        <v>69</v>
      </c>
      <c r="H1699" s="106">
        <v>7</v>
      </c>
      <c r="I1699" s="106" t="s">
        <v>3641</v>
      </c>
      <c r="J1699" s="106">
        <v>54010</v>
      </c>
      <c r="K1699" s="106">
        <v>40022</v>
      </c>
      <c r="L1699" s="106">
        <v>26275</v>
      </c>
      <c r="M1699" s="106">
        <v>0.15</v>
      </c>
      <c r="N1699" s="106">
        <v>0.61</v>
      </c>
      <c r="O1699" s="106">
        <v>0.84</v>
      </c>
      <c r="P1699" s="106">
        <v>29225</v>
      </c>
      <c r="Q1699" s="106">
        <v>19644.685446009389</v>
      </c>
      <c r="R1699" s="106">
        <v>0.41713485473801998</v>
      </c>
      <c r="S1699" s="106">
        <v>44357.292253521126</v>
      </c>
      <c r="T1699" s="106">
        <v>47717.427230046946</v>
      </c>
      <c r="U1699" s="106">
        <v>42638.024220438841</v>
      </c>
      <c r="V1699" s="106">
        <v>0.64378316117239698</v>
      </c>
      <c r="W1699" s="106">
        <v>114217.77518796994</v>
      </c>
      <c r="X1699" s="110">
        <v>0.62275535743872479</v>
      </c>
      <c r="Y1699" s="106">
        <v>268.79454545454547</v>
      </c>
      <c r="Z1699" s="106">
        <v>9.2945454545454549</v>
      </c>
      <c r="AA1699" s="106">
        <v>166259.02350486908</v>
      </c>
      <c r="AB1699" s="106">
        <v>1474.3641971555385</v>
      </c>
      <c r="AC1699" s="106">
        <v>0.60147111351866811</v>
      </c>
      <c r="AD1699" s="106">
        <v>26.293622141997592</v>
      </c>
      <c r="AE1699" s="106">
        <v>112.76659038901602</v>
      </c>
      <c r="AF1699" s="106">
        <v>4.3644283888908605E-2</v>
      </c>
      <c r="AG1699" s="106">
        <v>52600</v>
      </c>
      <c r="AH1699" s="106">
        <v>39203.352112676053</v>
      </c>
      <c r="AI1699" s="106">
        <v>44357.292253521126</v>
      </c>
      <c r="AJ1699" s="106">
        <v>50438.375</v>
      </c>
      <c r="AK1699" s="104">
        <v>42942.517605633802</v>
      </c>
      <c r="AL1699" s="119">
        <v>133420</v>
      </c>
      <c r="AM1699" s="118">
        <v>1399</v>
      </c>
      <c r="AN1699" s="118">
        <v>49279</v>
      </c>
      <c r="AO1699" s="118">
        <v>310</v>
      </c>
      <c r="AP1699" s="118">
        <f t="shared" si="26"/>
        <v>1410</v>
      </c>
    </row>
    <row r="1700" spans="1:42" ht="12.75">
      <c r="A1700" s="106">
        <v>2018</v>
      </c>
      <c r="B1700" s="106">
        <v>-148672</v>
      </c>
      <c r="C1700" s="106">
        <v>0</v>
      </c>
      <c r="D1700" s="106">
        <v>148672</v>
      </c>
      <c r="E1700" s="106" t="s">
        <v>2725</v>
      </c>
      <c r="F1700" s="106" t="s">
        <v>2726</v>
      </c>
      <c r="G1700" s="106" t="s">
        <v>243</v>
      </c>
      <c r="H1700" s="106">
        <v>4</v>
      </c>
      <c r="I1700" s="106" t="s">
        <v>24</v>
      </c>
      <c r="J1700" s="106">
        <v>4190</v>
      </c>
      <c r="K1700" s="106">
        <v>7334</v>
      </c>
      <c r="L1700" s="106">
        <v>6398</v>
      </c>
      <c r="M1700" s="106">
        <v>0.46</v>
      </c>
      <c r="N1700" s="106">
        <v>0.13</v>
      </c>
      <c r="O1700" s="106">
        <v>0.23</v>
      </c>
      <c r="P1700" s="106">
        <v>2646</v>
      </c>
      <c r="Q1700" s="106">
        <v>872.35237329042639</v>
      </c>
      <c r="R1700" s="106">
        <v>0.20866898838837655</v>
      </c>
      <c r="S1700" s="106">
        <v>16918.262268704748</v>
      </c>
      <c r="T1700" s="106">
        <v>17168.411906677393</v>
      </c>
      <c r="U1700" s="106">
        <v>13527.558989351655</v>
      </c>
      <c r="V1700" s="106">
        <v>0.24455288218865592</v>
      </c>
      <c r="W1700" s="106">
        <v>58428.363449691991</v>
      </c>
      <c r="X1700" s="110">
        <v>0.44445743497197043</v>
      </c>
      <c r="Y1700" s="106">
        <v>591.88888888888891</v>
      </c>
      <c r="Z1700" s="106">
        <v>19.730158730158731</v>
      </c>
      <c r="AA1700" s="106">
        <v>28212.67755665119</v>
      </c>
      <c r="AB1700" s="106">
        <v>450.93072551594594</v>
      </c>
      <c r="AC1700" s="106">
        <v>3.5445058271835252</v>
      </c>
      <c r="AD1700" s="106">
        <v>55.134135060129509</v>
      </c>
      <c r="AE1700" s="106">
        <v>62.56543624161074</v>
      </c>
      <c r="AF1700" s="106">
        <v>-4.6049693844490043E-3</v>
      </c>
      <c r="AG1700" s="106">
        <v>3690</v>
      </c>
      <c r="AH1700" s="106">
        <v>16037.946902654867</v>
      </c>
      <c r="AI1700" s="106">
        <v>16037.946902654867</v>
      </c>
      <c r="AJ1700" s="106">
        <v>17020.551890587289</v>
      </c>
      <c r="AK1700" s="104">
        <v>16579.339501206759</v>
      </c>
      <c r="AL1700" s="119">
        <v>14277527</v>
      </c>
      <c r="AM1700" s="118">
        <v>1754</v>
      </c>
      <c r="AN1700" s="118">
        <v>37289</v>
      </c>
      <c r="AO1700" s="118">
        <v>230</v>
      </c>
      <c r="AP1700" s="118">
        <f t="shared" si="26"/>
        <v>500</v>
      </c>
    </row>
    <row r="1701" spans="1:42" ht="12.75">
      <c r="A1701" s="106">
        <v>2018</v>
      </c>
      <c r="B1701" s="106">
        <v>-140960</v>
      </c>
      <c r="C1701" s="106">
        <v>0</v>
      </c>
      <c r="D1701" s="106">
        <v>140960</v>
      </c>
      <c r="E1701" s="106" t="s">
        <v>2727</v>
      </c>
      <c r="F1701" s="106" t="s">
        <v>215</v>
      </c>
      <c r="G1701" s="106" t="s">
        <v>63</v>
      </c>
      <c r="H1701" s="106">
        <v>2</v>
      </c>
      <c r="I1701" s="106" t="s">
        <v>25</v>
      </c>
      <c r="J1701" s="106">
        <v>5743</v>
      </c>
      <c r="K1701" s="106">
        <v>9477</v>
      </c>
      <c r="L1701" s="106">
        <v>9043</v>
      </c>
      <c r="M1701" s="106">
        <v>0.82</v>
      </c>
      <c r="N1701" s="106">
        <v>0.81</v>
      </c>
      <c r="O1701" s="106">
        <v>0.37</v>
      </c>
      <c r="P1701" s="106">
        <v>8111</v>
      </c>
      <c r="Q1701" s="106">
        <v>1710.0394112060778</v>
      </c>
      <c r="R1701" s="106">
        <v>0.22135738590823487</v>
      </c>
      <c r="S1701" s="106">
        <v>23132.312915479582</v>
      </c>
      <c r="T1701" s="106">
        <v>24434.456315289648</v>
      </c>
      <c r="U1701" s="106">
        <v>12581.29445393459</v>
      </c>
      <c r="V1701" s="106">
        <v>0.47810682565774726</v>
      </c>
      <c r="W1701" s="106">
        <v>73031.877334679448</v>
      </c>
      <c r="X1701" s="110">
        <v>0.4685809654352745</v>
      </c>
      <c r="Y1701" s="106">
        <v>543.67587209302326</v>
      </c>
      <c r="Z1701" s="106">
        <v>18.36627906976744</v>
      </c>
      <c r="AA1701" s="106">
        <v>80291.533696928018</v>
      </c>
      <c r="AB1701" s="106">
        <v>425.0171413903459</v>
      </c>
      <c r="AC1701" s="106">
        <v>1.2454613256917526</v>
      </c>
      <c r="AD1701" s="106">
        <v>16.29227351271291</v>
      </c>
      <c r="AE1701" s="106">
        <v>188.91363636363636</v>
      </c>
      <c r="AF1701" s="106">
        <v>0.5446637009203168</v>
      </c>
      <c r="AG1701" s="106">
        <v>3965</v>
      </c>
      <c r="AH1701" s="106">
        <v>21878.144586894588</v>
      </c>
      <c r="AI1701" s="106">
        <v>22400.882241215575</v>
      </c>
      <c r="AJ1701" s="106">
        <v>23244.704890788224</v>
      </c>
      <c r="AK1701" s="104">
        <v>15965.989078822413</v>
      </c>
      <c r="AL1701" s="118">
        <v>24139345</v>
      </c>
      <c r="AM1701" s="118">
        <v>4239</v>
      </c>
      <c r="AN1701" s="118">
        <v>124683</v>
      </c>
      <c r="AO1701" s="118">
        <v>589</v>
      </c>
      <c r="AP1701" s="118">
        <f t="shared" si="26"/>
        <v>1778</v>
      </c>
    </row>
    <row r="1702" spans="1:42" ht="12.75">
      <c r="A1702" s="106">
        <v>2018</v>
      </c>
      <c r="B1702" s="106">
        <v>-140942</v>
      </c>
      <c r="C1702" s="106">
        <v>0</v>
      </c>
      <c r="D1702" s="106">
        <v>140942</v>
      </c>
      <c r="E1702" s="106" t="s">
        <v>2728</v>
      </c>
      <c r="F1702" s="106" t="s">
        <v>215</v>
      </c>
      <c r="G1702" s="106" t="s">
        <v>63</v>
      </c>
      <c r="H1702" s="106">
        <v>4</v>
      </c>
      <c r="I1702" s="106" t="s">
        <v>24</v>
      </c>
      <c r="J1702" s="106">
        <v>2744</v>
      </c>
      <c r="K1702" s="106">
        <v>6539</v>
      </c>
      <c r="L1702" s="106">
        <v>5063</v>
      </c>
      <c r="M1702" s="106">
        <v>0.57999999999999996</v>
      </c>
      <c r="N1702" s="106">
        <v>0.02</v>
      </c>
      <c r="O1702" s="106">
        <v>0</v>
      </c>
      <c r="P1702" s="106"/>
      <c r="Q1702" s="106"/>
      <c r="R1702" s="106"/>
      <c r="S1702" s="106">
        <v>12486.937928669409</v>
      </c>
      <c r="T1702" s="106">
        <v>12175.013374485598</v>
      </c>
      <c r="U1702" s="106">
        <v>9977.1817558299044</v>
      </c>
      <c r="V1702" s="106">
        <v>0.36811150216498811</v>
      </c>
      <c r="W1702" s="106">
        <v>60033.938202247191</v>
      </c>
      <c r="X1702" s="110">
        <v>0.60199081530938003</v>
      </c>
      <c r="Y1702" s="106">
        <v>408.803738317757</v>
      </c>
      <c r="Z1702" s="106">
        <v>13.626168224299066</v>
      </c>
      <c r="AA1702" s="106">
        <v>10974.523576009053</v>
      </c>
      <c r="AB1702" s="106">
        <v>332.5575190892049</v>
      </c>
      <c r="AC1702" s="106">
        <v>9.1120128639211107</v>
      </c>
      <c r="AD1702" s="106">
        <v>117.04194260485652</v>
      </c>
      <c r="AE1702" s="106">
        <v>33.000377216144848</v>
      </c>
      <c r="AF1702" s="106">
        <v>5.443014316206999E-2</v>
      </c>
      <c r="AG1702" s="106">
        <v>2136</v>
      </c>
      <c r="AH1702" s="106">
        <v>10658.544581618657</v>
      </c>
      <c r="AI1702" s="106">
        <v>10811.479080932784</v>
      </c>
      <c r="AJ1702" s="106">
        <v>12486.937928669409</v>
      </c>
      <c r="AK1702" s="104">
        <v>11713.743484224966</v>
      </c>
      <c r="AL1702" s="118">
        <v>14033102</v>
      </c>
      <c r="AM1702" s="118">
        <v>3935</v>
      </c>
      <c r="AN1702" s="118">
        <v>87484</v>
      </c>
      <c r="AO1702" s="118">
        <v>279</v>
      </c>
      <c r="AP1702" s="118">
        <f t="shared" si="26"/>
        <v>608</v>
      </c>
    </row>
    <row r="1703" spans="1:42" ht="12.75">
      <c r="A1703" s="106">
        <v>2018</v>
      </c>
      <c r="B1703" s="106">
        <v>-195322</v>
      </c>
      <c r="C1703" s="106">
        <v>0</v>
      </c>
      <c r="D1703" s="106">
        <v>195322</v>
      </c>
      <c r="E1703" s="106" t="s">
        <v>2729</v>
      </c>
      <c r="F1703" s="106" t="s">
        <v>2730</v>
      </c>
      <c r="G1703" s="106" t="s">
        <v>69</v>
      </c>
      <c r="H1703" s="106">
        <v>4</v>
      </c>
      <c r="I1703" s="106" t="s">
        <v>24</v>
      </c>
      <c r="J1703" s="106">
        <v>4593</v>
      </c>
      <c r="K1703" s="106">
        <v>5386</v>
      </c>
      <c r="L1703" s="106">
        <v>4385</v>
      </c>
      <c r="M1703" s="106">
        <v>0.71</v>
      </c>
      <c r="N1703" s="106">
        <v>0.38</v>
      </c>
      <c r="O1703" s="106">
        <v>7.0000000000000007E-2</v>
      </c>
      <c r="P1703" s="106">
        <v>1258</v>
      </c>
      <c r="Q1703" s="106">
        <v>277.50381194409147</v>
      </c>
      <c r="R1703" s="106">
        <v>6.4789089221368321E-2</v>
      </c>
      <c r="S1703" s="106">
        <v>11420.151524777637</v>
      </c>
      <c r="T1703" s="106">
        <v>12290.668360864041</v>
      </c>
      <c r="U1703" s="106">
        <v>7211.1385261745672</v>
      </c>
      <c r="V1703" s="106">
        <v>0.55548559968731859</v>
      </c>
      <c r="W1703" s="106">
        <v>90563.664053751389</v>
      </c>
      <c r="X1703" s="110">
        <v>0.69674516756134441</v>
      </c>
      <c r="Y1703" s="106">
        <v>858.58181818181822</v>
      </c>
      <c r="Z1703" s="106">
        <v>28.618181818181817</v>
      </c>
      <c r="AA1703" s="106">
        <v>42273.117468151839</v>
      </c>
      <c r="AB1703" s="106">
        <v>240.36110372705031</v>
      </c>
      <c r="AC1703" s="106">
        <v>2.3655695626266273</v>
      </c>
      <c r="AD1703" s="106">
        <v>14.76897689768977</v>
      </c>
      <c r="AE1703" s="106">
        <v>175.87337057728118</v>
      </c>
      <c r="AF1703" s="106">
        <v>-6.0272208393174521E-2</v>
      </c>
      <c r="AG1703" s="106">
        <v>3936</v>
      </c>
      <c r="AH1703" s="106">
        <v>11239.07750952986</v>
      </c>
      <c r="AI1703" s="106">
        <v>11239.07750952986</v>
      </c>
      <c r="AJ1703" s="106">
        <v>11420.253494282084</v>
      </c>
      <c r="AK1703" s="104">
        <v>8802.8344980940274</v>
      </c>
      <c r="AL1703" s="118">
        <v>14173804</v>
      </c>
      <c r="AM1703" s="118">
        <v>6588</v>
      </c>
      <c r="AN1703" s="118">
        <v>94444</v>
      </c>
      <c r="AO1703" s="118">
        <v>455</v>
      </c>
      <c r="AP1703" s="118">
        <f t="shared" si="26"/>
        <v>657</v>
      </c>
    </row>
    <row r="1704" spans="1:42" ht="12.75">
      <c r="A1704" s="106">
        <v>2018</v>
      </c>
      <c r="B1704" s="106">
        <v>-172200</v>
      </c>
      <c r="C1704" s="106">
        <v>0</v>
      </c>
      <c r="D1704" s="106">
        <v>172200</v>
      </c>
      <c r="E1704" s="106" t="s">
        <v>2731</v>
      </c>
      <c r="F1704" s="106" t="s">
        <v>1866</v>
      </c>
      <c r="G1704" s="106" t="s">
        <v>74</v>
      </c>
      <c r="H1704" s="106">
        <v>4</v>
      </c>
      <c r="I1704" s="106" t="s">
        <v>24</v>
      </c>
      <c r="J1704" s="106">
        <v>3668</v>
      </c>
      <c r="K1704" s="106">
        <v>7940</v>
      </c>
      <c r="L1704" s="106">
        <v>6923</v>
      </c>
      <c r="M1704" s="106">
        <v>0.37</v>
      </c>
      <c r="N1704" s="106">
        <v>0.08</v>
      </c>
      <c r="O1704" s="106">
        <v>0.38</v>
      </c>
      <c r="P1704" s="106">
        <v>480</v>
      </c>
      <c r="Q1704" s="106">
        <v>101.49197497279651</v>
      </c>
      <c r="R1704" s="106">
        <v>1.7522249978548326E-2</v>
      </c>
      <c r="S1704" s="106">
        <v>14182.537404787812</v>
      </c>
      <c r="T1704" s="106">
        <v>15213.203210010881</v>
      </c>
      <c r="U1704" s="106">
        <v>12865.91755325118</v>
      </c>
      <c r="V1704" s="106">
        <v>0.44230697858446183</v>
      </c>
      <c r="W1704" s="106">
        <v>127449.32597014925</v>
      </c>
      <c r="X1704" s="110">
        <v>0.63621650985936473</v>
      </c>
      <c r="Y1704" s="106">
        <v>960.32656023222069</v>
      </c>
      <c r="Z1704" s="106">
        <v>32.011611030478953</v>
      </c>
      <c r="AA1704" s="106">
        <v>56270.211690364471</v>
      </c>
      <c r="AB1704" s="106">
        <v>428.8736408220293</v>
      </c>
      <c r="AC1704" s="106">
        <v>1.777139217998067</v>
      </c>
      <c r="AD1704" s="106">
        <v>27.909679561680228</v>
      </c>
      <c r="AE1704" s="106">
        <v>131.20464009518145</v>
      </c>
      <c r="AF1704" s="106">
        <v>-0.42460808738926059</v>
      </c>
      <c r="AG1704" s="106">
        <v>2808</v>
      </c>
      <c r="AH1704" s="106">
        <v>13813.417165397172</v>
      </c>
      <c r="AI1704" s="106">
        <v>13813.417165397172</v>
      </c>
      <c r="AJ1704" s="106">
        <v>14161.75598476605</v>
      </c>
      <c r="AK1704" s="104">
        <v>14202.049782372143</v>
      </c>
      <c r="AL1704" s="118">
        <v>44408136</v>
      </c>
      <c r="AM1704" s="118">
        <v>10558</v>
      </c>
      <c r="AN1704" s="118">
        <v>220555</v>
      </c>
      <c r="AO1704" s="118">
        <v>1331</v>
      </c>
      <c r="AP1704" s="118">
        <f t="shared" si="26"/>
        <v>860</v>
      </c>
    </row>
    <row r="1705" spans="1:42" ht="12.75">
      <c r="A1705" s="106">
        <v>2018</v>
      </c>
      <c r="B1705" s="106">
        <v>-228042</v>
      </c>
      <c r="C1705" s="106">
        <v>0</v>
      </c>
      <c r="D1705" s="106">
        <v>228042</v>
      </c>
      <c r="E1705" s="106" t="s">
        <v>2732</v>
      </c>
      <c r="F1705" s="106" t="s">
        <v>2733</v>
      </c>
      <c r="G1705" s="106" t="s">
        <v>60</v>
      </c>
      <c r="H1705" s="106">
        <v>7</v>
      </c>
      <c r="I1705" s="106" t="s">
        <v>3641</v>
      </c>
      <c r="J1705" s="106">
        <v>26900</v>
      </c>
      <c r="K1705" s="106">
        <v>20847</v>
      </c>
      <c r="L1705" s="106">
        <v>20187</v>
      </c>
      <c r="M1705" s="106">
        <v>0.5</v>
      </c>
      <c r="N1705" s="106">
        <v>0.72</v>
      </c>
      <c r="O1705" s="106">
        <v>0.88</v>
      </c>
      <c r="P1705" s="106">
        <v>13370</v>
      </c>
      <c r="Q1705" s="106">
        <v>9467.7511045655374</v>
      </c>
      <c r="R1705" s="106">
        <v>0.42861096535764126</v>
      </c>
      <c r="S1705" s="106">
        <v>21200.088365243006</v>
      </c>
      <c r="T1705" s="106">
        <v>24716.723122238585</v>
      </c>
      <c r="U1705" s="106">
        <v>19077.095729013254</v>
      </c>
      <c r="V1705" s="106">
        <v>0.6616117315770409</v>
      </c>
      <c r="W1705" s="106">
        <v>56489.953333333331</v>
      </c>
      <c r="X1705" s="110">
        <v>0.50489585825365535</v>
      </c>
      <c r="Y1705" s="106">
        <v>421.2</v>
      </c>
      <c r="Z1705" s="106">
        <v>14.294736842105262</v>
      </c>
      <c r="AA1705" s="106">
        <v>82768.996805111819</v>
      </c>
      <c r="AB1705" s="106">
        <v>647.44079572149747</v>
      </c>
      <c r="AC1705" s="106">
        <v>1.2081818538342366</v>
      </c>
      <c r="AD1705" s="106">
        <v>25.344129554655868</v>
      </c>
      <c r="AE1705" s="106">
        <v>127.84025559105432</v>
      </c>
      <c r="AF1705" s="106">
        <v>3.6298787320269303E-2</v>
      </c>
      <c r="AG1705" s="106">
        <v>24990</v>
      </c>
      <c r="AH1705" s="106">
        <v>18357.646539027981</v>
      </c>
      <c r="AI1705" s="106">
        <v>21200.088365243006</v>
      </c>
      <c r="AJ1705" s="106">
        <v>23647.189248895433</v>
      </c>
      <c r="AK1705" s="104">
        <v>19077.095729013254</v>
      </c>
      <c r="AL1705" s="118"/>
      <c r="AM1705" s="118">
        <v>1249</v>
      </c>
      <c r="AN1705" s="118">
        <v>40014</v>
      </c>
      <c r="AO1705" s="118">
        <v>248</v>
      </c>
      <c r="AP1705" s="118">
        <f t="shared" si="26"/>
        <v>1910</v>
      </c>
    </row>
    <row r="1706" spans="1:42" ht="12.75">
      <c r="A1706" s="106">
        <v>2018</v>
      </c>
      <c r="B1706" s="106">
        <v>-105747</v>
      </c>
      <c r="C1706" s="106">
        <v>0</v>
      </c>
      <c r="D1706" s="106">
        <v>105747</v>
      </c>
      <c r="E1706" s="106" t="s">
        <v>2734</v>
      </c>
      <c r="F1706" s="106" t="s">
        <v>193</v>
      </c>
      <c r="G1706" s="106" t="s">
        <v>147</v>
      </c>
      <c r="H1706" s="106">
        <v>4</v>
      </c>
      <c r="I1706" s="106" t="s">
        <v>24</v>
      </c>
      <c r="J1706" s="106">
        <v>2094</v>
      </c>
      <c r="K1706" s="106">
        <v>8489</v>
      </c>
      <c r="L1706" s="106">
        <v>7387</v>
      </c>
      <c r="M1706" s="106">
        <v>0.37</v>
      </c>
      <c r="N1706" s="106">
        <v>0.16</v>
      </c>
      <c r="O1706" s="106">
        <v>0.22</v>
      </c>
      <c r="P1706" s="106">
        <v>1393</v>
      </c>
      <c r="Q1706" s="106">
        <v>322.34579248366015</v>
      </c>
      <c r="R1706" s="106">
        <v>9.740165762506231E-2</v>
      </c>
      <c r="S1706" s="106">
        <v>11735.129901960785</v>
      </c>
      <c r="T1706" s="106">
        <v>11741.149305555555</v>
      </c>
      <c r="U1706" s="106">
        <v>10565.462461166428</v>
      </c>
      <c r="V1706" s="106">
        <v>0.28272334998639465</v>
      </c>
      <c r="W1706" s="106">
        <v>75151.948103792412</v>
      </c>
      <c r="X1706" s="110">
        <v>0.65497684800018063</v>
      </c>
      <c r="Y1706" s="106">
        <v>566.37532133676098</v>
      </c>
      <c r="Z1706" s="106">
        <v>18.879177377892031</v>
      </c>
      <c r="AA1706" s="106">
        <v>30127.259295207241</v>
      </c>
      <c r="AB1706" s="106">
        <v>352.18208203888094</v>
      </c>
      <c r="AC1706" s="106">
        <v>3.3192531394951144</v>
      </c>
      <c r="AD1706" s="106">
        <v>35.681629260182881</v>
      </c>
      <c r="AE1706" s="106">
        <v>85.544554455445549</v>
      </c>
      <c r="AF1706" s="106"/>
      <c r="AG1706" s="106">
        <v>2064</v>
      </c>
      <c r="AH1706" s="106">
        <v>10779.599264705883</v>
      </c>
      <c r="AI1706" s="106">
        <v>10945.219158496731</v>
      </c>
      <c r="AJ1706" s="106">
        <v>11735.11580882353</v>
      </c>
      <c r="AK1706" s="104">
        <v>11425.225285947712</v>
      </c>
      <c r="AL1706" s="119">
        <v>36599090</v>
      </c>
      <c r="AM1706" s="118">
        <v>9458</v>
      </c>
      <c r="AN1706" s="118">
        <v>146880</v>
      </c>
      <c r="AO1706" s="118">
        <v>927</v>
      </c>
      <c r="AP1706" s="118">
        <f t="shared" si="26"/>
        <v>30</v>
      </c>
    </row>
    <row r="1707" spans="1:42" ht="12.75">
      <c r="A1707" s="106">
        <v>2018</v>
      </c>
      <c r="B1707" s="106">
        <v>-123165</v>
      </c>
      <c r="C1707" s="106">
        <v>0</v>
      </c>
      <c r="D1707" s="106">
        <v>123165</v>
      </c>
      <c r="E1707" s="106" t="s">
        <v>2735</v>
      </c>
      <c r="F1707" s="106" t="s">
        <v>751</v>
      </c>
      <c r="G1707" s="106" t="s">
        <v>121</v>
      </c>
      <c r="H1707" s="106">
        <v>7</v>
      </c>
      <c r="I1707" s="106" t="s">
        <v>3641</v>
      </c>
      <c r="J1707" s="106">
        <v>52966</v>
      </c>
      <c r="K1707" s="106">
        <v>39070</v>
      </c>
      <c r="L1707" s="106">
        <v>12663</v>
      </c>
      <c r="M1707" s="106">
        <v>0.1</v>
      </c>
      <c r="N1707" s="106">
        <v>0.4</v>
      </c>
      <c r="O1707" s="106">
        <v>0.63</v>
      </c>
      <c r="P1707" s="106">
        <v>30110</v>
      </c>
      <c r="Q1707" s="106">
        <v>16907.257547169811</v>
      </c>
      <c r="R1707" s="106">
        <v>0.31450311508545598</v>
      </c>
      <c r="S1707" s="106">
        <v>66815.867924528298</v>
      </c>
      <c r="T1707" s="106">
        <v>67184.112264150943</v>
      </c>
      <c r="U1707" s="106">
        <v>58464.163792798121</v>
      </c>
      <c r="V1707" s="106">
        <v>0.63032416921761625</v>
      </c>
      <c r="W1707" s="106">
        <v>95082.79673135854</v>
      </c>
      <c r="X1707" s="110">
        <v>0.43570338725214391</v>
      </c>
      <c r="Y1707" s="106">
        <v>302.6890243902439</v>
      </c>
      <c r="Z1707" s="106">
        <v>9.6951219512195124</v>
      </c>
      <c r="AA1707" s="106">
        <v>261485.28953740932</v>
      </c>
      <c r="AB1707" s="106">
        <v>1872.6057176638064</v>
      </c>
      <c r="AC1707" s="106">
        <v>0.38243069113719119</v>
      </c>
      <c r="AD1707" s="106">
        <v>21.964782205746062</v>
      </c>
      <c r="AE1707" s="106">
        <v>139.63713080168776</v>
      </c>
      <c r="AF1707" s="106">
        <v>6.2554168081900036E-2</v>
      </c>
      <c r="AG1707" s="106">
        <v>52748</v>
      </c>
      <c r="AH1707" s="106">
        <v>52401.156603773583</v>
      </c>
      <c r="AI1707" s="106">
        <v>66815.867924528298</v>
      </c>
      <c r="AJ1707" s="106">
        <v>96286.158490566042</v>
      </c>
      <c r="AK1707" s="104">
        <v>58719.882075471702</v>
      </c>
      <c r="AL1707" s="118"/>
      <c r="AM1707" s="118">
        <v>1065</v>
      </c>
      <c r="AN1707" s="118">
        <v>33094</v>
      </c>
      <c r="AO1707" s="118">
        <v>221</v>
      </c>
      <c r="AP1707" s="118">
        <f t="shared" si="26"/>
        <v>218</v>
      </c>
    </row>
    <row r="1708" spans="1:42" ht="12.75">
      <c r="A1708" s="106">
        <v>2018</v>
      </c>
      <c r="B1708" s="106">
        <v>3055</v>
      </c>
      <c r="C1708" s="106">
        <v>1</v>
      </c>
      <c r="D1708" s="106">
        <v>236513</v>
      </c>
      <c r="E1708" s="106" t="s">
        <v>3874</v>
      </c>
      <c r="F1708" s="106" t="s">
        <v>181</v>
      </c>
      <c r="G1708" s="106" t="s">
        <v>182</v>
      </c>
      <c r="H1708" s="106">
        <v>4</v>
      </c>
      <c r="I1708" s="106" t="s">
        <v>24</v>
      </c>
      <c r="J1708" s="106">
        <v>3795</v>
      </c>
      <c r="K1708" s="106">
        <v>4691</v>
      </c>
      <c r="L1708" s="106">
        <v>3900</v>
      </c>
      <c r="M1708" s="106">
        <v>0.4</v>
      </c>
      <c r="N1708" s="106">
        <v>0.09</v>
      </c>
      <c r="O1708" s="106">
        <v>0.12</v>
      </c>
      <c r="P1708" s="106">
        <v>2446</v>
      </c>
      <c r="Q1708" s="106">
        <v>596.7048054919909</v>
      </c>
      <c r="R1708" s="106">
        <v>0.11253643869650969</v>
      </c>
      <c r="S1708" s="106">
        <v>14495.446752332336</v>
      </c>
      <c r="T1708" s="106">
        <v>15976.249603942968</v>
      </c>
      <c r="U1708" s="106">
        <v>12301.864108431615</v>
      </c>
      <c r="V1708" s="106">
        <v>0.38251280032635593</v>
      </c>
      <c r="W1708" s="106">
        <v>81928.787201625179</v>
      </c>
      <c r="X1708" s="110">
        <v>0.59246317424582262</v>
      </c>
      <c r="Y1708" s="106">
        <v>1018.5219123505976</v>
      </c>
      <c r="Z1708" s="106">
        <v>22.633466135458168</v>
      </c>
      <c r="AA1708" s="106">
        <v>48498.882720333102</v>
      </c>
      <c r="AB1708" s="106">
        <v>273.37048061991248</v>
      </c>
      <c r="AC1708" s="106">
        <v>2.0619031695358028</v>
      </c>
      <c r="AD1708" s="106">
        <v>28.636724960254373</v>
      </c>
      <c r="AE1708" s="106">
        <v>177.41082581540596</v>
      </c>
      <c r="AF1708" s="106">
        <v>-3.504107129425512E-2</v>
      </c>
      <c r="AG1708" s="106">
        <v>3468</v>
      </c>
      <c r="AH1708" s="106">
        <v>13532.347121985566</v>
      </c>
      <c r="AI1708" s="106">
        <v>13532.347121985566</v>
      </c>
      <c r="AJ1708" s="106">
        <v>14608.669600422461</v>
      </c>
      <c r="AK1708" s="104">
        <v>13827.695124097871</v>
      </c>
      <c r="AL1708" s="118">
        <v>28818863</v>
      </c>
      <c r="AM1708" s="118">
        <v>6928</v>
      </c>
      <c r="AN1708" s="118">
        <v>255649</v>
      </c>
      <c r="AO1708" s="118">
        <v>1191</v>
      </c>
      <c r="AP1708" s="118">
        <f t="shared" si="26"/>
        <v>327</v>
      </c>
    </row>
    <row r="1709" spans="1:42" ht="12.75">
      <c r="A1709" s="106">
        <v>2018</v>
      </c>
      <c r="B1709" s="106">
        <v>-236577</v>
      </c>
      <c r="C1709" s="106">
        <v>0</v>
      </c>
      <c r="D1709" s="106">
        <v>236577</v>
      </c>
      <c r="E1709" s="106" t="s">
        <v>2736</v>
      </c>
      <c r="F1709" s="106" t="s">
        <v>181</v>
      </c>
      <c r="G1709" s="106" t="s">
        <v>182</v>
      </c>
      <c r="H1709" s="106">
        <v>5</v>
      </c>
      <c r="I1709" s="106" t="s">
        <v>3639</v>
      </c>
      <c r="J1709" s="106">
        <v>40902</v>
      </c>
      <c r="K1709" s="106">
        <v>29546</v>
      </c>
      <c r="L1709" s="106">
        <v>22794</v>
      </c>
      <c r="M1709" s="106">
        <v>0.32</v>
      </c>
      <c r="N1709" s="106">
        <v>0.63</v>
      </c>
      <c r="O1709" s="106">
        <v>0.99</v>
      </c>
      <c r="P1709" s="106">
        <v>22164</v>
      </c>
      <c r="Q1709" s="106">
        <v>16117.713004484305</v>
      </c>
      <c r="R1709" s="106">
        <v>0.43055867511192969</v>
      </c>
      <c r="S1709" s="106">
        <v>29673.486547085202</v>
      </c>
      <c r="T1709" s="106">
        <v>30288.11659192825</v>
      </c>
      <c r="U1709" s="106">
        <v>24601.764350413323</v>
      </c>
      <c r="V1709" s="106">
        <v>0.8664705397650192</v>
      </c>
      <c r="W1709" s="106">
        <v>95538.350217076702</v>
      </c>
      <c r="X1709" s="110">
        <v>0.61088388792241921</v>
      </c>
      <c r="Y1709" s="106">
        <v>562.86043689320388</v>
      </c>
      <c r="Z1709" s="106">
        <v>12.990291262135921</v>
      </c>
      <c r="AA1709" s="106">
        <v>61729.321520587015</v>
      </c>
      <c r="AB1709" s="106">
        <v>567.7856596890972</v>
      </c>
      <c r="AC1709" s="106">
        <v>1.6199756863786285</v>
      </c>
      <c r="AD1709" s="106">
        <v>42.021276595744681</v>
      </c>
      <c r="AE1709" s="106">
        <v>108.71940928270043</v>
      </c>
      <c r="AF1709" s="106">
        <v>6.4584166696970799E-2</v>
      </c>
      <c r="AG1709" s="106">
        <v>40464</v>
      </c>
      <c r="AH1709" s="106">
        <v>28174.887892376682</v>
      </c>
      <c r="AI1709" s="106">
        <v>29929.09192825112</v>
      </c>
      <c r="AJ1709" s="106">
        <v>33442.544843049327</v>
      </c>
      <c r="AK1709" s="105">
        <v>26084.360986547086</v>
      </c>
      <c r="AM1709" s="119">
        <v>2900</v>
      </c>
      <c r="AN1709" s="119">
        <v>154599</v>
      </c>
      <c r="AO1709" s="119">
        <v>802</v>
      </c>
      <c r="AP1709" s="118">
        <f t="shared" si="26"/>
        <v>438</v>
      </c>
    </row>
    <row r="1710" spans="1:42" ht="12.75">
      <c r="A1710" s="106">
        <v>2018</v>
      </c>
      <c r="B1710" s="106">
        <v>-236595</v>
      </c>
      <c r="C1710" s="106">
        <v>0</v>
      </c>
      <c r="D1710" s="106">
        <v>236595</v>
      </c>
      <c r="E1710" s="106" t="s">
        <v>2737</v>
      </c>
      <c r="F1710" s="106" t="s">
        <v>181</v>
      </c>
      <c r="G1710" s="106" t="s">
        <v>182</v>
      </c>
      <c r="H1710" s="106">
        <v>6</v>
      </c>
      <c r="I1710" s="106" t="s">
        <v>3640</v>
      </c>
      <c r="J1710" s="106">
        <v>42885</v>
      </c>
      <c r="K1710" s="106">
        <v>35577</v>
      </c>
      <c r="L1710" s="106">
        <v>27423</v>
      </c>
      <c r="M1710" s="106">
        <v>0.2</v>
      </c>
      <c r="N1710" s="106">
        <v>0.64</v>
      </c>
      <c r="O1710" s="106">
        <v>0.94</v>
      </c>
      <c r="P1710" s="106">
        <v>21762</v>
      </c>
      <c r="Q1710" s="106">
        <v>14163.084476309226</v>
      </c>
      <c r="R1710" s="106">
        <v>0.34562565558367581</v>
      </c>
      <c r="S1710" s="106">
        <v>35148.778834164586</v>
      </c>
      <c r="T1710" s="106">
        <v>35379.491115960103</v>
      </c>
      <c r="U1710" s="106">
        <v>33562.291458852866</v>
      </c>
      <c r="V1710" s="106">
        <v>0.79896275146473417</v>
      </c>
      <c r="W1710" s="106">
        <v>112591.50708074533</v>
      </c>
      <c r="X1710" s="110">
        <v>0.66547895378138922</v>
      </c>
      <c r="Y1710" s="106">
        <v>426.76689189189187</v>
      </c>
      <c r="Z1710" s="106">
        <v>10.837837837837839</v>
      </c>
      <c r="AA1710" s="106">
        <v>84379.177899686518</v>
      </c>
      <c r="AB1710" s="106">
        <v>852.32167538769659</v>
      </c>
      <c r="AC1710" s="106">
        <v>1.1851265026412579</v>
      </c>
      <c r="AD1710" s="106">
        <v>40.366972477064223</v>
      </c>
      <c r="AE1710" s="106">
        <v>98.999216300940432</v>
      </c>
      <c r="AF1710" s="106">
        <v>2.6825532956085626E-2</v>
      </c>
      <c r="AG1710" s="106">
        <v>42120</v>
      </c>
      <c r="AH1710" s="106">
        <v>31383.762001246883</v>
      </c>
      <c r="AI1710" s="106">
        <v>35148.778834164586</v>
      </c>
      <c r="AJ1710" s="106">
        <v>37599.670511221942</v>
      </c>
      <c r="AK1710" s="104">
        <v>33562.291458852866</v>
      </c>
      <c r="AM1710" s="118">
        <v>4560</v>
      </c>
      <c r="AN1710" s="118">
        <v>252646</v>
      </c>
      <c r="AO1710" s="118">
        <v>1283</v>
      </c>
      <c r="AP1710" s="118">
        <f t="shared" si="26"/>
        <v>765</v>
      </c>
    </row>
    <row r="1711" spans="1:42" ht="12.75">
      <c r="A1711" s="106">
        <v>2018</v>
      </c>
      <c r="B1711" s="106">
        <v>-207740</v>
      </c>
      <c r="C1711" s="106">
        <v>0</v>
      </c>
      <c r="D1711" s="106">
        <v>207740</v>
      </c>
      <c r="E1711" s="106" t="s">
        <v>2738</v>
      </c>
      <c r="F1711" s="106" t="s">
        <v>2739</v>
      </c>
      <c r="G1711" s="106" t="s">
        <v>271</v>
      </c>
      <c r="H1711" s="106">
        <v>4</v>
      </c>
      <c r="I1711" s="106" t="s">
        <v>24</v>
      </c>
      <c r="J1711" s="106">
        <v>4440</v>
      </c>
      <c r="K1711" s="106">
        <v>10241</v>
      </c>
      <c r="L1711" s="106">
        <v>9710</v>
      </c>
      <c r="M1711" s="106">
        <v>0.64</v>
      </c>
      <c r="N1711" s="106">
        <v>0.28000000000000003</v>
      </c>
      <c r="O1711" s="106">
        <v>0.33</v>
      </c>
      <c r="P1711" s="106">
        <v>6092</v>
      </c>
      <c r="Q1711" s="106">
        <v>2413.0177514792899</v>
      </c>
      <c r="R1711" s="106">
        <v>0.47315547929493101</v>
      </c>
      <c r="S1711" s="106">
        <v>16282.843617920542</v>
      </c>
      <c r="T1711" s="106">
        <v>16750.642434488589</v>
      </c>
      <c r="U1711" s="106">
        <v>8134.8622147083688</v>
      </c>
      <c r="V1711" s="106">
        <v>0.33028504473716641</v>
      </c>
      <c r="W1711" s="106">
        <v>58919.165517241381</v>
      </c>
      <c r="X1711" s="110">
        <v>0.43113013164607811</v>
      </c>
      <c r="Y1711" s="106">
        <v>601.33898305084745</v>
      </c>
      <c r="Z1711" s="106">
        <v>20.050847457627118</v>
      </c>
      <c r="AA1711" s="106">
        <v>46267.028846153844</v>
      </c>
      <c r="AB1711" s="106">
        <v>271.24614560726064</v>
      </c>
      <c r="AC1711" s="106">
        <v>2.1613663659388611</v>
      </c>
      <c r="AD1711" s="106">
        <v>17.464315701091522</v>
      </c>
      <c r="AE1711" s="106">
        <v>170.57211538461539</v>
      </c>
      <c r="AF1711" s="106">
        <v>-9.386294331953976E-2</v>
      </c>
      <c r="AG1711" s="106">
        <v>2880</v>
      </c>
      <c r="AH1711" s="106">
        <v>14120.062552831783</v>
      </c>
      <c r="AI1711" s="106">
        <v>14120.062552831783</v>
      </c>
      <c r="AJ1711" s="106">
        <v>16286.477599323753</v>
      </c>
      <c r="AK1711" s="104">
        <v>10807.077768385461</v>
      </c>
      <c r="AL1711" s="118">
        <v>5125385</v>
      </c>
      <c r="AM1711" s="118">
        <v>1633</v>
      </c>
      <c r="AN1711" s="118">
        <v>35479</v>
      </c>
      <c r="AO1711" s="118">
        <v>208</v>
      </c>
      <c r="AP1711" s="118">
        <f t="shared" si="26"/>
        <v>1560</v>
      </c>
    </row>
    <row r="1712" spans="1:42" ht="12.75">
      <c r="A1712" s="106">
        <v>2018</v>
      </c>
      <c r="B1712" s="106">
        <v>-137209</v>
      </c>
      <c r="C1712" s="106">
        <v>0</v>
      </c>
      <c r="D1712" s="106">
        <v>137209</v>
      </c>
      <c r="E1712" s="106" t="s">
        <v>2740</v>
      </c>
      <c r="F1712" s="106" t="s">
        <v>653</v>
      </c>
      <c r="G1712" s="106" t="s">
        <v>258</v>
      </c>
      <c r="H1712" s="106">
        <v>4</v>
      </c>
      <c r="I1712" s="106" t="s">
        <v>24</v>
      </c>
      <c r="J1712" s="107">
        <v>3131</v>
      </c>
      <c r="K1712" s="107">
        <v>8392</v>
      </c>
      <c r="L1712" s="107">
        <v>7538</v>
      </c>
      <c r="M1712" s="107">
        <v>0.46</v>
      </c>
      <c r="N1712" s="107">
        <v>0.17</v>
      </c>
      <c r="O1712" s="107">
        <v>0.21</v>
      </c>
      <c r="P1712" s="107">
        <v>1090</v>
      </c>
      <c r="Q1712" s="106">
        <v>190.80530820437451</v>
      </c>
      <c r="R1712" s="106">
        <v>5.9936033506573991E-2</v>
      </c>
      <c r="S1712" s="106">
        <v>9273.4923489236626</v>
      </c>
      <c r="T1712" s="106">
        <v>10944.24734157517</v>
      </c>
      <c r="U1712" s="106">
        <v>9334.2868505230399</v>
      </c>
      <c r="V1712" s="106">
        <v>0.32061122039280354</v>
      </c>
      <c r="W1712" s="106">
        <v>68551.371456822686</v>
      </c>
      <c r="X1712" s="110">
        <v>0.54765093612588445</v>
      </c>
      <c r="Y1712" s="106">
        <v>853.69431162407238</v>
      </c>
      <c r="Z1712" s="106">
        <v>28.607584501236602</v>
      </c>
      <c r="AA1712" s="106">
        <v>19018.794433679759</v>
      </c>
      <c r="AB1712" s="106">
        <v>312.79510264876615</v>
      </c>
      <c r="AC1712" s="106">
        <v>5.2579568252188098</v>
      </c>
      <c r="AD1712" s="106">
        <v>53.22021186837911</v>
      </c>
      <c r="AE1712" s="106">
        <v>60.802724443661553</v>
      </c>
      <c r="AF1712" s="107">
        <v>-3.0396642399735878E-2</v>
      </c>
      <c r="AG1712" s="106">
        <v>2393</v>
      </c>
      <c r="AH1712" s="106">
        <v>7940.6616235843348</v>
      </c>
      <c r="AI1712" s="106">
        <v>7980.9676666378491</v>
      </c>
      <c r="AJ1712" s="106">
        <v>9316.0210944929549</v>
      </c>
      <c r="AK1712" s="104">
        <v>10865.653410564537</v>
      </c>
      <c r="AL1712" s="118">
        <v>45684052</v>
      </c>
      <c r="AM1712" s="118">
        <v>17550</v>
      </c>
      <c r="AN1712" s="118">
        <v>345177.06666666665</v>
      </c>
      <c r="AO1712" s="118">
        <v>3173</v>
      </c>
      <c r="AP1712" s="118">
        <f t="shared" si="26"/>
        <v>738</v>
      </c>
    </row>
    <row r="1713" spans="1:42" ht="12.75">
      <c r="A1713" s="106">
        <v>2018</v>
      </c>
      <c r="B1713" s="106">
        <v>-186584</v>
      </c>
      <c r="C1713" s="106">
        <v>0</v>
      </c>
      <c r="D1713" s="106">
        <v>186584</v>
      </c>
      <c r="E1713" s="106" t="s">
        <v>2741</v>
      </c>
      <c r="F1713" s="106" t="s">
        <v>2742</v>
      </c>
      <c r="G1713" s="106" t="s">
        <v>234</v>
      </c>
      <c r="H1713" s="106">
        <v>5</v>
      </c>
      <c r="I1713" s="106" t="s">
        <v>3639</v>
      </c>
      <c r="J1713" s="106">
        <v>40588</v>
      </c>
      <c r="K1713" s="106">
        <v>29974</v>
      </c>
      <c r="L1713" s="106">
        <v>19918</v>
      </c>
      <c r="M1713" s="106">
        <v>0.27</v>
      </c>
      <c r="N1713" s="106">
        <v>0.56999999999999995</v>
      </c>
      <c r="O1713" s="106">
        <v>0.97</v>
      </c>
      <c r="P1713" s="106">
        <v>21193</v>
      </c>
      <c r="Q1713" s="106">
        <v>12997.326203208557</v>
      </c>
      <c r="R1713" s="106">
        <v>0.35944061545855915</v>
      </c>
      <c r="S1713" s="106">
        <v>32984.514260249554</v>
      </c>
      <c r="T1713" s="106">
        <v>31752.896613190729</v>
      </c>
      <c r="U1713" s="106">
        <v>26566.744488869484</v>
      </c>
      <c r="V1713" s="106">
        <v>0.87186236059085587</v>
      </c>
      <c r="W1713" s="106">
        <v>107477.41935483871</v>
      </c>
      <c r="X1713" s="110">
        <v>0.5844976036264885</v>
      </c>
      <c r="Y1713" s="106">
        <v>350.6476709613479</v>
      </c>
      <c r="Z1713" s="106">
        <v>13.34390485629336</v>
      </c>
      <c r="AA1713" s="106">
        <v>93258.935679347866</v>
      </c>
      <c r="AB1713" s="106">
        <v>1010.9980477811517</v>
      </c>
      <c r="AC1713" s="106">
        <v>1.0722833074551692</v>
      </c>
      <c r="AD1713" s="106">
        <v>31.03908715707696</v>
      </c>
      <c r="AE1713" s="106">
        <v>92.244427062964405</v>
      </c>
      <c r="AF1713" s="106">
        <v>2.0110710137898197E-2</v>
      </c>
      <c r="AG1713" s="106">
        <v>38400</v>
      </c>
      <c r="AH1713" s="106">
        <v>30931.48395721925</v>
      </c>
      <c r="AI1713" s="106">
        <v>32692.290552584669</v>
      </c>
      <c r="AJ1713" s="106">
        <v>35594.139928698751</v>
      </c>
      <c r="AK1713" s="104">
        <v>28230.280748663103</v>
      </c>
      <c r="AL1713" s="118">
        <v>109000</v>
      </c>
      <c r="AM1713" s="118">
        <v>5969</v>
      </c>
      <c r="AN1713" s="118">
        <v>235869</v>
      </c>
      <c r="AO1713" s="118">
        <v>1259</v>
      </c>
      <c r="AP1713" s="118">
        <f t="shared" si="26"/>
        <v>2188</v>
      </c>
    </row>
    <row r="1714" spans="1:42" ht="12.75">
      <c r="A1714" s="106">
        <v>2018</v>
      </c>
      <c r="B1714" s="106">
        <v>-215947</v>
      </c>
      <c r="C1714" s="106">
        <v>0</v>
      </c>
      <c r="D1714" s="106">
        <v>215947</v>
      </c>
      <c r="E1714" s="106" t="s">
        <v>2743</v>
      </c>
      <c r="F1714" s="106" t="s">
        <v>2744</v>
      </c>
      <c r="G1714" s="106" t="s">
        <v>104</v>
      </c>
      <c r="H1714" s="106">
        <v>6</v>
      </c>
      <c r="I1714" s="106" t="s">
        <v>3640</v>
      </c>
      <c r="J1714" s="106">
        <v>34740</v>
      </c>
      <c r="K1714" s="106">
        <v>23847</v>
      </c>
      <c r="L1714" s="106">
        <v>20419</v>
      </c>
      <c r="M1714" s="106">
        <v>0.28999999999999998</v>
      </c>
      <c r="N1714" s="106">
        <v>0.78</v>
      </c>
      <c r="O1714" s="106">
        <v>1</v>
      </c>
      <c r="P1714" s="106">
        <v>21197</v>
      </c>
      <c r="Q1714" s="106">
        <v>13369.900391474554</v>
      </c>
      <c r="R1714" s="106">
        <v>0.48984844299328251</v>
      </c>
      <c r="S1714" s="106">
        <v>23578.346237494563</v>
      </c>
      <c r="T1714" s="106">
        <v>22116.990430622009</v>
      </c>
      <c r="U1714" s="106">
        <v>19466.188086404538</v>
      </c>
      <c r="V1714" s="106">
        <v>0.71529426150483477</v>
      </c>
      <c r="W1714" s="106">
        <v>78470.418128654972</v>
      </c>
      <c r="X1714" s="110">
        <v>0.52779718732846193</v>
      </c>
      <c r="Y1714" s="106">
        <v>499.27067669172931</v>
      </c>
      <c r="Z1714" s="106">
        <v>17.285714285714285</v>
      </c>
      <c r="AA1714" s="106">
        <v>96867.459763298772</v>
      </c>
      <c r="AB1714" s="106">
        <v>673.95699607915356</v>
      </c>
      <c r="AC1714" s="106">
        <v>1.0323384162685361</v>
      </c>
      <c r="AD1714" s="106">
        <v>22.308063737324964</v>
      </c>
      <c r="AE1714" s="106">
        <v>143.72943722943722</v>
      </c>
      <c r="AF1714" s="106">
        <v>4.5546571034126695E-2</v>
      </c>
      <c r="AG1714" s="106">
        <v>33990</v>
      </c>
      <c r="AH1714" s="106">
        <v>21117.342757720748</v>
      </c>
      <c r="AI1714" s="106">
        <v>23695.600260983036</v>
      </c>
      <c r="AJ1714" s="106">
        <v>24372.707698999566</v>
      </c>
      <c r="AK1714" s="104">
        <v>19507.275337103089</v>
      </c>
      <c r="AL1714" s="118"/>
      <c r="AM1714" s="118">
        <v>2092</v>
      </c>
      <c r="AN1714" s="118">
        <v>66403</v>
      </c>
      <c r="AO1714" s="118">
        <v>319</v>
      </c>
      <c r="AP1714" s="118">
        <f t="shared" si="26"/>
        <v>750</v>
      </c>
    </row>
    <row r="1715" spans="1:42" ht="12.75">
      <c r="A1715" s="106">
        <v>2018</v>
      </c>
      <c r="B1715" s="106">
        <v>-221519</v>
      </c>
      <c r="C1715" s="106">
        <v>0</v>
      </c>
      <c r="D1715" s="106">
        <v>221519</v>
      </c>
      <c r="E1715" s="106" t="s">
        <v>2745</v>
      </c>
      <c r="F1715" s="106" t="s">
        <v>2746</v>
      </c>
      <c r="G1715" s="106" t="s">
        <v>255</v>
      </c>
      <c r="H1715" s="106">
        <v>7</v>
      </c>
      <c r="I1715" s="106" t="s">
        <v>3641</v>
      </c>
      <c r="J1715" s="106">
        <v>41084</v>
      </c>
      <c r="K1715" s="106">
        <v>34564</v>
      </c>
      <c r="L1715" s="106">
        <v>13836</v>
      </c>
      <c r="M1715" s="106">
        <v>0.16</v>
      </c>
      <c r="N1715" s="106">
        <v>0.37</v>
      </c>
      <c r="O1715" s="106">
        <v>0.92</v>
      </c>
      <c r="P1715" s="106">
        <v>24318</v>
      </c>
      <c r="Q1715" s="106">
        <v>18075.381607929514</v>
      </c>
      <c r="R1715" s="106">
        <v>0.42665832558294425</v>
      </c>
      <c r="S1715" s="106">
        <v>58383.45484581498</v>
      </c>
      <c r="T1715" s="106">
        <v>59961.397026431718</v>
      </c>
      <c r="U1715" s="106">
        <v>48212.047886191445</v>
      </c>
      <c r="V1715" s="106">
        <v>0.50380814156730513</v>
      </c>
      <c r="W1715" s="106">
        <v>86251.139860139854</v>
      </c>
      <c r="X1715" s="110">
        <v>0.56634790461781781</v>
      </c>
      <c r="Y1715" s="106">
        <v>316.5083179297597</v>
      </c>
      <c r="Z1715" s="106">
        <v>10.070240295748613</v>
      </c>
      <c r="AA1715" s="106">
        <v>195868.18559580238</v>
      </c>
      <c r="AB1715" s="106">
        <v>1533.9467554588305</v>
      </c>
      <c r="AC1715" s="106">
        <v>0.51054743625573806</v>
      </c>
      <c r="AD1715" s="106">
        <v>25.397727272727273</v>
      </c>
      <c r="AE1715" s="106">
        <v>127.68903803131991</v>
      </c>
      <c r="AF1715" s="106">
        <v>3.9181256873039402E-2</v>
      </c>
      <c r="AG1715" s="106">
        <v>40812</v>
      </c>
      <c r="AH1715" s="106">
        <v>43866.14757709251</v>
      </c>
      <c r="AI1715" s="106">
        <v>57706.486784140972</v>
      </c>
      <c r="AJ1715" s="106">
        <v>72805.022026431718</v>
      </c>
      <c r="AK1715" s="104">
        <v>49113.240638766518</v>
      </c>
      <c r="AL1715" s="118"/>
      <c r="AM1715" s="118">
        <v>1702</v>
      </c>
      <c r="AN1715" s="118">
        <v>57077</v>
      </c>
      <c r="AO1715" s="118">
        <v>407</v>
      </c>
      <c r="AP1715" s="118">
        <f t="shared" si="26"/>
        <v>272</v>
      </c>
    </row>
    <row r="1716" spans="1:42" ht="12.75">
      <c r="A1716" s="106">
        <v>2018</v>
      </c>
      <c r="B1716" s="106">
        <v>-155858</v>
      </c>
      <c r="C1716" s="106">
        <v>0</v>
      </c>
      <c r="D1716" s="106">
        <v>155858</v>
      </c>
      <c r="E1716" s="106" t="s">
        <v>4192</v>
      </c>
      <c r="F1716" s="106" t="s">
        <v>2747</v>
      </c>
      <c r="G1716" s="106" t="s">
        <v>129</v>
      </c>
      <c r="H1716" s="106">
        <v>4</v>
      </c>
      <c r="I1716" s="106" t="s">
        <v>24</v>
      </c>
      <c r="J1716" s="106">
        <v>3008</v>
      </c>
      <c r="K1716" s="106">
        <v>6982</v>
      </c>
      <c r="L1716" s="106">
        <v>5244</v>
      </c>
      <c r="M1716" s="106">
        <v>0.46</v>
      </c>
      <c r="N1716" s="106">
        <v>0.19</v>
      </c>
      <c r="O1716" s="106">
        <v>0.31</v>
      </c>
      <c r="P1716" s="106">
        <v>1759</v>
      </c>
      <c r="Q1716" s="106">
        <v>533.5745762711864</v>
      </c>
      <c r="R1716" s="106">
        <v>0.18494758842113149</v>
      </c>
      <c r="S1716" s="106">
        <v>18469.986440677967</v>
      </c>
      <c r="T1716" s="106">
        <v>18822.971186440678</v>
      </c>
      <c r="U1716" s="106">
        <v>13461.607627118645</v>
      </c>
      <c r="V1716" s="106">
        <v>0.1746767344696597</v>
      </c>
      <c r="W1716" s="106">
        <v>53456.694444444445</v>
      </c>
      <c r="X1716" s="110">
        <v>0.51985911912716098</v>
      </c>
      <c r="Y1716" s="106">
        <v>431.53658536585368</v>
      </c>
      <c r="Z1716" s="106">
        <v>14.390243902439025</v>
      </c>
      <c r="AA1716" s="106">
        <v>28064.835689045936</v>
      </c>
      <c r="AB1716" s="106">
        <v>448.89778443452212</v>
      </c>
      <c r="AC1716" s="106">
        <v>3.5631778182485951</v>
      </c>
      <c r="AD1716" s="106">
        <v>51.595259799453054</v>
      </c>
      <c r="AE1716" s="106">
        <v>62.519434628975262</v>
      </c>
      <c r="AF1716" s="106">
        <v>-1.0360465673877762E-2</v>
      </c>
      <c r="AG1716" s="106">
        <v>1920</v>
      </c>
      <c r="AH1716" s="106">
        <v>17895.352542372882</v>
      </c>
      <c r="AI1716" s="106">
        <v>17981.115254237287</v>
      </c>
      <c r="AJ1716" s="106">
        <v>18581.834745762713</v>
      </c>
      <c r="AK1716" s="104">
        <v>13995.18220338983</v>
      </c>
      <c r="AL1716" s="118">
        <v>14880548</v>
      </c>
      <c r="AM1716" s="118">
        <v>1746</v>
      </c>
      <c r="AN1716" s="118">
        <v>35386</v>
      </c>
      <c r="AO1716" s="118">
        <v>220</v>
      </c>
      <c r="AP1716" s="118">
        <f t="shared" si="26"/>
        <v>1088</v>
      </c>
    </row>
    <row r="1717" spans="1:42" ht="12.75">
      <c r="A1717" s="106">
        <v>2018</v>
      </c>
      <c r="B1717" s="106">
        <v>-123299</v>
      </c>
      <c r="C1717" s="106">
        <v>0</v>
      </c>
      <c r="D1717" s="106">
        <v>123299</v>
      </c>
      <c r="E1717" s="106" t="s">
        <v>2748</v>
      </c>
      <c r="F1717" s="106" t="s">
        <v>2749</v>
      </c>
      <c r="G1717" s="106" t="s">
        <v>121</v>
      </c>
      <c r="H1717" s="106">
        <v>4</v>
      </c>
      <c r="I1717" s="106" t="s">
        <v>24</v>
      </c>
      <c r="J1717" s="106">
        <v>1185</v>
      </c>
      <c r="K1717" s="106">
        <v>6112</v>
      </c>
      <c r="L1717" s="106">
        <v>4354</v>
      </c>
      <c r="M1717" s="106">
        <v>0.6</v>
      </c>
      <c r="N1717" s="106">
        <v>0.08</v>
      </c>
      <c r="O1717" s="106">
        <v>0.01</v>
      </c>
      <c r="P1717" s="106">
        <v>603</v>
      </c>
      <c r="Q1717" s="106">
        <v>481.22112392458354</v>
      </c>
      <c r="R1717" s="106">
        <v>0.22272761007640604</v>
      </c>
      <c r="S1717" s="106">
        <v>16253.621636463482</v>
      </c>
      <c r="T1717" s="106">
        <v>17643.363170419183</v>
      </c>
      <c r="U1717" s="106">
        <v>8740.7591235693417</v>
      </c>
      <c r="V1717" s="106">
        <v>0.19212979306306563</v>
      </c>
      <c r="W1717" s="106">
        <v>104675.20643806858</v>
      </c>
      <c r="X1717" s="110">
        <v>0.51729969924063313</v>
      </c>
      <c r="Y1717" s="106">
        <v>758.72222222222217</v>
      </c>
      <c r="Z1717" s="106">
        <v>25.291666666666668</v>
      </c>
      <c r="AA1717" s="106">
        <v>29714.229677697145</v>
      </c>
      <c r="AB1717" s="106">
        <v>291.3693044596136</v>
      </c>
      <c r="AC1717" s="106">
        <v>3.3653909619961584</v>
      </c>
      <c r="AD1717" s="106">
        <v>28.109148154626553</v>
      </c>
      <c r="AE1717" s="106">
        <v>101.98133167392658</v>
      </c>
      <c r="AF1717" s="106">
        <v>-0.11405460754172395</v>
      </c>
      <c r="AG1717" s="106">
        <v>1104</v>
      </c>
      <c r="AH1717" s="106">
        <v>14473.470620538166</v>
      </c>
      <c r="AI1717" s="106">
        <v>14473.470620538166</v>
      </c>
      <c r="AJ1717" s="106">
        <v>16379.966135822808</v>
      </c>
      <c r="AK1717" s="104">
        <v>12225.27585575691</v>
      </c>
      <c r="AL1717" s="118">
        <v>40305044</v>
      </c>
      <c r="AM1717" s="118">
        <v>9160</v>
      </c>
      <c r="AN1717" s="118">
        <v>163884</v>
      </c>
      <c r="AO1717" s="118">
        <v>916</v>
      </c>
      <c r="AP1717" s="118">
        <f t="shared" si="26"/>
        <v>81</v>
      </c>
    </row>
    <row r="1718" spans="1:42" ht="12.75">
      <c r="A1718" s="106">
        <v>2018</v>
      </c>
      <c r="B1718" s="106">
        <v>-199643</v>
      </c>
      <c r="C1718" s="106">
        <v>0</v>
      </c>
      <c r="D1718" s="106">
        <v>199643</v>
      </c>
      <c r="E1718" s="106" t="s">
        <v>2750</v>
      </c>
      <c r="F1718" s="106" t="s">
        <v>1949</v>
      </c>
      <c r="G1718" s="106" t="s">
        <v>90</v>
      </c>
      <c r="H1718" s="106">
        <v>7</v>
      </c>
      <c r="I1718" s="106" t="s">
        <v>3641</v>
      </c>
      <c r="J1718" s="106">
        <v>16480</v>
      </c>
      <c r="K1718" s="106">
        <v>18773</v>
      </c>
      <c r="L1718" s="106">
        <v>17533</v>
      </c>
      <c r="M1718" s="106">
        <v>0.84</v>
      </c>
      <c r="N1718" s="106">
        <v>0.88</v>
      </c>
      <c r="O1718" s="106">
        <v>0.94</v>
      </c>
      <c r="P1718" s="106">
        <v>3869</v>
      </c>
      <c r="Q1718" s="106">
        <v>3993.2361290322578</v>
      </c>
      <c r="R1718" s="106">
        <v>0.21202457649489187</v>
      </c>
      <c r="S1718" s="106">
        <v>23792.38258064516</v>
      </c>
      <c r="T1718" s="106">
        <v>27237.832903225808</v>
      </c>
      <c r="U1718" s="106">
        <v>18122.526518323753</v>
      </c>
      <c r="V1718" s="106">
        <v>0.81890347822057896</v>
      </c>
      <c r="W1718" s="106">
        <v>59504.750320102437</v>
      </c>
      <c r="X1718" s="110">
        <v>0.36692488514729787</v>
      </c>
      <c r="Y1718" s="106">
        <v>470.75426621160409</v>
      </c>
      <c r="Z1718" s="106">
        <v>15.870307167235493</v>
      </c>
      <c r="AA1718" s="106">
        <v>135700.07779421168</v>
      </c>
      <c r="AB1718" s="106">
        <v>610.95582798794658</v>
      </c>
      <c r="AC1718" s="106">
        <v>0.73691925329364494</v>
      </c>
      <c r="AD1718" s="106">
        <v>13.018867924528301</v>
      </c>
      <c r="AE1718" s="106">
        <v>222.11111111111111</v>
      </c>
      <c r="AF1718" s="106">
        <v>-0.12449511001133</v>
      </c>
      <c r="AG1718" s="106">
        <v>11808</v>
      </c>
      <c r="AH1718" s="106">
        <v>22463.814193548387</v>
      </c>
      <c r="AI1718" s="106">
        <v>23792.38258064516</v>
      </c>
      <c r="AJ1718" s="106">
        <v>24618.411612903226</v>
      </c>
      <c r="AK1718" s="104">
        <v>23081.633548387097</v>
      </c>
      <c r="AL1718" s="118"/>
      <c r="AM1718" s="118">
        <v>1546</v>
      </c>
      <c r="AN1718" s="118">
        <v>45977</v>
      </c>
      <c r="AO1718" s="118">
        <v>179</v>
      </c>
      <c r="AP1718" s="118">
        <f t="shared" si="26"/>
        <v>4672</v>
      </c>
    </row>
    <row r="1719" spans="1:42">
      <c r="A1719" s="106">
        <v>2018</v>
      </c>
      <c r="B1719" s="106">
        <v>-148821</v>
      </c>
      <c r="C1719" s="106">
        <v>0</v>
      </c>
      <c r="D1719" s="106">
        <v>148821</v>
      </c>
      <c r="E1719" s="106" t="s">
        <v>2751</v>
      </c>
      <c r="F1719" s="106" t="s">
        <v>2752</v>
      </c>
      <c r="G1719" s="106" t="s">
        <v>243</v>
      </c>
      <c r="H1719" s="106">
        <v>4</v>
      </c>
      <c r="I1719" s="106" t="s">
        <v>24</v>
      </c>
      <c r="J1719" s="106">
        <v>3600</v>
      </c>
      <c r="K1719" s="107">
        <v>10682</v>
      </c>
      <c r="L1719" s="107">
        <v>10917</v>
      </c>
      <c r="M1719" s="107">
        <v>0.6</v>
      </c>
      <c r="N1719" s="107">
        <v>0.01</v>
      </c>
      <c r="O1719" s="107">
        <v>0.52</v>
      </c>
      <c r="P1719" s="107">
        <v>3214</v>
      </c>
      <c r="Q1719" s="107">
        <v>1634.1684397163122</v>
      </c>
      <c r="R1719" s="107">
        <v>0.40004687688199281</v>
      </c>
      <c r="S1719" s="107">
        <v>18406.03014184397</v>
      </c>
      <c r="T1719" s="107">
        <v>18372.369680851065</v>
      </c>
      <c r="U1719" s="107">
        <v>15346.588259525683</v>
      </c>
      <c r="V1719" s="107">
        <v>0.15969503414864919</v>
      </c>
      <c r="W1719" s="107">
        <v>63490.734246575339</v>
      </c>
      <c r="X1719" s="111">
        <v>0.37274144467922821</v>
      </c>
      <c r="Y1719" s="107">
        <v>663.62745098039215</v>
      </c>
      <c r="Z1719" s="107">
        <v>22.117647058823529</v>
      </c>
      <c r="AA1719" s="107">
        <v>33162.74244587159</v>
      </c>
      <c r="AB1719" s="107">
        <v>511.47736908686574</v>
      </c>
      <c r="AC1719" s="107">
        <v>3.0154321574345229</v>
      </c>
      <c r="AD1719" s="107">
        <v>54.54545454545454</v>
      </c>
      <c r="AE1719" s="107">
        <v>64.837164750957854</v>
      </c>
      <c r="AF1719" s="106">
        <v>7.7727398292111892E-3</v>
      </c>
      <c r="AG1719" s="107">
        <v>3450</v>
      </c>
      <c r="AH1719" s="107">
        <v>17140.069148936171</v>
      </c>
      <c r="AI1719" s="107">
        <v>17140.069148936171</v>
      </c>
      <c r="AJ1719" s="107">
        <v>18610.439716312056</v>
      </c>
      <c r="AK1719" s="104">
        <v>17417.203014184397</v>
      </c>
      <c r="AL1719" s="118">
        <v>14798787</v>
      </c>
      <c r="AM1719" s="118">
        <v>1505</v>
      </c>
      <c r="AN1719" s="118">
        <v>33845</v>
      </c>
      <c r="AO1719" s="118">
        <v>278</v>
      </c>
      <c r="AP1719" s="118">
        <f t="shared" si="26"/>
        <v>150</v>
      </c>
    </row>
    <row r="1720" spans="1:42" ht="12.75">
      <c r="A1720" s="106">
        <v>2018</v>
      </c>
      <c r="B1720" s="106">
        <v>-205443</v>
      </c>
      <c r="C1720" s="106">
        <v>0</v>
      </c>
      <c r="D1720" s="106">
        <v>205443</v>
      </c>
      <c r="E1720" s="106" t="s">
        <v>2753</v>
      </c>
      <c r="F1720" s="106" t="s">
        <v>1387</v>
      </c>
      <c r="G1720" s="106" t="s">
        <v>82</v>
      </c>
      <c r="H1720" s="106">
        <v>3</v>
      </c>
      <c r="I1720" s="104" t="s">
        <v>26</v>
      </c>
      <c r="J1720" s="106">
        <v>7439</v>
      </c>
      <c r="K1720" s="106">
        <v>12041</v>
      </c>
      <c r="L1720" s="106">
        <v>13675</v>
      </c>
      <c r="M1720" s="106">
        <v>0.47</v>
      </c>
      <c r="N1720" s="106">
        <v>0.61</v>
      </c>
      <c r="O1720" s="106">
        <v>0.89</v>
      </c>
      <c r="P1720" s="106">
        <v>2664</v>
      </c>
      <c r="Q1720" s="106">
        <v>1697.7447257383967</v>
      </c>
      <c r="R1720" s="106">
        <v>0.18110487496998393</v>
      </c>
      <c r="S1720" s="106">
        <v>16372.122061482822</v>
      </c>
      <c r="T1720" s="106">
        <v>14941.877637130801</v>
      </c>
      <c r="U1720" s="106">
        <v>13095.127783407532</v>
      </c>
      <c r="V1720" s="106">
        <v>0.58622022014248409</v>
      </c>
      <c r="W1720" s="106">
        <v>49747.138084632519</v>
      </c>
      <c r="X1720" s="110">
        <v>0.45053951265855341</v>
      </c>
      <c r="Y1720" s="106">
        <v>461.97196261682245</v>
      </c>
      <c r="Z1720" s="106">
        <v>15.504672897196262</v>
      </c>
      <c r="AA1720" s="106">
        <v>60263.015236263789</v>
      </c>
      <c r="AB1720" s="106">
        <v>439.4978251031356</v>
      </c>
      <c r="AC1720" s="106">
        <v>1.6593925744993943</v>
      </c>
      <c r="AD1720" s="106">
        <v>22.566510172143975</v>
      </c>
      <c r="AE1720" s="106">
        <v>137.11789181692095</v>
      </c>
      <c r="AF1720" s="106">
        <v>0.18484843687948432</v>
      </c>
      <c r="AG1720" s="106">
        <v>6251</v>
      </c>
      <c r="AH1720" s="106">
        <v>15680.482218203737</v>
      </c>
      <c r="AI1720" s="106">
        <v>15680.482218203737</v>
      </c>
      <c r="AJ1720" s="106">
        <v>16650.070524412298</v>
      </c>
      <c r="AK1720" s="104">
        <v>15748.183544303798</v>
      </c>
      <c r="AL1720" s="118">
        <v>15811797</v>
      </c>
      <c r="AM1720" s="118">
        <v>3406</v>
      </c>
      <c r="AN1720" s="118">
        <v>98862</v>
      </c>
      <c r="AO1720" s="118">
        <v>675</v>
      </c>
      <c r="AP1720" s="118">
        <f t="shared" si="26"/>
        <v>1188</v>
      </c>
    </row>
    <row r="1721" spans="1:42" ht="12.75">
      <c r="A1721" s="106">
        <v>2018</v>
      </c>
      <c r="B1721" s="106">
        <v>-102067</v>
      </c>
      <c r="C1721" s="106">
        <v>0</v>
      </c>
      <c r="D1721" s="106">
        <v>102067</v>
      </c>
      <c r="E1721" s="106" t="s">
        <v>2754</v>
      </c>
      <c r="F1721" s="106" t="s">
        <v>2755</v>
      </c>
      <c r="G1721" s="106" t="s">
        <v>85</v>
      </c>
      <c r="H1721" s="106">
        <v>4</v>
      </c>
      <c r="I1721" s="106" t="s">
        <v>24</v>
      </c>
      <c r="J1721" s="106">
        <v>4189</v>
      </c>
      <c r="K1721" s="106">
        <v>7024</v>
      </c>
      <c r="L1721" s="106">
        <v>6045</v>
      </c>
      <c r="M1721" s="106">
        <v>0.57999999999999996</v>
      </c>
      <c r="N1721" s="106">
        <v>0</v>
      </c>
      <c r="O1721" s="106">
        <v>0.18</v>
      </c>
      <c r="P1721" s="106">
        <v>4105</v>
      </c>
      <c r="Q1721" s="106">
        <v>652.30422535211267</v>
      </c>
      <c r="R1721" s="106">
        <v>0.14670105706509448</v>
      </c>
      <c r="S1721" s="106">
        <v>11965.861971830986</v>
      </c>
      <c r="T1721" s="106">
        <v>11949.716056338028</v>
      </c>
      <c r="U1721" s="106">
        <v>10355.784507042254</v>
      </c>
      <c r="V1721" s="106">
        <v>0.36638286256833802</v>
      </c>
      <c r="W1721" s="106">
        <v>70976.497109826596</v>
      </c>
      <c r="X1721" s="110">
        <v>0.57890156244386692</v>
      </c>
      <c r="Y1721" s="106">
        <v>804.70277078085633</v>
      </c>
      <c r="Z1721" s="106">
        <v>26.826196473551637</v>
      </c>
      <c r="AA1721" s="106">
        <v>52593.755364806864</v>
      </c>
      <c r="AB1721" s="106">
        <v>345.22847430251011</v>
      </c>
      <c r="AC1721" s="106">
        <v>1.9013664133007515</v>
      </c>
      <c r="AD1721" s="106">
        <v>23.80790190735695</v>
      </c>
      <c r="AE1721" s="106">
        <v>152.3447782546495</v>
      </c>
      <c r="AF1721" s="106">
        <v>6.1538543398921503E-3</v>
      </c>
      <c r="AG1721" s="106">
        <v>3570</v>
      </c>
      <c r="AH1721" s="106">
        <v>10645.57014084507</v>
      </c>
      <c r="AI1721" s="106">
        <v>10651.371549295774</v>
      </c>
      <c r="AJ1721" s="106">
        <v>12005.197183098591</v>
      </c>
      <c r="AK1721" s="104">
        <v>11797.869577464789</v>
      </c>
      <c r="AL1721" s="118">
        <v>17898758</v>
      </c>
      <c r="AM1721" s="118">
        <v>4607</v>
      </c>
      <c r="AN1721" s="118">
        <v>106489</v>
      </c>
      <c r="AO1721" s="118">
        <v>535</v>
      </c>
      <c r="AP1721" s="118">
        <f t="shared" si="26"/>
        <v>619</v>
      </c>
    </row>
    <row r="1722" spans="1:42" ht="12.75">
      <c r="A1722" s="106">
        <v>2018</v>
      </c>
      <c r="B1722" s="106">
        <v>-233541</v>
      </c>
      <c r="C1722" s="106">
        <v>0</v>
      </c>
      <c r="D1722" s="106">
        <v>233541</v>
      </c>
      <c r="E1722" s="106" t="s">
        <v>2756</v>
      </c>
      <c r="F1722" s="106" t="s">
        <v>2757</v>
      </c>
      <c r="G1722" s="106" t="s">
        <v>261</v>
      </c>
      <c r="H1722" s="106">
        <v>5</v>
      </c>
      <c r="I1722" s="106" t="s">
        <v>3639</v>
      </c>
      <c r="J1722" s="106">
        <v>31920</v>
      </c>
      <c r="K1722" s="106">
        <v>29729</v>
      </c>
      <c r="L1722" s="106">
        <v>25851</v>
      </c>
      <c r="M1722" s="106">
        <v>0.24</v>
      </c>
      <c r="N1722" s="106">
        <v>0.67</v>
      </c>
      <c r="O1722" s="106">
        <v>1</v>
      </c>
      <c r="P1722" s="106">
        <v>13211</v>
      </c>
      <c r="Q1722" s="106">
        <v>6043.4194543297745</v>
      </c>
      <c r="R1722" s="106">
        <v>0.24703041191759517</v>
      </c>
      <c r="S1722" s="106">
        <v>23099.887069988137</v>
      </c>
      <c r="T1722" s="106">
        <v>23923.663107947807</v>
      </c>
      <c r="U1722" s="106">
        <v>21376.827370459188</v>
      </c>
      <c r="V1722" s="106">
        <v>0.86172065193765701</v>
      </c>
      <c r="W1722" s="106">
        <v>77507.642699603006</v>
      </c>
      <c r="X1722" s="110">
        <v>0.58083066503342384</v>
      </c>
      <c r="Y1722" s="106">
        <v>281.64432989690721</v>
      </c>
      <c r="Z1722" s="106">
        <v>13.036082474226806</v>
      </c>
      <c r="AA1722" s="106">
        <v>81912.115787714065</v>
      </c>
      <c r="AB1722" s="106">
        <v>989.43971192538822</v>
      </c>
      <c r="AC1722" s="106">
        <v>1.2208206202262317</v>
      </c>
      <c r="AD1722" s="106">
        <v>33.454987834549875</v>
      </c>
      <c r="AE1722" s="106">
        <v>82.786363636363632</v>
      </c>
      <c r="AF1722" s="106">
        <v>2.6255310458728098E-2</v>
      </c>
      <c r="AG1722" s="106">
        <v>30700</v>
      </c>
      <c r="AH1722" s="106">
        <v>21817.302016607355</v>
      </c>
      <c r="AI1722" s="106">
        <v>23136.955634638198</v>
      </c>
      <c r="AJ1722" s="106">
        <v>24898.003795966786</v>
      </c>
      <c r="AK1722" s="104">
        <v>21862.692763938314</v>
      </c>
      <c r="AL1722" s="118"/>
      <c r="AM1722" s="118">
        <v>2063</v>
      </c>
      <c r="AN1722" s="118">
        <v>91065</v>
      </c>
      <c r="AO1722" s="118">
        <v>492</v>
      </c>
      <c r="AP1722" s="118">
        <f t="shared" si="26"/>
        <v>1220</v>
      </c>
    </row>
    <row r="1723" spans="1:42" ht="12.75">
      <c r="A1723" s="106">
        <v>2018</v>
      </c>
      <c r="B1723" s="106">
        <v>-237792</v>
      </c>
      <c r="C1723" s="106">
        <v>0</v>
      </c>
      <c r="D1723" s="106">
        <v>237792</v>
      </c>
      <c r="E1723" s="106" t="s">
        <v>2758</v>
      </c>
      <c r="F1723" s="106" t="s">
        <v>2759</v>
      </c>
      <c r="G1723" s="106" t="s">
        <v>110</v>
      </c>
      <c r="H1723" s="106">
        <v>3</v>
      </c>
      <c r="I1723" s="104" t="s">
        <v>26</v>
      </c>
      <c r="J1723" s="106">
        <v>7328</v>
      </c>
      <c r="K1723" s="106">
        <v>9221</v>
      </c>
      <c r="L1723" s="106">
        <v>7062</v>
      </c>
      <c r="M1723" s="106">
        <v>0.39</v>
      </c>
      <c r="N1723" s="106">
        <v>0.55000000000000004</v>
      </c>
      <c r="O1723" s="106">
        <v>0.66</v>
      </c>
      <c r="P1723" s="106">
        <v>4108</v>
      </c>
      <c r="Q1723" s="106">
        <v>1943.8535220539829</v>
      </c>
      <c r="R1723" s="106">
        <v>0.21180245055469762</v>
      </c>
      <c r="S1723" s="106">
        <v>17792.219881500987</v>
      </c>
      <c r="T1723" s="106">
        <v>19825.157998683346</v>
      </c>
      <c r="U1723" s="106">
        <v>12862.965996284209</v>
      </c>
      <c r="V1723" s="106">
        <v>0.56237565752188656</v>
      </c>
      <c r="W1723" s="106">
        <v>66967.388059701494</v>
      </c>
      <c r="X1723" s="110">
        <v>0.54630498384245552</v>
      </c>
      <c r="Y1723" s="106">
        <v>462.46632124352334</v>
      </c>
      <c r="Z1723" s="106">
        <v>15.740932642487047</v>
      </c>
      <c r="AA1723" s="106">
        <v>55745.635801300181</v>
      </c>
      <c r="AB1723" s="106">
        <v>437.81584091502452</v>
      </c>
      <c r="AC1723" s="106">
        <v>1.7938623994968885</v>
      </c>
      <c r="AD1723" s="106">
        <v>22.504012841091491</v>
      </c>
      <c r="AE1723" s="106">
        <v>127.32667617689016</v>
      </c>
      <c r="AF1723" s="106">
        <v>-7.4963594411933468E-2</v>
      </c>
      <c r="AG1723" s="106">
        <v>5364</v>
      </c>
      <c r="AH1723" s="106">
        <v>17838.314351547069</v>
      </c>
      <c r="AI1723" s="106">
        <v>18383.950954575379</v>
      </c>
      <c r="AJ1723" s="106">
        <v>17852.571428571428</v>
      </c>
      <c r="AK1723" s="104">
        <v>13865.527649769585</v>
      </c>
      <c r="AL1723" s="118">
        <v>9360954</v>
      </c>
      <c r="AM1723" s="118">
        <v>3421</v>
      </c>
      <c r="AN1723" s="118">
        <v>89256</v>
      </c>
      <c r="AO1723" s="118">
        <v>641</v>
      </c>
      <c r="AP1723" s="118">
        <f t="shared" si="26"/>
        <v>1964</v>
      </c>
    </row>
    <row r="1724" spans="1:42" ht="12.75">
      <c r="A1724" s="106">
        <v>2018</v>
      </c>
      <c r="B1724" s="106">
        <v>-240666</v>
      </c>
      <c r="C1724" s="106">
        <v>0</v>
      </c>
      <c r="D1724" s="106">
        <v>240666</v>
      </c>
      <c r="E1724" s="106" t="s">
        <v>2760</v>
      </c>
      <c r="F1724" s="106" t="s">
        <v>2761</v>
      </c>
      <c r="G1724" s="106" t="s">
        <v>627</v>
      </c>
      <c r="H1724" s="106">
        <v>4</v>
      </c>
      <c r="I1724" s="106" t="s">
        <v>24</v>
      </c>
      <c r="J1724" s="106">
        <v>3120</v>
      </c>
      <c r="K1724" s="106">
        <v>8498</v>
      </c>
      <c r="L1724" s="106">
        <v>8613</v>
      </c>
      <c r="M1724" s="106">
        <v>0.39</v>
      </c>
      <c r="N1724" s="106">
        <v>0.26</v>
      </c>
      <c r="O1724" s="106">
        <v>0.61</v>
      </c>
      <c r="P1724" s="106">
        <v>3311</v>
      </c>
      <c r="Q1724" s="106">
        <v>1555.4643363249882</v>
      </c>
      <c r="R1724" s="106">
        <v>0.39387298745089167</v>
      </c>
      <c r="S1724" s="106">
        <v>27195.76854038734</v>
      </c>
      <c r="T1724" s="106">
        <v>26988.121870571562</v>
      </c>
      <c r="U1724" s="106">
        <v>15352.969385366823</v>
      </c>
      <c r="V1724" s="106">
        <v>0.15591041091944419</v>
      </c>
      <c r="W1724" s="106">
        <v>74430.098360655742</v>
      </c>
      <c r="X1724" s="110">
        <v>0.47679990220859247</v>
      </c>
      <c r="Y1724" s="106">
        <v>433.92710706150336</v>
      </c>
      <c r="Z1724" s="106">
        <v>14.466970387243736</v>
      </c>
      <c r="AA1724" s="106">
        <v>40325.355072979612</v>
      </c>
      <c r="AB1724" s="106">
        <v>511.8623608432008</v>
      </c>
      <c r="AC1724" s="106">
        <v>2.4798293733315679</v>
      </c>
      <c r="AD1724" s="106">
        <v>33.541406575114443</v>
      </c>
      <c r="AE1724" s="106">
        <v>78.781637717121583</v>
      </c>
      <c r="AF1724" s="106">
        <v>1.6498887464776301E-2</v>
      </c>
      <c r="AG1724" s="106">
        <v>2256</v>
      </c>
      <c r="AH1724" s="106">
        <v>24606.669815777044</v>
      </c>
      <c r="AI1724" s="106">
        <v>24606.669815777044</v>
      </c>
      <c r="AJ1724" s="106">
        <v>27307.117146905999</v>
      </c>
      <c r="AK1724" s="104">
        <v>19050.911195087388</v>
      </c>
      <c r="AL1724" s="118">
        <v>20615384</v>
      </c>
      <c r="AM1724" s="118">
        <v>4133</v>
      </c>
      <c r="AN1724" s="118">
        <v>63498</v>
      </c>
      <c r="AO1724" s="118">
        <v>545</v>
      </c>
      <c r="AP1724" s="118">
        <f t="shared" si="26"/>
        <v>864</v>
      </c>
    </row>
    <row r="1725" spans="1:42" ht="12.75">
      <c r="A1725" s="106">
        <v>2018</v>
      </c>
      <c r="B1725" s="106">
        <v>-216010</v>
      </c>
      <c r="C1725" s="106">
        <v>0</v>
      </c>
      <c r="D1725" s="106">
        <v>216010</v>
      </c>
      <c r="E1725" s="106" t="s">
        <v>2762</v>
      </c>
      <c r="F1725" s="106" t="s">
        <v>2763</v>
      </c>
      <c r="G1725" s="106" t="s">
        <v>104</v>
      </c>
      <c r="H1725" s="106">
        <v>2</v>
      </c>
      <c r="I1725" s="106" t="s">
        <v>25</v>
      </c>
      <c r="J1725" s="106">
        <v>12086</v>
      </c>
      <c r="K1725" s="106">
        <v>19635</v>
      </c>
      <c r="L1725" s="106">
        <v>16835</v>
      </c>
      <c r="M1725" s="106">
        <v>0.37</v>
      </c>
      <c r="N1725" s="106">
        <v>0.81</v>
      </c>
      <c r="O1725" s="106">
        <v>0.49</v>
      </c>
      <c r="P1725" s="106">
        <v>1983</v>
      </c>
      <c r="Q1725" s="106">
        <v>847.94846062255488</v>
      </c>
      <c r="R1725" s="106">
        <v>7.329936381405143E-2</v>
      </c>
      <c r="S1725" s="106">
        <v>22117.820717809151</v>
      </c>
      <c r="T1725" s="106">
        <v>23717.405851335261</v>
      </c>
      <c r="U1725" s="106">
        <v>15910.883250432087</v>
      </c>
      <c r="V1725" s="106">
        <v>0.67377427118355993</v>
      </c>
      <c r="W1725" s="106">
        <v>113163.2316552901</v>
      </c>
      <c r="X1725" s="110">
        <v>0.63411941233049074</v>
      </c>
      <c r="Y1725" s="106">
        <v>532.0608247422681</v>
      </c>
      <c r="Z1725" s="106">
        <v>18.182474226804125</v>
      </c>
      <c r="AA1725" s="106">
        <v>58353.139506731277</v>
      </c>
      <c r="AB1725" s="106">
        <v>543.73336876814471</v>
      </c>
      <c r="AC1725" s="106">
        <v>1.7137038528743529</v>
      </c>
      <c r="AD1725" s="106">
        <v>27.322311232316345</v>
      </c>
      <c r="AE1725" s="106">
        <v>107.31940112289458</v>
      </c>
      <c r="AF1725" s="106">
        <v>0.32887716860617461</v>
      </c>
      <c r="AG1725" s="106">
        <v>9000</v>
      </c>
      <c r="AH1725" s="106">
        <v>22644.162952883144</v>
      </c>
      <c r="AI1725" s="106">
        <v>22644.162952883144</v>
      </c>
      <c r="AJ1725" s="106">
        <v>22454.199183534616</v>
      </c>
      <c r="AK1725" s="104">
        <v>18423.665759482905</v>
      </c>
      <c r="AL1725" s="118">
        <v>29918863</v>
      </c>
      <c r="AM1725" s="118">
        <v>5574</v>
      </c>
      <c r="AN1725" s="118">
        <v>172033</v>
      </c>
      <c r="AO1725" s="118">
        <v>1188</v>
      </c>
      <c r="AP1725" s="118">
        <f t="shared" si="26"/>
        <v>3086</v>
      </c>
    </row>
    <row r="1726" spans="1:42" ht="12.75">
      <c r="A1726" s="106">
        <v>2018</v>
      </c>
      <c r="B1726" s="106">
        <v>-236610</v>
      </c>
      <c r="C1726" s="106">
        <v>0</v>
      </c>
      <c r="D1726" s="106">
        <v>236610</v>
      </c>
      <c r="E1726" s="106" t="s">
        <v>2764</v>
      </c>
      <c r="F1726" s="106" t="s">
        <v>2765</v>
      </c>
      <c r="G1726" s="106" t="s">
        <v>182</v>
      </c>
      <c r="H1726" s="106">
        <v>4</v>
      </c>
      <c r="I1726" s="106" t="s">
        <v>24</v>
      </c>
      <c r="J1726" s="106">
        <v>3802</v>
      </c>
      <c r="K1726" s="106">
        <v>6733</v>
      </c>
      <c r="L1726" s="106">
        <v>4936</v>
      </c>
      <c r="M1726" s="106">
        <v>0.42</v>
      </c>
      <c r="N1726" s="106">
        <v>0.17</v>
      </c>
      <c r="O1726" s="106">
        <v>0.22</v>
      </c>
      <c r="P1726" s="106">
        <v>1973</v>
      </c>
      <c r="Q1726" s="106">
        <v>374.56458374925137</v>
      </c>
      <c r="R1726" s="106">
        <v>9.2244663207325037E-2</v>
      </c>
      <c r="S1726" s="106">
        <v>13355.892593332002</v>
      </c>
      <c r="T1726" s="106">
        <v>13845.038530644839</v>
      </c>
      <c r="U1726" s="106">
        <v>11241.864843282092</v>
      </c>
      <c r="V1726" s="106">
        <v>0.32788074465897576</v>
      </c>
      <c r="W1726" s="106">
        <v>98195.582738944373</v>
      </c>
      <c r="X1726" s="110">
        <v>0.66171885605203928</v>
      </c>
      <c r="Y1726" s="106">
        <v>1021.4093655589123</v>
      </c>
      <c r="Z1726" s="106">
        <v>22.699395770392748</v>
      </c>
      <c r="AA1726" s="106">
        <v>29404.961357702348</v>
      </c>
      <c r="AB1726" s="106">
        <v>249.83473608085504</v>
      </c>
      <c r="AC1726" s="106">
        <v>3.4007866490124106</v>
      </c>
      <c r="AD1726" s="106">
        <v>46.278395360077333</v>
      </c>
      <c r="AE1726" s="106">
        <v>117.6976501305483</v>
      </c>
      <c r="AF1726" s="106">
        <v>-3.0077012407804568E-2</v>
      </c>
      <c r="AG1726" s="106">
        <v>3395</v>
      </c>
      <c r="AH1726" s="106">
        <v>12882.801557197045</v>
      </c>
      <c r="AI1726" s="106">
        <v>12882.901377520464</v>
      </c>
      <c r="AJ1726" s="106">
        <v>13355.892593332002</v>
      </c>
      <c r="AK1726" s="104">
        <v>12246.42204032741</v>
      </c>
      <c r="AL1726" s="118">
        <v>22425610</v>
      </c>
      <c r="AM1726" s="118">
        <v>6128</v>
      </c>
      <c r="AN1726" s="118">
        <v>225391</v>
      </c>
      <c r="AO1726" s="118">
        <v>980</v>
      </c>
      <c r="AP1726" s="118">
        <f t="shared" si="26"/>
        <v>407</v>
      </c>
    </row>
    <row r="1727" spans="1:42" ht="12.75">
      <c r="A1727" s="106">
        <v>2018</v>
      </c>
      <c r="B1727" s="106">
        <v>-140988</v>
      </c>
      <c r="C1727" s="106">
        <v>0</v>
      </c>
      <c r="D1727" s="106">
        <v>140988</v>
      </c>
      <c r="E1727" s="106" t="s">
        <v>2766</v>
      </c>
      <c r="F1727" s="106" t="s">
        <v>1330</v>
      </c>
      <c r="G1727" s="106" t="s">
        <v>63</v>
      </c>
      <c r="H1727" s="106">
        <v>7</v>
      </c>
      <c r="I1727" s="106" t="s">
        <v>3641</v>
      </c>
      <c r="J1727" s="106">
        <v>21730</v>
      </c>
      <c r="K1727" s="106">
        <v>19395</v>
      </c>
      <c r="L1727" s="106">
        <v>17650</v>
      </c>
      <c r="M1727" s="106">
        <v>0.51</v>
      </c>
      <c r="N1727" s="106">
        <v>0.72</v>
      </c>
      <c r="O1727" s="106">
        <v>0.92</v>
      </c>
      <c r="P1727" s="106">
        <v>10084</v>
      </c>
      <c r="Q1727" s="106">
        <v>7726.4032371569319</v>
      </c>
      <c r="R1727" s="106">
        <v>0.42712220532112305</v>
      </c>
      <c r="S1727" s="106">
        <v>17684.089373680508</v>
      </c>
      <c r="T1727" s="106">
        <v>18872.757213230121</v>
      </c>
      <c r="U1727" s="106">
        <v>17219.495425756508</v>
      </c>
      <c r="V1727" s="106">
        <v>0.60182023689415087</v>
      </c>
      <c r="W1727" s="106">
        <v>50614.682208588951</v>
      </c>
      <c r="X1727" s="110">
        <v>0.51272375299927053</v>
      </c>
      <c r="Y1727" s="106">
        <v>388.46749226006187</v>
      </c>
      <c r="Z1727" s="106">
        <v>13.19814241486068</v>
      </c>
      <c r="AA1727" s="106">
        <v>65076.869680851065</v>
      </c>
      <c r="AB1727" s="106">
        <v>585.03055588762697</v>
      </c>
      <c r="AC1727" s="106">
        <v>1.5366442868321477</v>
      </c>
      <c r="AD1727" s="106">
        <v>28.207051762940733</v>
      </c>
      <c r="AE1727" s="106">
        <v>111.23670212765957</v>
      </c>
      <c r="AF1727" s="106">
        <v>-2.6308567076254872E-2</v>
      </c>
      <c r="AG1727" s="106">
        <v>21300</v>
      </c>
      <c r="AH1727" s="106">
        <v>15370.105559465166</v>
      </c>
      <c r="AI1727" s="106">
        <v>17684.089373680508</v>
      </c>
      <c r="AJ1727" s="106">
        <v>18155.874032371568</v>
      </c>
      <c r="AK1727" s="104">
        <v>17219.495425756508</v>
      </c>
      <c r="AL1727" s="118"/>
      <c r="AM1727" s="118">
        <v>1403</v>
      </c>
      <c r="AN1727" s="118">
        <v>41825</v>
      </c>
      <c r="AO1727" s="118">
        <v>296</v>
      </c>
      <c r="AP1727" s="118">
        <f t="shared" si="26"/>
        <v>430</v>
      </c>
    </row>
    <row r="1728" spans="1:42" ht="12.75">
      <c r="A1728" s="106">
        <v>2018</v>
      </c>
      <c r="B1728" s="106">
        <v>-195474</v>
      </c>
      <c r="C1728" s="106">
        <v>0</v>
      </c>
      <c r="D1728" s="106">
        <v>195474</v>
      </c>
      <c r="E1728" s="106" t="s">
        <v>2767</v>
      </c>
      <c r="F1728" s="106" t="s">
        <v>2768</v>
      </c>
      <c r="G1728" s="106" t="s">
        <v>69</v>
      </c>
      <c r="H1728" s="106">
        <v>7</v>
      </c>
      <c r="I1728" s="106" t="s">
        <v>3641</v>
      </c>
      <c r="J1728" s="106">
        <v>35735</v>
      </c>
      <c r="K1728" s="106">
        <v>28355</v>
      </c>
      <c r="L1728" s="106">
        <v>19095</v>
      </c>
      <c r="M1728" s="106">
        <v>0.27</v>
      </c>
      <c r="N1728" s="106">
        <v>0.72</v>
      </c>
      <c r="O1728" s="106">
        <v>0.99</v>
      </c>
      <c r="P1728" s="106">
        <v>23135</v>
      </c>
      <c r="Q1728" s="106">
        <v>20682.314592545797</v>
      </c>
      <c r="R1728" s="106">
        <v>0.58503036943933995</v>
      </c>
      <c r="S1728" s="106">
        <v>31158.607391029691</v>
      </c>
      <c r="T1728" s="106">
        <v>31932.930195830701</v>
      </c>
      <c r="U1728" s="106">
        <v>24094.694192468949</v>
      </c>
      <c r="V1728" s="106">
        <v>0.60885744936571418</v>
      </c>
      <c r="W1728" s="106">
        <v>82836.932892249519</v>
      </c>
      <c r="X1728" s="110">
        <v>0.5779213474482906</v>
      </c>
      <c r="Y1728" s="106">
        <v>379.66666666666669</v>
      </c>
      <c r="Z1728" s="106">
        <v>12.714859437751004</v>
      </c>
      <c r="AA1728" s="106">
        <v>88496.289806678309</v>
      </c>
      <c r="AB1728" s="106">
        <v>806.92006106981069</v>
      </c>
      <c r="AC1728" s="106">
        <v>1.129990875532203</v>
      </c>
      <c r="AD1728" s="106">
        <v>27.426026089723194</v>
      </c>
      <c r="AE1728" s="106">
        <v>109.67169373549883</v>
      </c>
      <c r="AF1728" s="106">
        <v>3.1503337063462311E-2</v>
      </c>
      <c r="AG1728" s="106">
        <v>35435</v>
      </c>
      <c r="AH1728" s="106">
        <v>28473.875236891978</v>
      </c>
      <c r="AI1728" s="106">
        <v>31158.607391029691</v>
      </c>
      <c r="AJ1728" s="106">
        <v>34143.095704358813</v>
      </c>
      <c r="AK1728" s="104">
        <v>24947.009159823119</v>
      </c>
      <c r="AL1728" s="118">
        <v>239482</v>
      </c>
      <c r="AM1728" s="118">
        <v>3164</v>
      </c>
      <c r="AN1728" s="118">
        <v>94537</v>
      </c>
      <c r="AO1728" s="118">
        <v>750</v>
      </c>
      <c r="AP1728" s="118">
        <f t="shared" si="26"/>
        <v>300</v>
      </c>
    </row>
    <row r="1729" spans="1:42" ht="12.75">
      <c r="A1729" s="106">
        <v>2018</v>
      </c>
      <c r="B1729" s="106">
        <v>-172264</v>
      </c>
      <c r="C1729" s="106">
        <v>0</v>
      </c>
      <c r="D1729" s="106">
        <v>172264</v>
      </c>
      <c r="E1729" s="106" t="s">
        <v>2769</v>
      </c>
      <c r="F1729" s="106" t="s">
        <v>73</v>
      </c>
      <c r="G1729" s="106" t="s">
        <v>74</v>
      </c>
      <c r="H1729" s="106">
        <v>6</v>
      </c>
      <c r="I1729" s="106" t="s">
        <v>3640</v>
      </c>
      <c r="J1729" s="106">
        <v>25932</v>
      </c>
      <c r="K1729" s="106">
        <v>19526</v>
      </c>
      <c r="L1729" s="106">
        <v>17799</v>
      </c>
      <c r="M1729" s="106">
        <v>0.42</v>
      </c>
      <c r="N1729" s="106">
        <v>0.76</v>
      </c>
      <c r="O1729" s="106">
        <v>1</v>
      </c>
      <c r="P1729" s="106">
        <v>14182</v>
      </c>
      <c r="Q1729" s="106">
        <v>7006.7159672466732</v>
      </c>
      <c r="R1729" s="106">
        <v>0.3649244662984315</v>
      </c>
      <c r="S1729" s="106">
        <v>19631.683213920165</v>
      </c>
      <c r="T1729" s="106">
        <v>18982.379733879221</v>
      </c>
      <c r="U1729" s="106">
        <v>16626.592008033131</v>
      </c>
      <c r="V1729" s="106">
        <v>0.73338778643324509</v>
      </c>
      <c r="W1729" s="106">
        <v>68707.49538461538</v>
      </c>
      <c r="X1729" s="110">
        <v>0.60202186103203503</v>
      </c>
      <c r="Y1729" s="106">
        <v>426.40640394088666</v>
      </c>
      <c r="Z1729" s="106">
        <v>14.438423645320196</v>
      </c>
      <c r="AA1729" s="106">
        <v>32586.1191411201</v>
      </c>
      <c r="AB1729" s="106">
        <v>562.9882125859383</v>
      </c>
      <c r="AC1729" s="106">
        <v>3.0687913331112506</v>
      </c>
      <c r="AD1729" s="106">
        <v>56.423316355404637</v>
      </c>
      <c r="AE1729" s="106">
        <v>57.880641925777333</v>
      </c>
      <c r="AF1729" s="106">
        <v>3.5281398475575647E-2</v>
      </c>
      <c r="AG1729" s="106">
        <v>25390</v>
      </c>
      <c r="AH1729" s="106">
        <v>19030.541453428865</v>
      </c>
      <c r="AI1729" s="106">
        <v>20746.518423746162</v>
      </c>
      <c r="AJ1729" s="106">
        <v>20032.140225179119</v>
      </c>
      <c r="AK1729" s="104">
        <v>17396.666837256907</v>
      </c>
      <c r="AL1729" s="118"/>
      <c r="AM1729" s="118">
        <v>2302</v>
      </c>
      <c r="AN1729" s="118">
        <v>57707</v>
      </c>
      <c r="AO1729" s="118">
        <v>912</v>
      </c>
      <c r="AP1729" s="118">
        <f t="shared" si="26"/>
        <v>542</v>
      </c>
    </row>
    <row r="1730" spans="1:42" ht="12.75">
      <c r="A1730" s="106">
        <v>2018</v>
      </c>
      <c r="B1730" s="106">
        <v>-123341</v>
      </c>
      <c r="C1730" s="106">
        <v>0</v>
      </c>
      <c r="D1730" s="106">
        <v>123341</v>
      </c>
      <c r="E1730" s="106" t="s">
        <v>2770</v>
      </c>
      <c r="F1730" s="106" t="s">
        <v>2771</v>
      </c>
      <c r="G1730" s="106" t="s">
        <v>121</v>
      </c>
      <c r="H1730" s="106">
        <v>4</v>
      </c>
      <c r="I1730" s="106" t="s">
        <v>24</v>
      </c>
      <c r="J1730" s="106">
        <v>1142</v>
      </c>
      <c r="K1730" s="106">
        <v>6043</v>
      </c>
      <c r="L1730" s="106">
        <v>2992</v>
      </c>
      <c r="M1730" s="106">
        <v>0.33</v>
      </c>
      <c r="N1730" s="106">
        <v>0.03</v>
      </c>
      <c r="O1730" s="106">
        <v>0.01</v>
      </c>
      <c r="P1730" s="106">
        <v>256</v>
      </c>
      <c r="Q1730" s="106">
        <v>941.98352820687887</v>
      </c>
      <c r="R1730" s="106">
        <v>0.48718089286282584</v>
      </c>
      <c r="S1730" s="106">
        <v>13384.394896304515</v>
      </c>
      <c r="T1730" s="106">
        <v>13994.409405137834</v>
      </c>
      <c r="U1730" s="106">
        <v>7988.1039271379996</v>
      </c>
      <c r="V1730" s="106">
        <v>0.12412908479217705</v>
      </c>
      <c r="W1730" s="106">
        <v>125221.09286675639</v>
      </c>
      <c r="X1730" s="110">
        <v>0.56740779604530622</v>
      </c>
      <c r="Y1730" s="106">
        <v>791.68243243243239</v>
      </c>
      <c r="Z1730" s="106">
        <v>26.38963963963964</v>
      </c>
      <c r="AA1730" s="106">
        <v>28781.246529605149</v>
      </c>
      <c r="AB1730" s="106">
        <v>266.27240343514052</v>
      </c>
      <c r="AC1730" s="106">
        <v>3.4744846751907486</v>
      </c>
      <c r="AD1730" s="106">
        <v>31.266224401499855</v>
      </c>
      <c r="AE1730" s="106">
        <v>108.08948339483395</v>
      </c>
      <c r="AF1730" s="106">
        <v>0.11931667582473596</v>
      </c>
      <c r="AG1730" s="106">
        <v>1104</v>
      </c>
      <c r="AH1730" s="106">
        <v>11473.304856191859</v>
      </c>
      <c r="AI1730" s="106">
        <v>11473.304856191859</v>
      </c>
      <c r="AJ1730" s="106">
        <v>13397.320730562431</v>
      </c>
      <c r="AK1730" s="104">
        <v>11425.247418281129</v>
      </c>
      <c r="AL1730" s="118">
        <v>76983769</v>
      </c>
      <c r="AM1730" s="118">
        <v>18221</v>
      </c>
      <c r="AN1730" s="118">
        <v>351507</v>
      </c>
      <c r="AO1730" s="118">
        <v>2841</v>
      </c>
      <c r="AP1730" s="118">
        <f t="shared" si="26"/>
        <v>38</v>
      </c>
    </row>
    <row r="1731" spans="1:42" ht="12.75">
      <c r="A1731" s="106">
        <v>2018</v>
      </c>
      <c r="B1731" s="106">
        <v>-182458</v>
      </c>
      <c r="C1731" s="106">
        <v>0</v>
      </c>
      <c r="D1731" s="106">
        <v>182458</v>
      </c>
      <c r="E1731" s="106" t="s">
        <v>2772</v>
      </c>
      <c r="F1731" s="106" t="s">
        <v>2773</v>
      </c>
      <c r="G1731" s="106" t="s">
        <v>844</v>
      </c>
      <c r="H1731" s="106">
        <v>6</v>
      </c>
      <c r="I1731" s="106" t="s">
        <v>3640</v>
      </c>
      <c r="J1731" s="106">
        <v>32639</v>
      </c>
      <c r="K1731" s="106">
        <v>30352</v>
      </c>
      <c r="L1731" s="106">
        <v>12733</v>
      </c>
      <c r="M1731" s="106">
        <v>0.31</v>
      </c>
      <c r="N1731" s="106">
        <v>0.9</v>
      </c>
      <c r="O1731" s="106">
        <v>0.97</v>
      </c>
      <c r="P1731" s="106">
        <v>16431</v>
      </c>
      <c r="Q1731" s="106">
        <v>8019.4289127837519</v>
      </c>
      <c r="R1731" s="106">
        <v>0.35720843985884004</v>
      </c>
      <c r="S1731" s="106">
        <v>19754.167264038231</v>
      </c>
      <c r="T1731" s="106">
        <v>19306.818399044205</v>
      </c>
      <c r="U1731" s="106">
        <v>17119.700692503357</v>
      </c>
      <c r="V1731" s="106">
        <v>0.84293818692080269</v>
      </c>
      <c r="W1731" s="106">
        <v>63843.463235294119</v>
      </c>
      <c r="X1731" s="110">
        <v>0.53730288981792917</v>
      </c>
      <c r="Y1731" s="106">
        <v>298.15789473684208</v>
      </c>
      <c r="Z1731" s="106">
        <v>11.013157894736842</v>
      </c>
      <c r="AA1731" s="106">
        <v>56192.899920099255</v>
      </c>
      <c r="AB1731" s="106">
        <v>632.35611119264388</v>
      </c>
      <c r="AC1731" s="106">
        <v>1.7795842560570838</v>
      </c>
      <c r="AD1731" s="106">
        <v>29.82456140350877</v>
      </c>
      <c r="AE1731" s="106">
        <v>88.862745098039213</v>
      </c>
      <c r="AF1731" s="106">
        <v>3.3392444258950535E-2</v>
      </c>
      <c r="AG1731" s="106">
        <v>31685</v>
      </c>
      <c r="AH1731" s="106">
        <v>17450.494623655915</v>
      </c>
      <c r="AI1731" s="106">
        <v>19940.054958183991</v>
      </c>
      <c r="AJ1731" s="106">
        <v>20286.403823178018</v>
      </c>
      <c r="AK1731" s="104">
        <v>17467.511350059736</v>
      </c>
      <c r="AM1731" s="118">
        <v>448</v>
      </c>
      <c r="AN1731" s="118">
        <v>22660</v>
      </c>
      <c r="AO1731" s="118">
        <v>121</v>
      </c>
      <c r="AP1731" s="118">
        <f t="shared" si="26"/>
        <v>954</v>
      </c>
    </row>
    <row r="1732" spans="1:42" ht="12.75">
      <c r="A1732" s="106">
        <v>2018</v>
      </c>
      <c r="B1732" s="106">
        <v>-239743</v>
      </c>
      <c r="C1732" s="106">
        <v>0</v>
      </c>
      <c r="D1732" s="106">
        <v>239743</v>
      </c>
      <c r="E1732" s="106" t="s">
        <v>2774</v>
      </c>
      <c r="F1732" s="106" t="s">
        <v>2775</v>
      </c>
      <c r="G1732" s="106" t="s">
        <v>139</v>
      </c>
      <c r="H1732" s="106">
        <v>6</v>
      </c>
      <c r="I1732" s="106" t="s">
        <v>3640</v>
      </c>
      <c r="J1732" s="106">
        <v>27360</v>
      </c>
      <c r="K1732" s="106">
        <v>23733</v>
      </c>
      <c r="L1732" s="106">
        <v>23106</v>
      </c>
      <c r="M1732" s="106">
        <v>0.84</v>
      </c>
      <c r="N1732" s="106">
        <v>0.85</v>
      </c>
      <c r="O1732" s="106">
        <v>1</v>
      </c>
      <c r="P1732" s="106">
        <v>11209</v>
      </c>
      <c r="Q1732" s="106">
        <v>7317.7900262467192</v>
      </c>
      <c r="R1732" s="106">
        <v>0.33514568993423849</v>
      </c>
      <c r="S1732" s="106">
        <v>36136.916010498688</v>
      </c>
      <c r="T1732" s="106">
        <v>38059.27559055118</v>
      </c>
      <c r="U1732" s="106">
        <v>30117.259842519685</v>
      </c>
      <c r="V1732" s="106">
        <v>0.48201143108528727</v>
      </c>
      <c r="W1732" s="106">
        <v>81606.663934426237</v>
      </c>
      <c r="X1732" s="110">
        <v>0.45772928869623458</v>
      </c>
      <c r="Y1732" s="106">
        <v>334.22448979591837</v>
      </c>
      <c r="Z1732" s="106">
        <v>11.663265306122449</v>
      </c>
      <c r="AA1732" s="106">
        <v>150982.57894736843</v>
      </c>
      <c r="AB1732" s="106">
        <v>1050.9869939549369</v>
      </c>
      <c r="AC1732" s="106">
        <v>0.662328069219558</v>
      </c>
      <c r="AD1732" s="106">
        <v>19.638242894056848</v>
      </c>
      <c r="AE1732" s="106">
        <v>143.65789473684211</v>
      </c>
      <c r="AF1732" s="106">
        <v>-2.1474429961949006E-2</v>
      </c>
      <c r="AG1732" s="106">
        <v>26800</v>
      </c>
      <c r="AH1732" s="106">
        <v>18288.761154855642</v>
      </c>
      <c r="AI1732" s="106">
        <v>36136.916010498688</v>
      </c>
      <c r="AJ1732" s="106">
        <v>37243.146981627295</v>
      </c>
      <c r="AK1732" s="104">
        <v>30117.259842519685</v>
      </c>
      <c r="AM1732" s="118">
        <v>392</v>
      </c>
      <c r="AN1732" s="118">
        <v>10918</v>
      </c>
      <c r="AO1732" s="118">
        <v>46</v>
      </c>
      <c r="AP1732" s="118">
        <f t="shared" si="26"/>
        <v>560</v>
      </c>
    </row>
    <row r="1733" spans="1:42" ht="12.75">
      <c r="A1733" s="106">
        <v>2018</v>
      </c>
      <c r="B1733" s="106">
        <v>-167783</v>
      </c>
      <c r="C1733" s="106">
        <v>0</v>
      </c>
      <c r="D1733" s="106">
        <v>167783</v>
      </c>
      <c r="E1733" s="106" t="s">
        <v>2776</v>
      </c>
      <c r="F1733" s="106" t="s">
        <v>425</v>
      </c>
      <c r="G1733" s="106" t="s">
        <v>150</v>
      </c>
      <c r="H1733" s="106">
        <v>6</v>
      </c>
      <c r="I1733" s="106" t="s">
        <v>3640</v>
      </c>
      <c r="J1733" s="106">
        <v>39610</v>
      </c>
      <c r="K1733" s="106">
        <v>29601</v>
      </c>
      <c r="L1733" s="106">
        <v>21759</v>
      </c>
      <c r="M1733" s="106">
        <v>0.31</v>
      </c>
      <c r="N1733" s="106">
        <v>0.72</v>
      </c>
      <c r="O1733" s="106">
        <v>1</v>
      </c>
      <c r="P1733" s="106">
        <v>25772</v>
      </c>
      <c r="Q1733" s="106">
        <v>7283.1790926395943</v>
      </c>
      <c r="R1733" s="106">
        <v>0.2402687041724626</v>
      </c>
      <c r="S1733" s="106">
        <v>29235.526808375635</v>
      </c>
      <c r="T1733" s="106">
        <v>30131.077569796955</v>
      </c>
      <c r="U1733" s="106">
        <v>27413.947577701161</v>
      </c>
      <c r="V1733" s="106">
        <v>0.84006370624108073</v>
      </c>
      <c r="W1733" s="106">
        <v>91209.719742948946</v>
      </c>
      <c r="X1733" s="110">
        <v>0.4483344459547367</v>
      </c>
      <c r="Y1733" s="106">
        <v>318.49694501018331</v>
      </c>
      <c r="Z1733" s="106">
        <v>12.839103869653767</v>
      </c>
      <c r="AA1733" s="106">
        <v>78482.073355961911</v>
      </c>
      <c r="AB1733" s="106">
        <v>1105.098576113799</v>
      </c>
      <c r="AC1733" s="106">
        <v>1.2741763274581415</v>
      </c>
      <c r="AD1733" s="106">
        <v>50.481430536451164</v>
      </c>
      <c r="AE1733" s="106">
        <v>71.018165304268848</v>
      </c>
      <c r="AF1733" s="106">
        <v>3.4804943426172373E-2</v>
      </c>
      <c r="AG1733" s="106">
        <v>38500</v>
      </c>
      <c r="AH1733" s="106">
        <v>27970.60152284264</v>
      </c>
      <c r="AI1733" s="106">
        <v>29457.625317258884</v>
      </c>
      <c r="AJ1733" s="106">
        <v>31424.042829949238</v>
      </c>
      <c r="AK1733" s="104">
        <v>27586.713197969544</v>
      </c>
      <c r="AL1733" s="118"/>
      <c r="AM1733" s="118">
        <v>1739</v>
      </c>
      <c r="AN1733" s="118">
        <v>156382</v>
      </c>
      <c r="AO1733" s="118">
        <v>398</v>
      </c>
      <c r="AP1733" s="118">
        <f t="shared" si="26"/>
        <v>1110</v>
      </c>
    </row>
    <row r="1734" spans="1:42" ht="12.75">
      <c r="A1734" s="106">
        <v>2018</v>
      </c>
      <c r="B1734" s="106">
        <v>-154350</v>
      </c>
      <c r="C1734" s="106">
        <v>0</v>
      </c>
      <c r="D1734" s="106">
        <v>154350</v>
      </c>
      <c r="E1734" s="106" t="s">
        <v>2777</v>
      </c>
      <c r="F1734" s="106" t="s">
        <v>2778</v>
      </c>
      <c r="G1734" s="106" t="s">
        <v>447</v>
      </c>
      <c r="H1734" s="106">
        <v>7</v>
      </c>
      <c r="I1734" s="106" t="s">
        <v>3641</v>
      </c>
      <c r="J1734" s="106">
        <v>37663</v>
      </c>
      <c r="K1734" s="106">
        <v>23759</v>
      </c>
      <c r="L1734" s="106">
        <v>17172</v>
      </c>
      <c r="M1734" s="106">
        <v>0.27</v>
      </c>
      <c r="N1734" s="106">
        <v>0.72</v>
      </c>
      <c r="O1734" s="106">
        <v>1</v>
      </c>
      <c r="P1734" s="106">
        <v>23063</v>
      </c>
      <c r="Q1734" s="106">
        <v>15436.127331189711</v>
      </c>
      <c r="R1734" s="106">
        <v>0.51798797723493928</v>
      </c>
      <c r="S1734" s="106">
        <v>24588.76463022508</v>
      </c>
      <c r="T1734" s="106">
        <v>25640.996784565916</v>
      </c>
      <c r="U1734" s="106">
        <v>20867.203858520901</v>
      </c>
      <c r="V1734" s="106">
        <v>0.68835470432502555</v>
      </c>
      <c r="W1734" s="106">
        <v>71308.114006514661</v>
      </c>
      <c r="X1734" s="110">
        <v>0.54905016709825882</v>
      </c>
      <c r="Y1734" s="106">
        <v>369.84574468085106</v>
      </c>
      <c r="Z1734" s="106">
        <v>12.406914893617023</v>
      </c>
      <c r="AA1734" s="106">
        <v>84943.722513089</v>
      </c>
      <c r="AB1734" s="106">
        <v>700.01514432411443</v>
      </c>
      <c r="AC1734" s="106">
        <v>1.177250031449834</v>
      </c>
      <c r="AD1734" s="106">
        <v>27.964860907759881</v>
      </c>
      <c r="AE1734" s="106">
        <v>121.3455497382199</v>
      </c>
      <c r="AF1734" s="106">
        <v>4.3733435767298434E-2</v>
      </c>
      <c r="AG1734" s="106">
        <v>36969</v>
      </c>
      <c r="AH1734" s="106">
        <v>20449.863665594854</v>
      </c>
      <c r="AI1734" s="106">
        <v>24676.380064308683</v>
      </c>
      <c r="AJ1734" s="106">
        <v>28933.09581993569</v>
      </c>
      <c r="AK1734" s="104">
        <v>20867.203858520901</v>
      </c>
      <c r="AL1734" s="118"/>
      <c r="AM1734" s="118">
        <v>1432</v>
      </c>
      <c r="AN1734" s="118">
        <v>46354</v>
      </c>
      <c r="AO1734" s="118">
        <v>367</v>
      </c>
      <c r="AP1734" s="118">
        <f t="shared" ref="AP1734:AP1797" si="27">J1734-AG1734</f>
        <v>694</v>
      </c>
    </row>
    <row r="1735" spans="1:42" ht="12.75">
      <c r="A1735" s="106">
        <v>2018</v>
      </c>
      <c r="B1735" s="106">
        <v>-123457</v>
      </c>
      <c r="C1735" s="106">
        <v>0</v>
      </c>
      <c r="D1735" s="106">
        <v>123457</v>
      </c>
      <c r="E1735" s="106" t="s">
        <v>2779</v>
      </c>
      <c r="F1735" s="106" t="s">
        <v>2749</v>
      </c>
      <c r="G1735" s="106" t="s">
        <v>121</v>
      </c>
      <c r="H1735" s="106">
        <v>6</v>
      </c>
      <c r="I1735" s="106" t="s">
        <v>3640</v>
      </c>
      <c r="J1735" s="106">
        <v>27700</v>
      </c>
      <c r="K1735" s="106">
        <v>28482</v>
      </c>
      <c r="L1735" s="106">
        <v>22164</v>
      </c>
      <c r="M1735" s="106">
        <v>0.39</v>
      </c>
      <c r="N1735" s="106">
        <v>0.62</v>
      </c>
      <c r="O1735" s="106">
        <v>0.99</v>
      </c>
      <c r="P1735" s="106">
        <v>7186</v>
      </c>
      <c r="Q1735" s="106">
        <v>7234.4127764127761</v>
      </c>
      <c r="R1735" s="106">
        <v>0.32231076336123116</v>
      </c>
      <c r="S1735" s="106">
        <v>21942.700245700245</v>
      </c>
      <c r="T1735" s="106">
        <v>24270.244471744471</v>
      </c>
      <c r="U1735" s="106">
        <v>21894.95945945946</v>
      </c>
      <c r="V1735" s="106">
        <v>0.6947281853939995</v>
      </c>
      <c r="W1735" s="106">
        <v>44842.546391752578</v>
      </c>
      <c r="X1735" s="110">
        <v>0.51373627194076288</v>
      </c>
      <c r="Y1735" s="106">
        <v>181.88832487309648</v>
      </c>
      <c r="Z1735" s="106">
        <v>6.1979695431472086</v>
      </c>
      <c r="AA1735" s="106">
        <v>57307.064308681671</v>
      </c>
      <c r="AB1735" s="106">
        <v>746.08577528466174</v>
      </c>
      <c r="AC1735" s="106">
        <v>1.7449855651539736</v>
      </c>
      <c r="AD1735" s="106">
        <v>41.246684350132625</v>
      </c>
      <c r="AE1735" s="106">
        <v>76.81028938906752</v>
      </c>
      <c r="AF1735" s="106">
        <v>-0.12430564933985418</v>
      </c>
      <c r="AG1735" s="106">
        <v>27250</v>
      </c>
      <c r="AH1735" s="106">
        <v>20453.441031941031</v>
      </c>
      <c r="AI1735" s="106">
        <v>21942.700245700245</v>
      </c>
      <c r="AJ1735" s="106">
        <v>22380.72972972973</v>
      </c>
      <c r="AK1735" s="104">
        <v>21894.95945945946</v>
      </c>
      <c r="AL1735" s="118"/>
      <c r="AM1735" s="118">
        <v>777</v>
      </c>
      <c r="AN1735" s="118">
        <v>23888</v>
      </c>
      <c r="AO1735" s="118">
        <v>275</v>
      </c>
      <c r="AP1735" s="118">
        <f t="shared" si="27"/>
        <v>450</v>
      </c>
    </row>
    <row r="1736" spans="1:42" ht="12.75">
      <c r="A1736" s="106">
        <v>2018</v>
      </c>
      <c r="B1736" s="106">
        <v>-205470</v>
      </c>
      <c r="C1736" s="106">
        <v>0</v>
      </c>
      <c r="D1736" s="106">
        <v>205470</v>
      </c>
      <c r="E1736" s="106" t="s">
        <v>2780</v>
      </c>
      <c r="F1736" s="106" t="s">
        <v>473</v>
      </c>
      <c r="G1736" s="106" t="s">
        <v>82</v>
      </c>
      <c r="H1736" s="106">
        <v>4</v>
      </c>
      <c r="I1736" s="106" t="s">
        <v>24</v>
      </c>
      <c r="J1736" s="106">
        <v>2547</v>
      </c>
      <c r="K1736" s="106">
        <v>4887</v>
      </c>
      <c r="L1736" s="106">
        <v>3790</v>
      </c>
      <c r="M1736" s="106">
        <v>0.51</v>
      </c>
      <c r="N1736" s="106">
        <v>0.31</v>
      </c>
      <c r="O1736" s="106">
        <v>0.47</v>
      </c>
      <c r="P1736" s="106">
        <v>1784</v>
      </c>
      <c r="Q1736" s="106">
        <v>271.86016179626876</v>
      </c>
      <c r="R1736" s="106">
        <v>6.8463950150855796E-2</v>
      </c>
      <c r="S1736" s="106">
        <v>13435.401106158164</v>
      </c>
      <c r="T1736" s="106">
        <v>10279.039458477795</v>
      </c>
      <c r="U1736" s="106">
        <v>11496.960918142475</v>
      </c>
      <c r="V1736" s="106">
        <v>0.32173642330629298</v>
      </c>
      <c r="W1736" s="106">
        <v>48876.749032757289</v>
      </c>
      <c r="X1736" s="110">
        <v>0.50726716941956218</v>
      </c>
      <c r="Y1736" s="106">
        <v>628.38501440922187</v>
      </c>
      <c r="Z1736" s="106">
        <v>20.946397694524496</v>
      </c>
      <c r="AA1736" s="106">
        <v>24016.931292012057</v>
      </c>
      <c r="AB1736" s="106">
        <v>383.23624871325956</v>
      </c>
      <c r="AC1736" s="106">
        <v>4.1637292784886144</v>
      </c>
      <c r="AD1736" s="106">
        <v>57.741710644229812</v>
      </c>
      <c r="AE1736" s="106">
        <v>62.668735988963611</v>
      </c>
      <c r="AF1736" s="106">
        <v>0.3406892373015093</v>
      </c>
      <c r="AG1736" s="106">
        <v>2035</v>
      </c>
      <c r="AH1736" s="106">
        <v>13054.255159319795</v>
      </c>
      <c r="AI1736" s="106">
        <v>13054.255159319795</v>
      </c>
      <c r="AJ1736" s="106">
        <v>13502.281079742446</v>
      </c>
      <c r="AK1736" s="104">
        <v>12468.023774145617</v>
      </c>
      <c r="AL1736" s="118">
        <v>86197586</v>
      </c>
      <c r="AM1736" s="118">
        <v>18448</v>
      </c>
      <c r="AN1736" s="118">
        <v>363416</v>
      </c>
      <c r="AO1736" s="118">
        <v>1940</v>
      </c>
      <c r="AP1736" s="118">
        <f t="shared" si="27"/>
        <v>512</v>
      </c>
    </row>
    <row r="1737" spans="1:42" ht="12.75">
      <c r="A1737" s="106">
        <v>2018</v>
      </c>
      <c r="B1737" s="106">
        <v>-236638</v>
      </c>
      <c r="C1737" s="106">
        <v>0</v>
      </c>
      <c r="D1737" s="106">
        <v>236638</v>
      </c>
      <c r="E1737" s="106" t="s">
        <v>2781</v>
      </c>
      <c r="F1737" s="106" t="s">
        <v>444</v>
      </c>
      <c r="G1737" s="106" t="s">
        <v>182</v>
      </c>
      <c r="H1737" s="106">
        <v>4</v>
      </c>
      <c r="I1737" s="106" t="s">
        <v>24</v>
      </c>
      <c r="J1737" s="106">
        <v>4200</v>
      </c>
      <c r="K1737" s="106">
        <v>8641</v>
      </c>
      <c r="L1737" s="106">
        <v>7420</v>
      </c>
      <c r="M1737" s="106">
        <v>0.42</v>
      </c>
      <c r="N1737" s="106">
        <v>0.09</v>
      </c>
      <c r="O1737" s="106">
        <v>0.25</v>
      </c>
      <c r="P1737" s="106">
        <v>1454</v>
      </c>
      <c r="Q1737" s="106">
        <v>1083.320800649175</v>
      </c>
      <c r="R1737" s="106">
        <v>0.24088261703043018</v>
      </c>
      <c r="S1737" s="106">
        <v>16653.326480930486</v>
      </c>
      <c r="T1737" s="106">
        <v>17827.5937246416</v>
      </c>
      <c r="U1737" s="106">
        <v>14307.305923721937</v>
      </c>
      <c r="V1737" s="106">
        <v>0.23861772133040901</v>
      </c>
      <c r="W1737" s="106">
        <v>91950.881954887227</v>
      </c>
      <c r="X1737" s="110">
        <v>0.61850626990881652</v>
      </c>
      <c r="Y1737" s="106">
        <v>1121.5685393258427</v>
      </c>
      <c r="Z1737" s="106">
        <v>24.923595505617975</v>
      </c>
      <c r="AA1737" s="106">
        <v>40500.849923430324</v>
      </c>
      <c r="AB1737" s="106">
        <v>317.93822054987197</v>
      </c>
      <c r="AC1737" s="106">
        <v>2.4690839868560035</v>
      </c>
      <c r="AD1737" s="106">
        <v>38.926974664679584</v>
      </c>
      <c r="AE1737" s="106">
        <v>127.38591117917305</v>
      </c>
      <c r="AF1737" s="106">
        <v>-3.1254015734323071E-2</v>
      </c>
      <c r="AG1737" s="106">
        <v>3800</v>
      </c>
      <c r="AH1737" s="106">
        <v>15030.757911820396</v>
      </c>
      <c r="AI1737" s="106">
        <v>15030.946443061943</v>
      </c>
      <c r="AJ1737" s="106">
        <v>16701.020827698132</v>
      </c>
      <c r="AK1737" s="104">
        <v>16858.728428455506</v>
      </c>
      <c r="AL1737" s="118">
        <v>20044214</v>
      </c>
      <c r="AM1737" s="118">
        <v>4670</v>
      </c>
      <c r="AN1737" s="118">
        <v>166366</v>
      </c>
      <c r="AO1737" s="118">
        <v>788</v>
      </c>
      <c r="AP1737" s="118">
        <f t="shared" si="27"/>
        <v>400</v>
      </c>
    </row>
    <row r="1738" spans="1:42" ht="12.75">
      <c r="A1738" s="106">
        <v>2018</v>
      </c>
      <c r="B1738" s="106">
        <v>-195526</v>
      </c>
      <c r="C1738" s="106">
        <v>0</v>
      </c>
      <c r="D1738" s="106">
        <v>195526</v>
      </c>
      <c r="E1738" s="106" t="s">
        <v>2782</v>
      </c>
      <c r="F1738" s="106" t="s">
        <v>2640</v>
      </c>
      <c r="G1738" s="106" t="s">
        <v>69</v>
      </c>
      <c r="H1738" s="106">
        <v>7</v>
      </c>
      <c r="I1738" s="106" t="s">
        <v>3641</v>
      </c>
      <c r="J1738" s="106">
        <v>52446</v>
      </c>
      <c r="K1738" s="106">
        <v>24087</v>
      </c>
      <c r="L1738" s="106">
        <v>9801</v>
      </c>
      <c r="M1738" s="106">
        <v>0.17</v>
      </c>
      <c r="N1738" s="106">
        <v>0.33</v>
      </c>
      <c r="O1738" s="106">
        <v>0.44</v>
      </c>
      <c r="P1738" s="106">
        <v>42362</v>
      </c>
      <c r="Q1738" s="106">
        <v>16747.284576393919</v>
      </c>
      <c r="R1738" s="106">
        <v>0.32656519160712771</v>
      </c>
      <c r="S1738" s="106">
        <v>60297.248370745838</v>
      </c>
      <c r="T1738" s="106">
        <v>59653.149891383058</v>
      </c>
      <c r="U1738" s="106">
        <v>47461.203877402251</v>
      </c>
      <c r="V1738" s="106">
        <v>0.72766471918433306</v>
      </c>
      <c r="W1738" s="106">
        <v>105574.75660639777</v>
      </c>
      <c r="X1738" s="110">
        <v>0.61428606110632311</v>
      </c>
      <c r="Y1738" s="106">
        <v>263.90127388535029</v>
      </c>
      <c r="Z1738" s="106">
        <v>8.7961783439490446</v>
      </c>
      <c r="AA1738" s="106">
        <v>197719.22339273756</v>
      </c>
      <c r="AB1738" s="106">
        <v>1581.9446703600436</v>
      </c>
      <c r="AC1738" s="106">
        <v>0.5057677158753856</v>
      </c>
      <c r="AD1738" s="106">
        <v>24.971751412429381</v>
      </c>
      <c r="AE1738" s="106">
        <v>124.98491704374057</v>
      </c>
      <c r="AF1738" s="106">
        <v>7.2281013245634393E-2</v>
      </c>
      <c r="AG1738" s="106">
        <v>51456</v>
      </c>
      <c r="AH1738" s="106">
        <v>49912.020275162926</v>
      </c>
      <c r="AI1738" s="106">
        <v>60638.305575669801</v>
      </c>
      <c r="AJ1738" s="106">
        <v>73188.631426502528</v>
      </c>
      <c r="AK1738" s="104">
        <v>49408.761766835625</v>
      </c>
      <c r="AL1738" s="118">
        <v>177000</v>
      </c>
      <c r="AM1738" s="118">
        <v>2680</v>
      </c>
      <c r="AN1738" s="118">
        <v>82865</v>
      </c>
      <c r="AO1738" s="118">
        <v>661</v>
      </c>
      <c r="AP1738" s="118">
        <f t="shared" si="27"/>
        <v>990</v>
      </c>
    </row>
    <row r="1739" spans="1:42" ht="12.75">
      <c r="A1739" s="106">
        <v>2018</v>
      </c>
      <c r="B1739" s="106">
        <v>-123509</v>
      </c>
      <c r="C1739" s="106">
        <v>0</v>
      </c>
      <c r="D1739" s="106">
        <v>123509</v>
      </c>
      <c r="E1739" s="106" t="s">
        <v>2783</v>
      </c>
      <c r="F1739" s="106" t="s">
        <v>2784</v>
      </c>
      <c r="G1739" s="106" t="s">
        <v>121</v>
      </c>
      <c r="H1739" s="106">
        <v>4</v>
      </c>
      <c r="I1739" s="106" t="s">
        <v>24</v>
      </c>
      <c r="J1739" s="106">
        <v>1446</v>
      </c>
      <c r="K1739" s="106">
        <v>4403</v>
      </c>
      <c r="L1739" s="106">
        <v>-216</v>
      </c>
      <c r="M1739" s="106">
        <v>0.25</v>
      </c>
      <c r="N1739" s="106">
        <v>0</v>
      </c>
      <c r="O1739" s="106">
        <v>0.26</v>
      </c>
      <c r="P1739" s="106">
        <v>857</v>
      </c>
      <c r="Q1739" s="106">
        <v>101.56721070970109</v>
      </c>
      <c r="R1739" s="106">
        <v>3.775133601228773E-2</v>
      </c>
      <c r="S1739" s="106">
        <v>17409.675408032275</v>
      </c>
      <c r="T1739" s="106">
        <v>17712.645699614892</v>
      </c>
      <c r="U1739" s="106">
        <v>13048.397212543554</v>
      </c>
      <c r="V1739" s="106">
        <v>0.19840442225061491</v>
      </c>
      <c r="W1739" s="106">
        <v>165912.49722222221</v>
      </c>
      <c r="X1739" s="110">
        <v>0.61839029840198978</v>
      </c>
      <c r="Y1739" s="106">
        <v>749.27633587786261</v>
      </c>
      <c r="Z1739" s="106">
        <v>24.975572519083972</v>
      </c>
      <c r="AA1739" s="106">
        <v>63190.86145648313</v>
      </c>
      <c r="AB1739" s="106">
        <v>434.94125629615138</v>
      </c>
      <c r="AC1739" s="106">
        <v>1.5825073071501925</v>
      </c>
      <c r="AD1739" s="106">
        <v>21.305581835383162</v>
      </c>
      <c r="AE1739" s="106">
        <v>145.28596802841918</v>
      </c>
      <c r="AF1739" s="106">
        <v>6.7376003080260507E-3</v>
      </c>
      <c r="AG1739" s="106">
        <v>1380</v>
      </c>
      <c r="AH1739" s="106">
        <v>17709.940033009352</v>
      </c>
      <c r="AI1739" s="106">
        <v>17709.940033009352</v>
      </c>
      <c r="AJ1739" s="106">
        <v>17586.745644599305</v>
      </c>
      <c r="AK1739" s="104">
        <v>13048.397212543554</v>
      </c>
      <c r="AL1739" s="119">
        <v>63437940</v>
      </c>
      <c r="AM1739" s="118">
        <v>9235</v>
      </c>
      <c r="AN1739" s="118">
        <v>163592</v>
      </c>
      <c r="AO1739" s="118">
        <v>748</v>
      </c>
      <c r="AP1739" s="118">
        <f t="shared" si="27"/>
        <v>66</v>
      </c>
    </row>
    <row r="1740" spans="1:42" ht="12.75">
      <c r="A1740" s="106">
        <v>2018</v>
      </c>
      <c r="B1740" s="106">
        <v>-216038</v>
      </c>
      <c r="C1740" s="106">
        <v>0</v>
      </c>
      <c r="D1740" s="106">
        <v>216038</v>
      </c>
      <c r="E1740" s="106" t="s">
        <v>2785</v>
      </c>
      <c r="F1740" s="106" t="s">
        <v>2786</v>
      </c>
      <c r="G1740" s="106" t="s">
        <v>104</v>
      </c>
      <c r="H1740" s="106">
        <v>2</v>
      </c>
      <c r="I1740" s="106" t="s">
        <v>25</v>
      </c>
      <c r="J1740" s="106">
        <v>10205</v>
      </c>
      <c r="K1740" s="106">
        <v>17617</v>
      </c>
      <c r="L1740" s="106">
        <v>13652</v>
      </c>
      <c r="M1740" s="106">
        <v>0.34</v>
      </c>
      <c r="N1740" s="106">
        <v>0.8</v>
      </c>
      <c r="O1740" s="106">
        <v>0.51</v>
      </c>
      <c r="P1740" s="106">
        <v>1544</v>
      </c>
      <c r="Q1740" s="106">
        <v>1073.2623041271243</v>
      </c>
      <c r="R1740" s="106">
        <v>0.10153698736712144</v>
      </c>
      <c r="S1740" s="106">
        <v>18299.159567424409</v>
      </c>
      <c r="T1740" s="106">
        <v>19211.779187817257</v>
      </c>
      <c r="U1740" s="106">
        <v>13202.283914873404</v>
      </c>
      <c r="V1740" s="106">
        <v>0.7193375600080979</v>
      </c>
      <c r="W1740" s="106">
        <v>119339.88980509745</v>
      </c>
      <c r="X1740" s="110">
        <v>0.60961909064757025</v>
      </c>
      <c r="Y1740" s="106">
        <v>685.70822281167113</v>
      </c>
      <c r="Z1740" s="106">
        <v>24.03713527851459</v>
      </c>
      <c r="AA1740" s="106">
        <v>52107.620573424552</v>
      </c>
      <c r="AB1740" s="106">
        <v>462.79900676402946</v>
      </c>
      <c r="AC1740" s="106">
        <v>1.9191050924900814</v>
      </c>
      <c r="AD1740" s="106">
        <v>28.251507321274765</v>
      </c>
      <c r="AE1740" s="106">
        <v>112.59233449477352</v>
      </c>
      <c r="AF1740" s="106">
        <v>0.77790181871114217</v>
      </c>
      <c r="AG1740" s="106">
        <v>7492</v>
      </c>
      <c r="AH1740" s="106">
        <v>18379.416795409401</v>
      </c>
      <c r="AI1740" s="106">
        <v>18379.416795409401</v>
      </c>
      <c r="AJ1740" s="106">
        <v>18517.205252703596</v>
      </c>
      <c r="AK1740" s="104">
        <v>14329.33237695873</v>
      </c>
      <c r="AL1740" s="119">
        <v>37823109</v>
      </c>
      <c r="AM1740" s="118">
        <v>7609</v>
      </c>
      <c r="AN1740" s="118">
        <v>258512</v>
      </c>
      <c r="AO1740" s="118">
        <v>1764</v>
      </c>
      <c r="AP1740" s="118">
        <f t="shared" si="27"/>
        <v>2713</v>
      </c>
    </row>
    <row r="1741" spans="1:42" ht="12.75">
      <c r="A1741" s="106">
        <v>2018</v>
      </c>
      <c r="B1741" s="106">
        <v>-167835</v>
      </c>
      <c r="C1741" s="106">
        <v>0</v>
      </c>
      <c r="D1741" s="106">
        <v>167835</v>
      </c>
      <c r="E1741" s="106" t="s">
        <v>2787</v>
      </c>
      <c r="F1741" s="106" t="s">
        <v>2788</v>
      </c>
      <c r="G1741" s="106" t="s">
        <v>150</v>
      </c>
      <c r="H1741" s="106">
        <v>7</v>
      </c>
      <c r="I1741" s="106" t="s">
        <v>3641</v>
      </c>
      <c r="J1741" s="106">
        <v>50044</v>
      </c>
      <c r="K1741" s="106">
        <v>28123</v>
      </c>
      <c r="L1741" s="106">
        <v>8817</v>
      </c>
      <c r="M1741" s="106">
        <v>0.2</v>
      </c>
      <c r="N1741" s="106">
        <v>0.51</v>
      </c>
      <c r="O1741" s="106">
        <v>0.69</v>
      </c>
      <c r="P1741" s="106">
        <v>39468</v>
      </c>
      <c r="Q1741" s="106">
        <v>25436.698174706649</v>
      </c>
      <c r="R1741" s="106">
        <v>0.52963404449020746</v>
      </c>
      <c r="S1741" s="106">
        <v>60737.163624511079</v>
      </c>
      <c r="T1741" s="106">
        <v>77019.799217731415</v>
      </c>
      <c r="U1741" s="106">
        <v>63179.817876635963</v>
      </c>
      <c r="V1741" s="106">
        <v>0.35755458723935096</v>
      </c>
      <c r="W1741" s="106">
        <v>118741.2987012987</v>
      </c>
      <c r="X1741" s="110">
        <v>0.58039817933335547</v>
      </c>
      <c r="Y1741" s="106">
        <v>269.33695652173913</v>
      </c>
      <c r="Z1741" s="106">
        <v>8.3369565217391308</v>
      </c>
      <c r="AA1741" s="106">
        <v>245051.43014604188</v>
      </c>
      <c r="AB1741" s="106">
        <v>1955.6447117066784</v>
      </c>
      <c r="AC1741" s="106">
        <v>0.40807760207889243</v>
      </c>
      <c r="AD1741" s="106">
        <v>27.341859661251295</v>
      </c>
      <c r="AE1741" s="106">
        <v>125.3046776232617</v>
      </c>
      <c r="AF1741" s="106">
        <v>6.0783157437676247E-2</v>
      </c>
      <c r="AG1741" s="106">
        <v>49760</v>
      </c>
      <c r="AH1741" s="106">
        <v>41014.977509778357</v>
      </c>
      <c r="AI1741" s="106">
        <v>60975.276727509779</v>
      </c>
      <c r="AJ1741" s="106">
        <v>118876.54498044329</v>
      </c>
      <c r="AK1741" s="104">
        <v>65256.985332464144</v>
      </c>
      <c r="AL1741" s="118"/>
      <c r="AM1741" s="118">
        <v>2521</v>
      </c>
      <c r="AN1741" s="118">
        <v>99116</v>
      </c>
      <c r="AO1741" s="118">
        <v>636</v>
      </c>
      <c r="AP1741" s="118">
        <f t="shared" si="27"/>
        <v>284</v>
      </c>
    </row>
    <row r="1742" spans="1:42" ht="12.75">
      <c r="A1742" s="106">
        <v>2018</v>
      </c>
      <c r="B1742" s="106">
        <v>-102076</v>
      </c>
      <c r="C1742" s="106">
        <v>0</v>
      </c>
      <c r="D1742" s="106">
        <v>102076</v>
      </c>
      <c r="E1742" s="106" t="s">
        <v>2789</v>
      </c>
      <c r="F1742" s="106" t="s">
        <v>2790</v>
      </c>
      <c r="G1742" s="106" t="s">
        <v>85</v>
      </c>
      <c r="H1742" s="106">
        <v>4</v>
      </c>
      <c r="I1742" s="106" t="s">
        <v>24</v>
      </c>
      <c r="J1742" s="106">
        <v>4500</v>
      </c>
      <c r="K1742" s="106">
        <v>4805</v>
      </c>
      <c r="L1742" s="106">
        <v>4434</v>
      </c>
      <c r="M1742" s="106">
        <v>0.61</v>
      </c>
      <c r="N1742" s="106">
        <v>0.17</v>
      </c>
      <c r="O1742" s="106">
        <v>0.53</v>
      </c>
      <c r="P1742" s="106">
        <v>4747</v>
      </c>
      <c r="Q1742" s="106">
        <v>1024.1961598339387</v>
      </c>
      <c r="R1742" s="106">
        <v>0.20042778215810025</v>
      </c>
      <c r="S1742" s="106">
        <v>10508.928386092372</v>
      </c>
      <c r="T1742" s="106">
        <v>10155.301504929943</v>
      </c>
      <c r="U1742" s="106">
        <v>6525.1401352803805</v>
      </c>
      <c r="V1742" s="106">
        <v>0.62617117973110603</v>
      </c>
      <c r="W1742" s="106">
        <v>63556.126637554589</v>
      </c>
      <c r="X1742" s="110">
        <v>0.49582350201586506</v>
      </c>
      <c r="Y1742" s="106">
        <v>818.09433962264166</v>
      </c>
      <c r="Z1742" s="106">
        <v>27.268867924528305</v>
      </c>
      <c r="AA1742" s="106">
        <v>25872.314898529406</v>
      </c>
      <c r="AB1742" s="106">
        <v>217.4971466250137</v>
      </c>
      <c r="AC1742" s="106">
        <v>3.8651353924918426</v>
      </c>
      <c r="AD1742" s="106">
        <v>30.720606826801518</v>
      </c>
      <c r="AE1742" s="106">
        <v>118.95473251028807</v>
      </c>
      <c r="AF1742" s="106">
        <v>5.5436845664862108E-2</v>
      </c>
      <c r="AG1742" s="106">
        <v>3570</v>
      </c>
      <c r="AH1742" s="106">
        <v>9189.4203425012965</v>
      </c>
      <c r="AI1742" s="106">
        <v>9208.6896730669432</v>
      </c>
      <c r="AJ1742" s="106">
        <v>10561.739491437467</v>
      </c>
      <c r="AK1742" s="104">
        <v>7945.8687078360144</v>
      </c>
      <c r="AL1742" s="118">
        <v>7837970</v>
      </c>
      <c r="AM1742" s="118">
        <v>2220</v>
      </c>
      <c r="AN1742" s="118">
        <v>57812</v>
      </c>
      <c r="AO1742" s="118">
        <v>412</v>
      </c>
      <c r="AP1742" s="118">
        <f t="shared" si="27"/>
        <v>930</v>
      </c>
    </row>
    <row r="1743" spans="1:42" ht="12.75">
      <c r="A1743" s="106">
        <v>2018</v>
      </c>
      <c r="B1743" s="106">
        <v>-230597</v>
      </c>
      <c r="C1743" s="106">
        <v>0</v>
      </c>
      <c r="D1743" s="106">
        <v>230597</v>
      </c>
      <c r="E1743" s="106" t="s">
        <v>2791</v>
      </c>
      <c r="F1743" s="106" t="s">
        <v>2792</v>
      </c>
      <c r="G1743" s="106" t="s">
        <v>458</v>
      </c>
      <c r="H1743" s="106">
        <v>4</v>
      </c>
      <c r="I1743" s="106" t="s">
        <v>24</v>
      </c>
      <c r="J1743" s="107">
        <v>3692</v>
      </c>
      <c r="K1743" s="107">
        <v>8907</v>
      </c>
      <c r="L1743" s="107">
        <v>8466</v>
      </c>
      <c r="M1743" s="107">
        <v>0.41</v>
      </c>
      <c r="N1743" s="107">
        <v>0.66</v>
      </c>
      <c r="O1743" s="107">
        <v>0.64</v>
      </c>
      <c r="P1743" s="107">
        <v>2349</v>
      </c>
      <c r="Q1743" s="106">
        <v>1152.8910295003011</v>
      </c>
      <c r="R1743" s="106">
        <v>0.23260274603230804</v>
      </c>
      <c r="S1743" s="106">
        <v>15249.098735701386</v>
      </c>
      <c r="T1743" s="106">
        <v>16669.982540638171</v>
      </c>
      <c r="U1743" s="106">
        <v>12664.124166255193</v>
      </c>
      <c r="V1743" s="106">
        <v>0.3003436838634313</v>
      </c>
      <c r="W1743" s="106">
        <v>68357.30548926015</v>
      </c>
      <c r="X1743" s="110">
        <v>0.51720675126849835</v>
      </c>
      <c r="Y1743" s="106">
        <v>559.92134831460669</v>
      </c>
      <c r="Z1743" s="106">
        <v>18.662921348314608</v>
      </c>
      <c r="AA1743" s="106">
        <v>39726.364948347262</v>
      </c>
      <c r="AB1743" s="106">
        <v>422.11205908032576</v>
      </c>
      <c r="AC1743" s="106">
        <v>2.5172199905534098</v>
      </c>
      <c r="AD1743" s="106">
        <v>25.065088757396449</v>
      </c>
      <c r="AE1743" s="106">
        <v>94.113314447592074</v>
      </c>
      <c r="AF1743" s="107">
        <v>0.23464896613215838</v>
      </c>
      <c r="AG1743" s="106">
        <v>3276</v>
      </c>
      <c r="AH1743" s="106">
        <v>13877.920529801324</v>
      </c>
      <c r="AI1743" s="106">
        <v>13977.460866947622</v>
      </c>
      <c r="AJ1743" s="106">
        <v>15472.302227573751</v>
      </c>
      <c r="AK1743" s="104">
        <v>14489.639674894643</v>
      </c>
      <c r="AL1743" s="118">
        <v>26505328</v>
      </c>
      <c r="AM1743" s="118">
        <v>5563</v>
      </c>
      <c r="AN1743" s="118">
        <v>99666</v>
      </c>
      <c r="AO1743" s="118">
        <v>934</v>
      </c>
      <c r="AP1743" s="118">
        <f t="shared" si="27"/>
        <v>416</v>
      </c>
    </row>
    <row r="1744" spans="1:42" ht="12.75">
      <c r="A1744" s="106">
        <v>2018</v>
      </c>
      <c r="B1744" s="106">
        <v>-399911</v>
      </c>
      <c r="C1744" s="106">
        <v>0</v>
      </c>
      <c r="D1744" s="106">
        <v>399911</v>
      </c>
      <c r="E1744" s="106" t="s">
        <v>2793</v>
      </c>
      <c r="F1744" s="106" t="s">
        <v>2794</v>
      </c>
      <c r="G1744" s="106" t="s">
        <v>121</v>
      </c>
      <c r="H1744" s="106">
        <v>7</v>
      </c>
      <c r="I1744" s="106" t="s">
        <v>3641</v>
      </c>
      <c r="J1744" s="106">
        <v>31776</v>
      </c>
      <c r="K1744" s="106">
        <v>14739</v>
      </c>
      <c r="L1744" s="106">
        <v>10410</v>
      </c>
      <c r="M1744" s="106">
        <v>0.21</v>
      </c>
      <c r="N1744" s="106">
        <v>0.72</v>
      </c>
      <c r="O1744" s="106">
        <v>1</v>
      </c>
      <c r="P1744" s="106">
        <v>31047</v>
      </c>
      <c r="Q1744" s="106">
        <v>19446.285714285714</v>
      </c>
      <c r="R1744" s="106">
        <v>1.143670455606107</v>
      </c>
      <c r="S1744" s="106">
        <v>334656.25</v>
      </c>
      <c r="T1744" s="106">
        <v>130113.83928571429</v>
      </c>
      <c r="U1744" s="106">
        <v>100609.05700525684</v>
      </c>
      <c r="V1744" s="106">
        <v>-2.4280976618105514E-2</v>
      </c>
      <c r="W1744" s="106">
        <v>118957.94392523365</v>
      </c>
      <c r="X1744" s="110">
        <v>0.43672265015182449</v>
      </c>
      <c r="Y1744" s="106">
        <v>229.13142857142856</v>
      </c>
      <c r="Z1744" s="106">
        <v>7.68</v>
      </c>
      <c r="AA1744" s="106">
        <v>506436.60155455122</v>
      </c>
      <c r="AB1744" s="106">
        <v>3372.2024194489795</v>
      </c>
      <c r="AC1744" s="106">
        <v>0.19745808200481818</v>
      </c>
      <c r="AD1744" s="106">
        <v>20.843091334894616</v>
      </c>
      <c r="AE1744" s="106">
        <v>150.17977528089887</v>
      </c>
      <c r="AF1744" s="106">
        <v>7.6406780848079406E-2</v>
      </c>
      <c r="AG1744" s="106">
        <v>30106</v>
      </c>
      <c r="AH1744" s="106">
        <v>124542.96205357143</v>
      </c>
      <c r="AI1744" s="106">
        <v>326438.05133928574</v>
      </c>
      <c r="AJ1744" s="106">
        <v>393111.60714285716</v>
      </c>
      <c r="AK1744" s="104">
        <v>111904.01785714286</v>
      </c>
      <c r="AL1744" s="118"/>
      <c r="AM1744" s="118">
        <v>412</v>
      </c>
      <c r="AN1744" s="118">
        <v>13366</v>
      </c>
      <c r="AO1744" s="118">
        <v>83</v>
      </c>
      <c r="AP1744" s="118">
        <f t="shared" si="27"/>
        <v>1670</v>
      </c>
    </row>
    <row r="1745" spans="1:42" ht="12.75">
      <c r="A1745" s="106">
        <v>2018</v>
      </c>
      <c r="B1745" s="106">
        <v>-123563</v>
      </c>
      <c r="C1745" s="106">
        <v>0</v>
      </c>
      <c r="D1745" s="106">
        <v>123563</v>
      </c>
      <c r="E1745" s="106" t="s">
        <v>2795</v>
      </c>
      <c r="F1745" s="106" t="s">
        <v>1206</v>
      </c>
      <c r="G1745" s="106" t="s">
        <v>121</v>
      </c>
      <c r="H1745" s="106">
        <v>4</v>
      </c>
      <c r="I1745" s="106" t="s">
        <v>24</v>
      </c>
      <c r="J1745" s="106">
        <v>1140</v>
      </c>
      <c r="K1745" s="106">
        <v>8495</v>
      </c>
      <c r="L1745" s="106">
        <v>5474</v>
      </c>
      <c r="M1745" s="106">
        <v>0.32</v>
      </c>
      <c r="N1745" s="106">
        <v>0</v>
      </c>
      <c r="O1745" s="106">
        <v>0.01</v>
      </c>
      <c r="P1745" s="106">
        <v>478</v>
      </c>
      <c r="Q1745" s="106"/>
      <c r="R1745" s="106"/>
      <c r="S1745" s="106">
        <v>13359.600708502025</v>
      </c>
      <c r="T1745" s="106">
        <v>17200.684716599189</v>
      </c>
      <c r="U1745" s="106">
        <v>13006.113300517924</v>
      </c>
      <c r="V1745" s="106">
        <v>0.11252565543108158</v>
      </c>
      <c r="W1745" s="106">
        <v>124697.17765273311</v>
      </c>
      <c r="X1745" s="110">
        <v>0.50710958480639057</v>
      </c>
      <c r="Y1745" s="106">
        <v>784.6455882352941</v>
      </c>
      <c r="Z1745" s="106">
        <v>26.152941176470588</v>
      </c>
      <c r="AA1745" s="106">
        <v>48643.684318908672</v>
      </c>
      <c r="AB1745" s="106">
        <v>433.50542102449913</v>
      </c>
      <c r="AC1745" s="106">
        <v>2.0557653352159471</v>
      </c>
      <c r="AD1745" s="106">
        <v>28.192813945215228</v>
      </c>
      <c r="AE1745" s="106">
        <v>112.21009463722397</v>
      </c>
      <c r="AF1745" s="106">
        <v>-0.41641334143081971</v>
      </c>
      <c r="AG1745" s="106">
        <v>1104</v>
      </c>
      <c r="AH1745" s="106">
        <v>12936.444163292848</v>
      </c>
      <c r="AI1745" s="106">
        <v>12936.444163292848</v>
      </c>
      <c r="AJ1745" s="106">
        <v>13416.099021592443</v>
      </c>
      <c r="AK1745" s="104">
        <v>14903.059041835357</v>
      </c>
      <c r="AL1745" s="118">
        <v>54548479</v>
      </c>
      <c r="AM1745" s="118">
        <v>9625</v>
      </c>
      <c r="AN1745" s="118">
        <v>177853</v>
      </c>
      <c r="AO1745" s="118">
        <v>1300</v>
      </c>
      <c r="AP1745" s="118">
        <f t="shared" si="27"/>
        <v>36</v>
      </c>
    </row>
    <row r="1746" spans="1:42" ht="12.75">
      <c r="A1746" s="106">
        <v>2018</v>
      </c>
      <c r="B1746" s="106">
        <v>-157711</v>
      </c>
      <c r="C1746" s="106">
        <v>0</v>
      </c>
      <c r="D1746" s="106">
        <v>157711</v>
      </c>
      <c r="E1746" s="106" t="s">
        <v>4193</v>
      </c>
      <c r="F1746" s="106" t="s">
        <v>4194</v>
      </c>
      <c r="G1746" s="106" t="s">
        <v>118</v>
      </c>
      <c r="H1746" s="106">
        <v>4</v>
      </c>
      <c r="I1746" s="106" t="s">
        <v>24</v>
      </c>
      <c r="J1746" s="106">
        <v>4080</v>
      </c>
      <c r="K1746" s="106">
        <v>5481</v>
      </c>
      <c r="L1746" s="106">
        <v>4420</v>
      </c>
      <c r="M1746" s="106">
        <v>0.74</v>
      </c>
      <c r="N1746" s="106">
        <v>0.27</v>
      </c>
      <c r="O1746" s="106">
        <v>0.17</v>
      </c>
      <c r="P1746" s="106">
        <v>2474</v>
      </c>
      <c r="Q1746" s="106">
        <v>4138.712909441233</v>
      </c>
      <c r="R1746" s="106">
        <v>0.76102319838753185</v>
      </c>
      <c r="S1746" s="106">
        <v>11696.90889072392</v>
      </c>
      <c r="T1746" s="106">
        <v>10311.396641893753</v>
      </c>
      <c r="U1746" s="106">
        <v>8155.3248493989704</v>
      </c>
      <c r="V1746" s="106">
        <v>0.15936094100774389</v>
      </c>
      <c r="W1746" s="106">
        <v>59361.498637602177</v>
      </c>
      <c r="X1746" s="110">
        <v>0.5815512989083349</v>
      </c>
      <c r="Y1746" s="106">
        <v>626.37931034482756</v>
      </c>
      <c r="Z1746" s="106">
        <v>20.879310344827587</v>
      </c>
      <c r="AA1746" s="106">
        <v>10026.495830073252</v>
      </c>
      <c r="AB1746" s="106">
        <v>271.84416164663236</v>
      </c>
      <c r="AC1746" s="106">
        <v>9.9735741873110051</v>
      </c>
      <c r="AD1746" s="106">
        <v>79.951298701298697</v>
      </c>
      <c r="AE1746" s="106">
        <v>36.883248730964468</v>
      </c>
      <c r="AF1746" s="106"/>
      <c r="AG1746" s="106">
        <v>3888</v>
      </c>
      <c r="AH1746" s="106">
        <v>10956.165152766309</v>
      </c>
      <c r="AI1746" s="106">
        <v>11002.396091384531</v>
      </c>
      <c r="AJ1746" s="106">
        <v>11744.342416735481</v>
      </c>
      <c r="AK1746" s="104">
        <v>9762.7836498761353</v>
      </c>
      <c r="AL1746" s="118">
        <v>13422800</v>
      </c>
      <c r="AM1746" s="118">
        <v>5886</v>
      </c>
      <c r="AN1746" s="118">
        <v>108990</v>
      </c>
      <c r="AO1746" s="118">
        <v>752</v>
      </c>
      <c r="AP1746" s="118">
        <f t="shared" si="27"/>
        <v>192</v>
      </c>
    </row>
    <row r="1747" spans="1:42" ht="12.75">
      <c r="A1747" s="106">
        <v>2018</v>
      </c>
      <c r="B1747" s="106">
        <v>-123572</v>
      </c>
      <c r="C1747" s="106">
        <v>0</v>
      </c>
      <c r="D1747" s="106">
        <v>123572</v>
      </c>
      <c r="E1747" s="106" t="s">
        <v>2796</v>
      </c>
      <c r="F1747" s="106" t="s">
        <v>352</v>
      </c>
      <c r="G1747" s="106" t="s">
        <v>121</v>
      </c>
      <c r="H1747" s="106">
        <v>2</v>
      </c>
      <c r="I1747" s="106" t="s">
        <v>25</v>
      </c>
      <c r="J1747" s="106">
        <v>7724</v>
      </c>
      <c r="K1747" s="106">
        <v>16119</v>
      </c>
      <c r="L1747" s="106">
        <v>11548</v>
      </c>
      <c r="M1747" s="106">
        <v>0.36</v>
      </c>
      <c r="N1747" s="106">
        <v>0.44</v>
      </c>
      <c r="O1747" s="106">
        <v>0.39</v>
      </c>
      <c r="P1747" s="106">
        <v>5504</v>
      </c>
      <c r="Q1747" s="106">
        <v>1380.3916138360582</v>
      </c>
      <c r="R1747" s="106">
        <v>0.16108981284283305</v>
      </c>
      <c r="S1747" s="106">
        <v>27497.528639750861</v>
      </c>
      <c r="T1747" s="106">
        <v>27865.053275497721</v>
      </c>
      <c r="U1747" s="106">
        <v>14085.282988907362</v>
      </c>
      <c r="V1747" s="106">
        <v>0.51036881113708255</v>
      </c>
      <c r="W1747" s="106">
        <v>143045.48847926268</v>
      </c>
      <c r="X1747" s="110">
        <v>0.6194924643849925</v>
      </c>
      <c r="Y1747" s="106">
        <v>730.98268003646308</v>
      </c>
      <c r="Z1747" s="106">
        <v>24.587967183226983</v>
      </c>
      <c r="AA1747" s="106">
        <v>51188.673950390497</v>
      </c>
      <c r="AB1747" s="106">
        <v>473.78479046924042</v>
      </c>
      <c r="AC1747" s="106">
        <v>1.953557150101505</v>
      </c>
      <c r="AD1747" s="106">
        <v>28.277517430563492</v>
      </c>
      <c r="AE1747" s="106">
        <v>108.04203718674212</v>
      </c>
      <c r="AF1747" s="106">
        <v>9.857952600748103E-2</v>
      </c>
      <c r="AG1747" s="106">
        <v>5742</v>
      </c>
      <c r="AH1747" s="106">
        <v>27154.261483705926</v>
      </c>
      <c r="AI1747" s="106">
        <v>27769.103881659437</v>
      </c>
      <c r="AJ1747" s="106">
        <v>27602.67100433767</v>
      </c>
      <c r="AK1747" s="104">
        <v>17782.676231787344</v>
      </c>
      <c r="AL1747" s="118">
        <v>103480096</v>
      </c>
      <c r="AM1747" s="118">
        <v>8667</v>
      </c>
      <c r="AN1747" s="118">
        <v>267296</v>
      </c>
      <c r="AO1747" s="118">
        <v>2207</v>
      </c>
      <c r="AP1747" s="118">
        <f t="shared" si="27"/>
        <v>1982</v>
      </c>
    </row>
    <row r="1748" spans="1:42" ht="12.75">
      <c r="A1748" s="106">
        <v>2018</v>
      </c>
      <c r="B1748" s="106">
        <v>-107974</v>
      </c>
      <c r="C1748" s="106">
        <v>0</v>
      </c>
      <c r="D1748" s="106">
        <v>107974</v>
      </c>
      <c r="E1748" s="106" t="s">
        <v>2797</v>
      </c>
      <c r="F1748" s="106" t="s">
        <v>489</v>
      </c>
      <c r="G1748" s="106" t="s">
        <v>200</v>
      </c>
      <c r="H1748" s="106">
        <v>4</v>
      </c>
      <c r="I1748" s="106" t="s">
        <v>24</v>
      </c>
      <c r="J1748" s="106">
        <v>2628</v>
      </c>
      <c r="K1748" s="106">
        <v>7776</v>
      </c>
      <c r="L1748" s="106">
        <v>7556</v>
      </c>
      <c r="M1748" s="106">
        <v>0.63</v>
      </c>
      <c r="N1748" s="106">
        <v>0.27</v>
      </c>
      <c r="O1748" s="106">
        <v>0.16</v>
      </c>
      <c r="P1748" s="106">
        <v>2082</v>
      </c>
      <c r="Q1748" s="106">
        <v>217.50091407678244</v>
      </c>
      <c r="R1748" s="106">
        <v>5.1443668290320564E-2</v>
      </c>
      <c r="S1748" s="106">
        <v>16992.429616087753</v>
      </c>
      <c r="T1748" s="106">
        <v>17393.885740402195</v>
      </c>
      <c r="U1748" s="106">
        <v>13353.83084704511</v>
      </c>
      <c r="V1748" s="106">
        <v>0.30032149269362074</v>
      </c>
      <c r="W1748" s="106">
        <v>60514.69038461538</v>
      </c>
      <c r="X1748" s="110">
        <v>0.5512250806154908</v>
      </c>
      <c r="Y1748" s="106">
        <v>449.46575342465752</v>
      </c>
      <c r="Z1748" s="106">
        <v>14.986301369863014</v>
      </c>
      <c r="AA1748" s="106">
        <v>24107.410803081439</v>
      </c>
      <c r="AB1748" s="106">
        <v>445.24979265085949</v>
      </c>
      <c r="AC1748" s="106">
        <v>4.1481020428464213</v>
      </c>
      <c r="AD1748" s="106">
        <v>65.798045602605853</v>
      </c>
      <c r="AE1748" s="106">
        <v>54.143564356435647</v>
      </c>
      <c r="AF1748" s="106">
        <v>-2.1277691742316054E-2</v>
      </c>
      <c r="AG1748" s="106">
        <v>1992</v>
      </c>
      <c r="AH1748" s="106">
        <v>15462.666361974407</v>
      </c>
      <c r="AI1748" s="106">
        <v>15506.957952468007</v>
      </c>
      <c r="AJ1748" s="106">
        <v>17000.733089579524</v>
      </c>
      <c r="AK1748" s="104">
        <v>15358.212065813528</v>
      </c>
      <c r="AL1748" s="119">
        <v>7399433</v>
      </c>
      <c r="AM1748" s="118">
        <v>1481</v>
      </c>
      <c r="AN1748" s="118">
        <v>32811</v>
      </c>
      <c r="AO1748" s="118">
        <v>156</v>
      </c>
      <c r="AP1748" s="118">
        <f t="shared" si="27"/>
        <v>636</v>
      </c>
    </row>
    <row r="1749" spans="1:42" ht="12.75">
      <c r="A1749" s="106">
        <v>2018</v>
      </c>
      <c r="B1749" s="106">
        <v>-218733</v>
      </c>
      <c r="C1749" s="106">
        <v>0</v>
      </c>
      <c r="D1749" s="106">
        <v>218733</v>
      </c>
      <c r="E1749" s="106" t="s">
        <v>2798</v>
      </c>
      <c r="F1749" s="106" t="s">
        <v>749</v>
      </c>
      <c r="G1749" s="106" t="s">
        <v>79</v>
      </c>
      <c r="H1749" s="106">
        <v>2</v>
      </c>
      <c r="I1749" s="106" t="s">
        <v>25</v>
      </c>
      <c r="J1749" s="106">
        <v>10740</v>
      </c>
      <c r="K1749" s="106">
        <v>20878</v>
      </c>
      <c r="L1749" s="106">
        <v>20488</v>
      </c>
      <c r="M1749" s="106">
        <v>0.8</v>
      </c>
      <c r="N1749" s="106">
        <v>0.81</v>
      </c>
      <c r="O1749" s="106">
        <v>0.19</v>
      </c>
      <c r="P1749" s="106">
        <v>10341</v>
      </c>
      <c r="Q1749" s="106">
        <v>2615.7708812260535</v>
      </c>
      <c r="R1749" s="106">
        <v>0.20623468267286132</v>
      </c>
      <c r="S1749" s="106">
        <v>34970.127203065131</v>
      </c>
      <c r="T1749" s="106">
        <v>33814.781226053638</v>
      </c>
      <c r="U1749" s="106">
        <v>19819.574744813312</v>
      </c>
      <c r="V1749" s="106">
        <v>0.50796733438283315</v>
      </c>
      <c r="W1749" s="106">
        <v>116076.31060606061</v>
      </c>
      <c r="X1749" s="110">
        <v>0.69443312548971559</v>
      </c>
      <c r="Y1749" s="106">
        <v>399.35017421602788</v>
      </c>
      <c r="Z1749" s="106">
        <v>13.641114982578397</v>
      </c>
      <c r="AA1749" s="106">
        <v>124648.40984087407</v>
      </c>
      <c r="AB1749" s="106">
        <v>677.00257932917248</v>
      </c>
      <c r="AC1749" s="106">
        <v>0.80225652399143976</v>
      </c>
      <c r="AD1749" s="106">
        <v>15.467759970182632</v>
      </c>
      <c r="AE1749" s="106">
        <v>184.11807228915663</v>
      </c>
      <c r="AF1749" s="106">
        <v>0.14738061422269749</v>
      </c>
      <c r="AG1749" s="106">
        <v>9208</v>
      </c>
      <c r="AH1749" s="106">
        <v>32317.785823754788</v>
      </c>
      <c r="AI1749" s="106">
        <v>32756.372030651342</v>
      </c>
      <c r="AJ1749" s="106">
        <v>35032.166666666664</v>
      </c>
      <c r="AK1749" s="104">
        <v>30403.22988505747</v>
      </c>
      <c r="AL1749" s="119">
        <v>21150755</v>
      </c>
      <c r="AM1749" s="118">
        <v>2524</v>
      </c>
      <c r="AN1749" s="118">
        <v>76409</v>
      </c>
      <c r="AO1749" s="118">
        <v>310</v>
      </c>
      <c r="AP1749" s="118">
        <f t="shared" si="27"/>
        <v>1532</v>
      </c>
    </row>
    <row r="1750" spans="1:42" ht="12.75">
      <c r="A1750" s="106">
        <v>2018</v>
      </c>
      <c r="B1750" s="106">
        <v>-173911</v>
      </c>
      <c r="C1750" s="106">
        <v>0</v>
      </c>
      <c r="D1750" s="106">
        <v>173911</v>
      </c>
      <c r="E1750" s="106" t="s">
        <v>2799</v>
      </c>
      <c r="F1750" s="106" t="s">
        <v>2800</v>
      </c>
      <c r="G1750" s="106" t="s">
        <v>113</v>
      </c>
      <c r="H1750" s="106">
        <v>4</v>
      </c>
      <c r="I1750" s="106" t="s">
        <v>24</v>
      </c>
      <c r="J1750" s="106">
        <v>5423</v>
      </c>
      <c r="K1750" s="106">
        <v>9753</v>
      </c>
      <c r="L1750" s="106">
        <v>8958</v>
      </c>
      <c r="M1750" s="106">
        <v>0.56999999999999995</v>
      </c>
      <c r="N1750" s="106">
        <v>0.37</v>
      </c>
      <c r="O1750" s="106">
        <v>0.14000000000000001</v>
      </c>
      <c r="P1750" s="106">
        <v>933</v>
      </c>
      <c r="Q1750" s="106"/>
      <c r="R1750" s="106"/>
      <c r="S1750" s="106">
        <v>16472.209248014948</v>
      </c>
      <c r="T1750" s="106">
        <v>18217.655301261093</v>
      </c>
      <c r="U1750" s="106">
        <v>14892.922785512445</v>
      </c>
      <c r="V1750" s="106">
        <v>0.41366444126724211</v>
      </c>
      <c r="W1750" s="106">
        <v>118403.22580645161</v>
      </c>
      <c r="X1750" s="110">
        <v>0.69010870679930258</v>
      </c>
      <c r="Y1750" s="106">
        <v>571.69139465875378</v>
      </c>
      <c r="Z1750" s="106">
        <v>19.059347181008903</v>
      </c>
      <c r="AA1750" s="106">
        <v>49512.030564879111</v>
      </c>
      <c r="AB1750" s="106">
        <v>496.50806109906796</v>
      </c>
      <c r="AC1750" s="106">
        <v>2.0197111461418036</v>
      </c>
      <c r="AD1750" s="106">
        <v>34.623655913978496</v>
      </c>
      <c r="AE1750" s="106">
        <v>99.720496894409933</v>
      </c>
      <c r="AF1750" s="106">
        <v>-0.22143883013448232</v>
      </c>
      <c r="AG1750" s="106">
        <v>4836</v>
      </c>
      <c r="AH1750" s="106">
        <v>16716.487622606259</v>
      </c>
      <c r="AI1750" s="106">
        <v>16849.602989257357</v>
      </c>
      <c r="AJ1750" s="106">
        <v>16562.354040168146</v>
      </c>
      <c r="AK1750" s="104">
        <v>15698.738907052779</v>
      </c>
      <c r="AL1750" s="119">
        <v>15047000</v>
      </c>
      <c r="AM1750" s="118">
        <v>2787</v>
      </c>
      <c r="AN1750" s="118">
        <v>64220</v>
      </c>
      <c r="AO1750" s="118">
        <v>443</v>
      </c>
      <c r="AP1750" s="118">
        <f t="shared" si="27"/>
        <v>587</v>
      </c>
    </row>
    <row r="1751" spans="1:42" ht="12.75">
      <c r="A1751" s="106">
        <v>2018</v>
      </c>
      <c r="B1751" s="106">
        <v>-219356</v>
      </c>
      <c r="C1751" s="106">
        <v>0</v>
      </c>
      <c r="D1751" s="106">
        <v>219356</v>
      </c>
      <c r="E1751" s="106" t="s">
        <v>2801</v>
      </c>
      <c r="F1751" s="106" t="s">
        <v>2802</v>
      </c>
      <c r="G1751" s="106" t="s">
        <v>246</v>
      </c>
      <c r="H1751" s="106">
        <v>1</v>
      </c>
      <c r="I1751" s="106" t="s">
        <v>23</v>
      </c>
      <c r="J1751" s="106">
        <v>8441</v>
      </c>
      <c r="K1751" s="106">
        <v>18253</v>
      </c>
      <c r="L1751" s="106">
        <v>15612</v>
      </c>
      <c r="M1751" s="106">
        <v>0.25</v>
      </c>
      <c r="N1751" s="106">
        <v>0.68</v>
      </c>
      <c r="O1751" s="106">
        <v>0.52</v>
      </c>
      <c r="P1751" s="106">
        <v>2869</v>
      </c>
      <c r="Q1751" s="106">
        <v>1247.2624882186617</v>
      </c>
      <c r="R1751" s="106">
        <v>0.1275102617275658</v>
      </c>
      <c r="S1751" s="106">
        <v>28551.371536286522</v>
      </c>
      <c r="T1751" s="106">
        <v>28274.432893496702</v>
      </c>
      <c r="U1751" s="106">
        <v>13825.093712442063</v>
      </c>
      <c r="V1751" s="106">
        <v>0.61731235306765719</v>
      </c>
      <c r="W1751" s="106">
        <v>83730.595568841207</v>
      </c>
      <c r="X1751" s="110">
        <v>0.52909891020230215</v>
      </c>
      <c r="Y1751" s="106">
        <v>375.21954210956665</v>
      </c>
      <c r="Z1751" s="106">
        <v>13.013082583810302</v>
      </c>
      <c r="AA1751" s="106">
        <v>55394.35207288908</v>
      </c>
      <c r="AB1751" s="106">
        <v>479.47152538337423</v>
      </c>
      <c r="AC1751" s="106">
        <v>1.8052381923055592</v>
      </c>
      <c r="AD1751" s="106">
        <v>25.567249203437285</v>
      </c>
      <c r="AE1751" s="106">
        <v>115.5320996978852</v>
      </c>
      <c r="AF1751" s="106">
        <v>0.10340527220100126</v>
      </c>
      <c r="AG1751" s="106">
        <v>7191</v>
      </c>
      <c r="AH1751" s="106">
        <v>28028.508199811498</v>
      </c>
      <c r="AI1751" s="106">
        <v>28028.508199811498</v>
      </c>
      <c r="AJ1751" s="106">
        <v>28609.652214891612</v>
      </c>
      <c r="AK1751" s="104">
        <v>24934.566918001885</v>
      </c>
      <c r="AL1751" s="118">
        <v>71341173</v>
      </c>
      <c r="AM1751" s="118">
        <v>10885</v>
      </c>
      <c r="AN1751" s="118">
        <v>305929</v>
      </c>
      <c r="AO1751" s="118">
        <v>2075</v>
      </c>
      <c r="AP1751" s="118">
        <f t="shared" si="27"/>
        <v>1250</v>
      </c>
    </row>
    <row r="1752" spans="1:42" ht="12.75">
      <c r="A1752" s="106">
        <v>2018</v>
      </c>
      <c r="B1752" s="106">
        <v>-137315</v>
      </c>
      <c r="C1752" s="106">
        <v>0</v>
      </c>
      <c r="D1752" s="106">
        <v>137315</v>
      </c>
      <c r="E1752" s="106" t="s">
        <v>2803</v>
      </c>
      <c r="F1752" s="106" t="s">
        <v>2804</v>
      </c>
      <c r="G1752" s="106" t="s">
        <v>258</v>
      </c>
      <c r="H1752" s="106">
        <v>4</v>
      </c>
      <c r="I1752" s="106" t="s">
        <v>24</v>
      </c>
      <c r="J1752" s="106">
        <v>3165</v>
      </c>
      <c r="K1752" s="106">
        <v>5873</v>
      </c>
      <c r="L1752" s="106">
        <v>5302</v>
      </c>
      <c r="M1752" s="106">
        <v>0.38</v>
      </c>
      <c r="N1752" s="106">
        <v>0.02</v>
      </c>
      <c r="O1752" s="106">
        <v>0.06</v>
      </c>
      <c r="P1752" s="106">
        <v>1123</v>
      </c>
      <c r="Q1752" s="106">
        <v>168.15360824742268</v>
      </c>
      <c r="R1752" s="106">
        <v>5.9265134711737909E-2</v>
      </c>
      <c r="S1752" s="106">
        <v>16233.565463917526</v>
      </c>
      <c r="T1752" s="106">
        <v>18021.194329896905</v>
      </c>
      <c r="U1752" s="106">
        <v>15148.546907216494</v>
      </c>
      <c r="V1752" s="106">
        <v>0.17619889437866196</v>
      </c>
      <c r="W1752" s="106">
        <v>62886.773895169579</v>
      </c>
      <c r="X1752" s="110">
        <v>0.58339889426301794</v>
      </c>
      <c r="Y1752" s="106">
        <v>611.50739130434783</v>
      </c>
      <c r="Z1752" s="106">
        <v>21.086956521739129</v>
      </c>
      <c r="AA1752" s="106">
        <v>37389.543256997458</v>
      </c>
      <c r="AB1752" s="106">
        <v>522.37594269897556</v>
      </c>
      <c r="AC1752" s="106">
        <v>2.6745445728675756</v>
      </c>
      <c r="AD1752" s="106">
        <v>45.381062355658194</v>
      </c>
      <c r="AE1752" s="106">
        <v>71.575928753180662</v>
      </c>
      <c r="AF1752" s="106">
        <v>-4.2240110394174156E-2</v>
      </c>
      <c r="AG1752" s="106">
        <v>3135</v>
      </c>
      <c r="AH1752" s="106">
        <v>14662.509278350515</v>
      </c>
      <c r="AI1752" s="106">
        <v>14833.517525773195</v>
      </c>
      <c r="AJ1752" s="106">
        <v>16287.062371134021</v>
      </c>
      <c r="AK1752" s="104">
        <v>16863.698969072164</v>
      </c>
      <c r="AL1752" s="118">
        <v>16520439</v>
      </c>
      <c r="AM1752" s="118">
        <v>2860</v>
      </c>
      <c r="AN1752" s="118">
        <v>56258.68</v>
      </c>
      <c r="AO1752" s="118">
        <v>454</v>
      </c>
      <c r="AP1752" s="118">
        <f t="shared" si="27"/>
        <v>30</v>
      </c>
    </row>
    <row r="1753" spans="1:42" ht="12.75">
      <c r="A1753" s="106">
        <v>2018</v>
      </c>
      <c r="B1753" s="106">
        <v>3048</v>
      </c>
      <c r="C1753" s="106">
        <v>1</v>
      </c>
      <c r="D1753" s="106">
        <v>482699</v>
      </c>
      <c r="E1753" s="106" t="s">
        <v>3875</v>
      </c>
      <c r="F1753" s="106" t="s">
        <v>799</v>
      </c>
      <c r="G1753" s="106" t="s">
        <v>63</v>
      </c>
      <c r="H1753" s="106">
        <v>4</v>
      </c>
      <c r="I1753" s="106" t="s">
        <v>24</v>
      </c>
      <c r="J1753" s="106">
        <v>3254</v>
      </c>
      <c r="K1753" s="106">
        <v>8529</v>
      </c>
      <c r="L1753" s="107">
        <v>7943</v>
      </c>
      <c r="M1753" s="106">
        <v>0.67</v>
      </c>
      <c r="N1753" s="106">
        <v>0.49</v>
      </c>
      <c r="O1753" s="106">
        <v>0.2</v>
      </c>
      <c r="P1753" s="106">
        <v>3874</v>
      </c>
      <c r="Q1753" s="106">
        <v>564.68122270742356</v>
      </c>
      <c r="R1753" s="106">
        <v>0.14602815069128258</v>
      </c>
      <c r="S1753" s="106">
        <v>12815.367297428433</v>
      </c>
      <c r="T1753" s="106">
        <v>12931.349830179524</v>
      </c>
      <c r="U1753" s="106">
        <v>7491.6356137797184</v>
      </c>
      <c r="V1753" s="106">
        <v>0.44079196588710512</v>
      </c>
      <c r="W1753" s="106">
        <v>62924.25</v>
      </c>
      <c r="X1753" s="110">
        <v>0.5036802414812338</v>
      </c>
      <c r="Y1753" s="106">
        <v>782.82278481012656</v>
      </c>
      <c r="Z1753" s="106">
        <v>26.088607594936708</v>
      </c>
      <c r="AA1753" s="106">
        <v>42889.613888888889</v>
      </c>
      <c r="AB1753" s="106">
        <v>249.66869330401178</v>
      </c>
      <c r="AC1753" s="106">
        <v>2.3315668044730589</v>
      </c>
      <c r="AD1753" s="106">
        <v>17.910447761194028</v>
      </c>
      <c r="AE1753" s="106">
        <v>171.7861111111111</v>
      </c>
      <c r="AF1753" s="106">
        <v>2.47418122013623E-2</v>
      </c>
      <c r="AG1753" s="106">
        <v>2224</v>
      </c>
      <c r="AH1753" s="106">
        <v>10973.642406598738</v>
      </c>
      <c r="AI1753" s="106">
        <v>11246.723920426977</v>
      </c>
      <c r="AJ1753" s="106">
        <v>12827.907326540515</v>
      </c>
      <c r="AK1753" s="104">
        <v>9818.5206210577398</v>
      </c>
      <c r="AL1753" s="118">
        <v>11706494</v>
      </c>
      <c r="AM1753" s="118">
        <v>2540</v>
      </c>
      <c r="AN1753" s="118">
        <v>61843</v>
      </c>
      <c r="AO1753" s="118">
        <v>360</v>
      </c>
      <c r="AP1753" s="118">
        <f t="shared" si="27"/>
        <v>1030</v>
      </c>
    </row>
    <row r="1754" spans="1:42" ht="12.75">
      <c r="A1754" s="106">
        <v>2018</v>
      </c>
      <c r="B1754" s="106">
        <v>-141006</v>
      </c>
      <c r="C1754" s="106">
        <v>0</v>
      </c>
      <c r="D1754" s="106">
        <v>141006</v>
      </c>
      <c r="E1754" s="106" t="s">
        <v>2805</v>
      </c>
      <c r="F1754" s="106" t="s">
        <v>1337</v>
      </c>
      <c r="G1754" s="106" t="s">
        <v>63</v>
      </c>
      <c r="H1754" s="106">
        <v>4</v>
      </c>
      <c r="I1754" s="106" t="s">
        <v>24</v>
      </c>
      <c r="J1754" s="106">
        <v>2794</v>
      </c>
      <c r="K1754" s="106">
        <v>3418</v>
      </c>
      <c r="L1754" s="106">
        <v>2174</v>
      </c>
      <c r="M1754" s="106">
        <v>0.76</v>
      </c>
      <c r="N1754" s="106">
        <v>0.02</v>
      </c>
      <c r="O1754" s="106">
        <v>0.05</v>
      </c>
      <c r="P1754" s="106">
        <v>5473</v>
      </c>
      <c r="Q1754" s="106">
        <v>50.469871794871793</v>
      </c>
      <c r="R1754" s="106">
        <v>1.5507948185375259E-2</v>
      </c>
      <c r="S1754" s="106">
        <v>14557.89423076923</v>
      </c>
      <c r="T1754" s="106">
        <v>14769.53782051282</v>
      </c>
      <c r="U1754" s="106">
        <v>11241.753205128205</v>
      </c>
      <c r="V1754" s="106">
        <v>0.28500732873414042</v>
      </c>
      <c r="W1754" s="106">
        <v>57981.535519125682</v>
      </c>
      <c r="X1754" s="110">
        <v>0.4605208511507074</v>
      </c>
      <c r="Y1754" s="106">
        <v>542.01544401544402</v>
      </c>
      <c r="Z1754" s="106">
        <v>18.069498069498071</v>
      </c>
      <c r="AA1754" s="106">
        <v>12838.312591508053</v>
      </c>
      <c r="AB1754" s="106">
        <v>374.77315467795017</v>
      </c>
      <c r="AC1754" s="106">
        <v>7.789185633799363</v>
      </c>
      <c r="AD1754" s="106">
        <v>109.63081861958266</v>
      </c>
      <c r="AE1754" s="106">
        <v>34.256222547584187</v>
      </c>
      <c r="AF1754" s="106">
        <v>2.2273303548624408E-2</v>
      </c>
      <c r="AG1754" s="106">
        <v>2136</v>
      </c>
      <c r="AH1754" s="106">
        <v>11535.083974358975</v>
      </c>
      <c r="AI1754" s="106">
        <v>11629.714102564103</v>
      </c>
      <c r="AJ1754" s="106">
        <v>14557.89423076923</v>
      </c>
      <c r="AK1754" s="104">
        <v>14231.294871794871</v>
      </c>
      <c r="AL1754" s="118">
        <v>9600649</v>
      </c>
      <c r="AM1754" s="118">
        <v>1850</v>
      </c>
      <c r="AN1754" s="118">
        <v>46794</v>
      </c>
      <c r="AO1754" s="118">
        <v>156</v>
      </c>
      <c r="AP1754" s="118">
        <f t="shared" si="27"/>
        <v>658</v>
      </c>
    </row>
    <row r="1755" spans="1:42" ht="12.75">
      <c r="A1755" s="106">
        <v>2018</v>
      </c>
      <c r="B1755" s="106">
        <v>-434061</v>
      </c>
      <c r="C1755" s="106">
        <v>0</v>
      </c>
      <c r="D1755" s="106">
        <v>434061</v>
      </c>
      <c r="E1755" s="106" t="s">
        <v>2806</v>
      </c>
      <c r="F1755" s="106" t="s">
        <v>2807</v>
      </c>
      <c r="G1755" s="106" t="s">
        <v>306</v>
      </c>
      <c r="H1755" s="106">
        <v>4</v>
      </c>
      <c r="I1755" s="106" t="s">
        <v>24</v>
      </c>
      <c r="J1755" s="106">
        <v>4205</v>
      </c>
      <c r="K1755" s="106">
        <v>8711</v>
      </c>
      <c r="L1755" s="106">
        <v>8261</v>
      </c>
      <c r="M1755" s="106">
        <v>0.64</v>
      </c>
      <c r="N1755" s="106">
        <v>0.42</v>
      </c>
      <c r="O1755" s="106">
        <v>0.03</v>
      </c>
      <c r="P1755" s="106">
        <v>3224</v>
      </c>
      <c r="Q1755" s="106"/>
      <c r="R1755" s="106"/>
      <c r="S1755" s="106">
        <v>9549.015625</v>
      </c>
      <c r="T1755" s="106">
        <v>9338.5294471153848</v>
      </c>
      <c r="U1755" s="106">
        <v>8197.3944230884081</v>
      </c>
      <c r="V1755" s="106">
        <v>0.56744133863344093</v>
      </c>
      <c r="W1755" s="106">
        <v>57036.596925704529</v>
      </c>
      <c r="X1755" s="110">
        <v>0.47756905340667249</v>
      </c>
      <c r="Y1755" s="106">
        <v>800.903743315508</v>
      </c>
      <c r="Z1755" s="106">
        <v>26.695187165775401</v>
      </c>
      <c r="AA1755" s="106">
        <v>31722.010046556072</v>
      </c>
      <c r="AB1755" s="106">
        <v>273.23006069385076</v>
      </c>
      <c r="AC1755" s="106">
        <v>3.1523853580916632</v>
      </c>
      <c r="AD1755" s="106">
        <v>28.289473684210524</v>
      </c>
      <c r="AE1755" s="106">
        <v>116.1</v>
      </c>
      <c r="AF1755" s="106">
        <v>-8.0589139381277722E-2</v>
      </c>
      <c r="AG1755" s="106">
        <v>3335</v>
      </c>
      <c r="AH1755" s="106">
        <v>8735.8483573717949</v>
      </c>
      <c r="AI1755" s="106">
        <v>8735.8483573717949</v>
      </c>
      <c r="AJ1755" s="106">
        <v>9564.3457532051289</v>
      </c>
      <c r="AK1755" s="104">
        <v>9157.9130608974356</v>
      </c>
      <c r="AL1755" s="118">
        <v>12982006</v>
      </c>
      <c r="AM1755" s="118">
        <v>6534</v>
      </c>
      <c r="AN1755" s="118">
        <v>149769</v>
      </c>
      <c r="AO1755" s="118">
        <v>575</v>
      </c>
      <c r="AP1755" s="118">
        <f t="shared" si="27"/>
        <v>870</v>
      </c>
    </row>
    <row r="1756" spans="1:42" ht="12.75">
      <c r="A1756" s="106">
        <v>2018</v>
      </c>
      <c r="B1756" s="106">
        <v>-105792</v>
      </c>
      <c r="C1756" s="106">
        <v>0</v>
      </c>
      <c r="D1756" s="106">
        <v>105792</v>
      </c>
      <c r="E1756" s="106" t="s">
        <v>2808</v>
      </c>
      <c r="F1756" s="106" t="s">
        <v>146</v>
      </c>
      <c r="G1756" s="106" t="s">
        <v>147</v>
      </c>
      <c r="H1756" s="106">
        <v>4</v>
      </c>
      <c r="I1756" s="106" t="s">
        <v>24</v>
      </c>
      <c r="J1756" s="106">
        <v>2094</v>
      </c>
      <c r="K1756" s="106">
        <v>7195</v>
      </c>
      <c r="L1756" s="106">
        <v>6525</v>
      </c>
      <c r="M1756" s="106">
        <v>0.73</v>
      </c>
      <c r="N1756" s="106">
        <v>0.13</v>
      </c>
      <c r="O1756" s="106">
        <v>0.26</v>
      </c>
      <c r="P1756" s="106">
        <v>1781</v>
      </c>
      <c r="Q1756" s="106">
        <v>525.37570498915397</v>
      </c>
      <c r="R1756" s="106">
        <v>0.17101081132453025</v>
      </c>
      <c r="S1756" s="106">
        <v>15355.937093275488</v>
      </c>
      <c r="T1756" s="106">
        <v>15405.060303687636</v>
      </c>
      <c r="U1756" s="106">
        <v>12926.97447060655</v>
      </c>
      <c r="V1756" s="106">
        <v>0.19701459214821032</v>
      </c>
      <c r="W1756" s="106">
        <v>73687.656874265565</v>
      </c>
      <c r="X1756" s="110">
        <v>0.5886656845213889</v>
      </c>
      <c r="Y1756" s="106">
        <v>574.65373961218836</v>
      </c>
      <c r="Z1756" s="106">
        <v>19.155124653739609</v>
      </c>
      <c r="AA1756" s="106">
        <v>27951.853803703656</v>
      </c>
      <c r="AB1756" s="106">
        <v>430.89914902021832</v>
      </c>
      <c r="AC1756" s="106">
        <v>3.5775802457420509</v>
      </c>
      <c r="AD1756" s="106">
        <v>47.126436781609193</v>
      </c>
      <c r="AE1756" s="106">
        <v>64.868667917448406</v>
      </c>
      <c r="AF1756" s="106"/>
      <c r="AG1756" s="106">
        <v>2064</v>
      </c>
      <c r="AH1756" s="106">
        <v>13155.469414316703</v>
      </c>
      <c r="AI1756" s="106">
        <v>13311.644251626898</v>
      </c>
      <c r="AJ1756" s="106">
        <v>15356.684598698481</v>
      </c>
      <c r="AK1756" s="104">
        <v>15054.901518438179</v>
      </c>
      <c r="AL1756" s="118">
        <v>23311838</v>
      </c>
      <c r="AM1756" s="118">
        <v>4120</v>
      </c>
      <c r="AN1756" s="118">
        <v>69150</v>
      </c>
      <c r="AO1756" s="118">
        <v>570</v>
      </c>
      <c r="AP1756" s="118">
        <f t="shared" si="27"/>
        <v>30</v>
      </c>
    </row>
    <row r="1757" spans="1:42" ht="12.75">
      <c r="A1757" s="106">
        <v>2018</v>
      </c>
      <c r="B1757" s="106">
        <v>-197850</v>
      </c>
      <c r="C1757" s="106">
        <v>0</v>
      </c>
      <c r="D1757" s="106">
        <v>197850</v>
      </c>
      <c r="E1757" s="106" t="s">
        <v>2809</v>
      </c>
      <c r="F1757" s="106" t="s">
        <v>2810</v>
      </c>
      <c r="G1757" s="106" t="s">
        <v>90</v>
      </c>
      <c r="H1757" s="106">
        <v>4</v>
      </c>
      <c r="I1757" s="106" t="s">
        <v>24</v>
      </c>
      <c r="J1757" s="106">
        <v>1995</v>
      </c>
      <c r="K1757" s="106">
        <v>6315</v>
      </c>
      <c r="L1757" s="106">
        <v>6042</v>
      </c>
      <c r="M1757" s="106">
        <v>0.61</v>
      </c>
      <c r="N1757" s="106">
        <v>0.03</v>
      </c>
      <c r="O1757" s="106">
        <v>0</v>
      </c>
      <c r="P1757" s="106"/>
      <c r="Q1757" s="106">
        <v>72.098680738786285</v>
      </c>
      <c r="R1757" s="106">
        <v>3.438819112330764E-2</v>
      </c>
      <c r="S1757" s="106">
        <v>12389.149868073879</v>
      </c>
      <c r="T1757" s="106">
        <v>12842.112928759894</v>
      </c>
      <c r="U1757" s="106">
        <v>9829.7065963060686</v>
      </c>
      <c r="V1757" s="106">
        <v>0.20595863253138111</v>
      </c>
      <c r="W1757" s="106">
        <v>63859.345724907063</v>
      </c>
      <c r="X1757" s="110">
        <v>0.70588027418366783</v>
      </c>
      <c r="Y1757" s="106">
        <v>400.43661971830988</v>
      </c>
      <c r="Z1757" s="106">
        <v>13.345070422535212</v>
      </c>
      <c r="AA1757" s="106">
        <v>33502.327338129493</v>
      </c>
      <c r="AB1757" s="106">
        <v>327.58773873588689</v>
      </c>
      <c r="AC1757" s="106">
        <v>2.9848672598392443</v>
      </c>
      <c r="AD1757" s="106">
        <v>38.664812239221142</v>
      </c>
      <c r="AE1757" s="106">
        <v>102.26978417266187</v>
      </c>
      <c r="AF1757" s="106">
        <v>1.5022268539684412E-2</v>
      </c>
      <c r="AG1757" s="106">
        <v>1824</v>
      </c>
      <c r="AH1757" s="106">
        <v>11816.251187335092</v>
      </c>
      <c r="AI1757" s="106">
        <v>11939.104485488127</v>
      </c>
      <c r="AJ1757" s="106">
        <v>12389.149868073879</v>
      </c>
      <c r="AK1757" s="104">
        <v>10440.220052770448</v>
      </c>
      <c r="AL1757" s="118">
        <v>17321225</v>
      </c>
      <c r="AM1757" s="118">
        <v>2980</v>
      </c>
      <c r="AN1757" s="118">
        <v>56862</v>
      </c>
      <c r="AO1757" s="118">
        <v>293</v>
      </c>
      <c r="AP1757" s="118">
        <f t="shared" si="27"/>
        <v>171</v>
      </c>
    </row>
    <row r="1758" spans="1:42" ht="12.75">
      <c r="A1758" s="106">
        <v>2018</v>
      </c>
      <c r="B1758" s="106">
        <v>-228158</v>
      </c>
      <c r="C1758" s="106">
        <v>0</v>
      </c>
      <c r="D1758" s="106">
        <v>228158</v>
      </c>
      <c r="E1758" s="106" t="s">
        <v>2811</v>
      </c>
      <c r="F1758" s="106" t="s">
        <v>2812</v>
      </c>
      <c r="G1758" s="106" t="s">
        <v>60</v>
      </c>
      <c r="H1758" s="106">
        <v>4</v>
      </c>
      <c r="I1758" s="106" t="s">
        <v>24</v>
      </c>
      <c r="J1758" s="106">
        <v>2240</v>
      </c>
      <c r="K1758" s="106">
        <v>8260</v>
      </c>
      <c r="L1758" s="106">
        <v>6705</v>
      </c>
      <c r="M1758" s="106">
        <v>0.65</v>
      </c>
      <c r="N1758" s="106">
        <v>0.23</v>
      </c>
      <c r="O1758" s="106">
        <v>0.26</v>
      </c>
      <c r="P1758" s="106">
        <v>2242</v>
      </c>
      <c r="Q1758" s="106">
        <v>132.55074028377544</v>
      </c>
      <c r="R1758" s="106">
        <v>3.0410635702834109E-2</v>
      </c>
      <c r="S1758" s="106">
        <v>11495.255397902529</v>
      </c>
      <c r="T1758" s="106">
        <v>10556.534083898829</v>
      </c>
      <c r="U1758" s="106">
        <v>8346.4841746940638</v>
      </c>
      <c r="V1758" s="106">
        <v>0.50633847298641421</v>
      </c>
      <c r="W1758" s="106">
        <v>73998.503451938406</v>
      </c>
      <c r="X1758" s="110">
        <v>0.6785590412725514</v>
      </c>
      <c r="Y1758" s="106">
        <v>604.740932642487</v>
      </c>
      <c r="Z1758" s="106">
        <v>20.157512953367874</v>
      </c>
      <c r="AA1758" s="106">
        <v>34960.338106405885</v>
      </c>
      <c r="AB1758" s="106">
        <v>278.20898798980238</v>
      </c>
      <c r="AC1758" s="106">
        <v>2.8603842358628877</v>
      </c>
      <c r="AD1758" s="106">
        <v>25.133950316609837</v>
      </c>
      <c r="AE1758" s="106">
        <v>125.66214470284238</v>
      </c>
      <c r="AF1758" s="106">
        <v>0.11336660349041082</v>
      </c>
      <c r="AG1758" s="106">
        <v>696</v>
      </c>
      <c r="AH1758" s="106">
        <v>9769.0593769278221</v>
      </c>
      <c r="AI1758" s="106">
        <v>10709.90607649599</v>
      </c>
      <c r="AJ1758" s="106">
        <v>11551.507094386181</v>
      </c>
      <c r="AK1758" s="104">
        <v>9452.9123997532388</v>
      </c>
      <c r="AL1758" s="119">
        <v>29898615</v>
      </c>
      <c r="AM1758" s="118">
        <v>9329</v>
      </c>
      <c r="AN1758" s="118">
        <v>194525</v>
      </c>
      <c r="AO1758" s="118">
        <v>913</v>
      </c>
      <c r="AP1758" s="118">
        <f t="shared" si="27"/>
        <v>1544</v>
      </c>
    </row>
    <row r="1759" spans="1:42" ht="12.75">
      <c r="A1759" s="106">
        <v>2018</v>
      </c>
      <c r="B1759" s="106">
        <v>-236656</v>
      </c>
      <c r="C1759" s="106">
        <v>0</v>
      </c>
      <c r="D1759" s="106">
        <v>236656</v>
      </c>
      <c r="E1759" s="106" t="s">
        <v>2813</v>
      </c>
      <c r="F1759" s="106" t="s">
        <v>2814</v>
      </c>
      <c r="G1759" s="106" t="s">
        <v>182</v>
      </c>
      <c r="H1759" s="106">
        <v>4</v>
      </c>
      <c r="I1759" s="106" t="s">
        <v>24</v>
      </c>
      <c r="J1759" s="106">
        <v>4401</v>
      </c>
      <c r="K1759" s="106">
        <v>6663</v>
      </c>
      <c r="L1759" s="106">
        <v>5654</v>
      </c>
      <c r="M1759" s="106">
        <v>0.4</v>
      </c>
      <c r="N1759" s="106">
        <v>0.09</v>
      </c>
      <c r="O1759" s="106">
        <v>0.11</v>
      </c>
      <c r="P1759" s="106">
        <v>1516</v>
      </c>
      <c r="Q1759" s="106">
        <v>116.45973072215422</v>
      </c>
      <c r="R1759" s="106">
        <v>3.7402265199638005E-2</v>
      </c>
      <c r="S1759" s="106">
        <v>17710.710648714808</v>
      </c>
      <c r="T1759" s="106">
        <v>15900.722399020808</v>
      </c>
      <c r="U1759" s="106">
        <v>12819.523623011017</v>
      </c>
      <c r="V1759" s="106">
        <v>0.23380340123045948</v>
      </c>
      <c r="W1759" s="106">
        <v>86151.993301435417</v>
      </c>
      <c r="X1759" s="110">
        <v>0.46201007841633518</v>
      </c>
      <c r="Y1759" s="106">
        <v>1338.4587378640776</v>
      </c>
      <c r="Z1759" s="106">
        <v>29.74514563106796</v>
      </c>
      <c r="AA1759" s="106">
        <v>34520.60250494397</v>
      </c>
      <c r="AB1759" s="106">
        <v>284.89380083235864</v>
      </c>
      <c r="AC1759" s="106">
        <v>2.8968208183990476</v>
      </c>
      <c r="AD1759" s="106">
        <v>42.600393147992136</v>
      </c>
      <c r="AE1759" s="106">
        <v>121.17007251153592</v>
      </c>
      <c r="AF1759" s="106">
        <v>6.3355627735024858E-2</v>
      </c>
      <c r="AG1759" s="106">
        <v>3936</v>
      </c>
      <c r="AH1759" s="106">
        <v>15647.980171358629</v>
      </c>
      <c r="AI1759" s="106">
        <v>16077.744430844554</v>
      </c>
      <c r="AJ1759" s="106">
        <v>17719.911138310894</v>
      </c>
      <c r="AK1759" s="104">
        <v>15358.429620563036</v>
      </c>
      <c r="AL1759" s="119">
        <v>18155276</v>
      </c>
      <c r="AM1759" s="118">
        <v>4951</v>
      </c>
      <c r="AN1759" s="118">
        <v>183815</v>
      </c>
      <c r="AO1759" s="118">
        <v>1144</v>
      </c>
      <c r="AP1759" s="118">
        <f t="shared" si="27"/>
        <v>465</v>
      </c>
    </row>
    <row r="1760" spans="1:42" ht="12.75">
      <c r="A1760" s="106">
        <v>2018</v>
      </c>
      <c r="B1760" s="106">
        <v>-236504</v>
      </c>
      <c r="C1760" s="106">
        <v>0</v>
      </c>
      <c r="D1760" s="106">
        <v>236504</v>
      </c>
      <c r="E1760" s="106" t="s">
        <v>2815</v>
      </c>
      <c r="F1760" s="106" t="s">
        <v>181</v>
      </c>
      <c r="G1760" s="106" t="s">
        <v>182</v>
      </c>
      <c r="H1760" s="106">
        <v>4</v>
      </c>
      <c r="I1760" s="106" t="s">
        <v>24</v>
      </c>
      <c r="J1760" s="106">
        <v>4515</v>
      </c>
      <c r="K1760" s="106">
        <v>9546</v>
      </c>
      <c r="L1760" s="106">
        <v>8543</v>
      </c>
      <c r="M1760" s="106">
        <v>0.42</v>
      </c>
      <c r="N1760" s="106">
        <v>0.03</v>
      </c>
      <c r="O1760" s="106">
        <v>7.0000000000000007E-2</v>
      </c>
      <c r="P1760" s="106">
        <v>842</v>
      </c>
      <c r="Q1760" s="106">
        <v>612.8097920277296</v>
      </c>
      <c r="R1760" s="106">
        <v>0.11253194875723273</v>
      </c>
      <c r="S1760" s="106">
        <v>14886.678076256499</v>
      </c>
      <c r="T1760" s="106">
        <v>16407.447790294627</v>
      </c>
      <c r="U1760" s="106">
        <v>12633.891247833622</v>
      </c>
      <c r="V1760" s="106">
        <v>0.38252995530954209</v>
      </c>
      <c r="W1760" s="106">
        <v>123159.88655077768</v>
      </c>
      <c r="X1760" s="110">
        <v>0.59246316772990837</v>
      </c>
      <c r="Y1760" s="106">
        <v>1429.1697247706425</v>
      </c>
      <c r="Z1760" s="106">
        <v>31.761467889908261</v>
      </c>
      <c r="AA1760" s="106">
        <v>75152.115979381444</v>
      </c>
      <c r="AB1760" s="106">
        <v>280.77206243440247</v>
      </c>
      <c r="AC1760" s="106">
        <v>1.3306345230177652</v>
      </c>
      <c r="AD1760" s="106">
        <v>19.816138917262514</v>
      </c>
      <c r="AE1760" s="106">
        <v>267.66237113402065</v>
      </c>
      <c r="AF1760" s="106">
        <v>-4.1020501448556596E-2</v>
      </c>
      <c r="AG1760" s="106">
        <v>3936</v>
      </c>
      <c r="AH1760" s="106">
        <v>13897.801126516464</v>
      </c>
      <c r="AI1760" s="106">
        <v>13897.801126516464</v>
      </c>
      <c r="AJ1760" s="106">
        <v>15002.956672443674</v>
      </c>
      <c r="AK1760" s="104">
        <v>14200.687608318891</v>
      </c>
      <c r="AL1760" s="119">
        <v>24048281</v>
      </c>
      <c r="AM1760" s="118">
        <v>6716</v>
      </c>
      <c r="AN1760" s="118">
        <v>207706</v>
      </c>
      <c r="AO1760" s="118">
        <v>578</v>
      </c>
      <c r="AP1760" s="118">
        <f t="shared" si="27"/>
        <v>579</v>
      </c>
    </row>
    <row r="1761" spans="1:42" ht="12.75">
      <c r="A1761" s="106">
        <v>2018</v>
      </c>
      <c r="B1761" s="106">
        <v>-149365</v>
      </c>
      <c r="C1761" s="106">
        <v>0</v>
      </c>
      <c r="D1761" s="106">
        <v>149365</v>
      </c>
      <c r="E1761" s="106" t="s">
        <v>2816</v>
      </c>
      <c r="F1761" s="106" t="s">
        <v>2817</v>
      </c>
      <c r="G1761" s="106" t="s">
        <v>243</v>
      </c>
      <c r="H1761" s="106">
        <v>4</v>
      </c>
      <c r="I1761" s="106" t="s">
        <v>24</v>
      </c>
      <c r="J1761" s="106">
        <v>4883</v>
      </c>
      <c r="K1761" s="106">
        <v>5181</v>
      </c>
      <c r="L1761" s="106">
        <v>4287</v>
      </c>
      <c r="M1761" s="106">
        <v>0.75</v>
      </c>
      <c r="N1761" s="106">
        <v>0</v>
      </c>
      <c r="O1761" s="106">
        <v>0.89</v>
      </c>
      <c r="P1761" s="106">
        <v>3417</v>
      </c>
      <c r="Q1761" s="106">
        <v>2251.2248226950355</v>
      </c>
      <c r="R1761" s="106">
        <v>0.52371358644236476</v>
      </c>
      <c r="S1761" s="106">
        <v>19138.255673758864</v>
      </c>
      <c r="T1761" s="106">
        <v>19925.173404255318</v>
      </c>
      <c r="U1761" s="106">
        <v>13569.387204705266</v>
      </c>
      <c r="V1761" s="106">
        <v>0.15088045526764859</v>
      </c>
      <c r="W1761" s="106">
        <v>64525.103365384617</v>
      </c>
      <c r="X1761" s="110">
        <v>0.47771713778299163</v>
      </c>
      <c r="Y1761" s="106">
        <v>588.84918793503471</v>
      </c>
      <c r="Z1761" s="106">
        <v>19.628770301624126</v>
      </c>
      <c r="AA1761" s="106">
        <v>72335.863737748296</v>
      </c>
      <c r="AB1761" s="106">
        <v>452.32360005282453</v>
      </c>
      <c r="AC1761" s="106">
        <v>1.3824401179827932</v>
      </c>
      <c r="AD1761" s="106">
        <v>25.118708452041787</v>
      </c>
      <c r="AE1761" s="106">
        <v>159.92060491493385</v>
      </c>
      <c r="AF1761" s="106">
        <v>-0.20782167079683697</v>
      </c>
      <c r="AG1761" s="106">
        <v>4350</v>
      </c>
      <c r="AH1761" s="106">
        <v>18276.313120567374</v>
      </c>
      <c r="AI1761" s="106">
        <v>18276.313120567374</v>
      </c>
      <c r="AJ1761" s="106">
        <v>19217.59964539007</v>
      </c>
      <c r="AK1761" s="104">
        <v>16233.662411347517</v>
      </c>
      <c r="AL1761" s="118">
        <v>24990979</v>
      </c>
      <c r="AM1761" s="118">
        <v>3921</v>
      </c>
      <c r="AN1761" s="118">
        <v>84598</v>
      </c>
      <c r="AO1761" s="118">
        <v>309</v>
      </c>
      <c r="AP1761" s="118">
        <f t="shared" si="27"/>
        <v>533</v>
      </c>
    </row>
    <row r="1762" spans="1:42" ht="12.75">
      <c r="A1762" s="106">
        <v>2018</v>
      </c>
      <c r="B1762" s="106">
        <v>-409315</v>
      </c>
      <c r="C1762" s="106">
        <v>0</v>
      </c>
      <c r="D1762" s="106">
        <v>409315</v>
      </c>
      <c r="E1762" s="106" t="s">
        <v>2818</v>
      </c>
      <c r="F1762" s="106" t="s">
        <v>2819</v>
      </c>
      <c r="G1762" s="106" t="s">
        <v>60</v>
      </c>
      <c r="H1762" s="106">
        <v>4</v>
      </c>
      <c r="I1762" s="106" t="s">
        <v>24</v>
      </c>
      <c r="J1762" s="106">
        <v>3720</v>
      </c>
      <c r="K1762" s="106">
        <v>1610</v>
      </c>
      <c r="L1762" s="106">
        <v>1213</v>
      </c>
      <c r="M1762" s="106">
        <v>0.81</v>
      </c>
      <c r="N1762" s="106">
        <v>0.04</v>
      </c>
      <c r="O1762" s="106">
        <v>0.02</v>
      </c>
      <c r="P1762" s="106">
        <v>1231</v>
      </c>
      <c r="Q1762" s="106">
        <v>1732.9324902449343</v>
      </c>
      <c r="R1762" s="106">
        <v>0.38249680738210851</v>
      </c>
      <c r="S1762" s="106">
        <v>10110.749047999623</v>
      </c>
      <c r="T1762" s="106">
        <v>10032.239057872221</v>
      </c>
      <c r="U1762" s="106">
        <v>7772.1492867814159</v>
      </c>
      <c r="V1762" s="106">
        <v>0.35995806052325341</v>
      </c>
      <c r="W1762" s="106">
        <v>62141.626809651476</v>
      </c>
      <c r="X1762" s="110">
        <v>0.54309483763540811</v>
      </c>
      <c r="Y1762" s="106">
        <v>820.55336476639525</v>
      </c>
      <c r="Z1762" s="106">
        <v>27.352336048006858</v>
      </c>
      <c r="AA1762" s="106">
        <v>25738.967379593258</v>
      </c>
      <c r="AB1762" s="106">
        <v>259.07692081409442</v>
      </c>
      <c r="AC1762" s="106">
        <v>3.8851597472897632</v>
      </c>
      <c r="AD1762" s="106">
        <v>33.674111355772254</v>
      </c>
      <c r="AE1762" s="106">
        <v>99.348746691577148</v>
      </c>
      <c r="AF1762" s="106">
        <v>1.3707831364517507E-2</v>
      </c>
      <c r="AG1762" s="106">
        <v>2100</v>
      </c>
      <c r="AH1762" s="106">
        <v>9112.1665648065446</v>
      </c>
      <c r="AI1762" s="106">
        <v>9128.7736824784915</v>
      </c>
      <c r="AJ1762" s="106">
        <v>10284.623477974706</v>
      </c>
      <c r="AK1762" s="104">
        <v>9258.6456207982701</v>
      </c>
      <c r="AL1762" s="118">
        <v>112528463</v>
      </c>
      <c r="AM1762" s="118">
        <v>31321</v>
      </c>
      <c r="AN1762" s="118">
        <v>638117</v>
      </c>
      <c r="AO1762" s="118">
        <v>4466</v>
      </c>
      <c r="AP1762" s="118">
        <f t="shared" si="27"/>
        <v>1620</v>
      </c>
    </row>
    <row r="1763" spans="1:42" ht="12.75">
      <c r="A1763" s="106">
        <v>2018</v>
      </c>
      <c r="B1763" s="106">
        <v>-156338</v>
      </c>
      <c r="C1763" s="106">
        <v>0</v>
      </c>
      <c r="D1763" s="106">
        <v>156338</v>
      </c>
      <c r="E1763" s="106" t="s">
        <v>4195</v>
      </c>
      <c r="F1763" s="106" t="s">
        <v>430</v>
      </c>
      <c r="G1763" s="106" t="s">
        <v>118</v>
      </c>
      <c r="H1763" s="106">
        <v>4</v>
      </c>
      <c r="I1763" s="106" t="s">
        <v>24</v>
      </c>
      <c r="J1763" s="106">
        <v>4080</v>
      </c>
      <c r="K1763" s="106">
        <v>6435</v>
      </c>
      <c r="L1763" s="106">
        <v>4976</v>
      </c>
      <c r="M1763" s="106">
        <v>0.64</v>
      </c>
      <c r="N1763" s="106">
        <v>0.23</v>
      </c>
      <c r="O1763" s="106">
        <v>0.06</v>
      </c>
      <c r="P1763" s="106">
        <v>1787</v>
      </c>
      <c r="Q1763" s="106">
        <v>2964.7527831094048</v>
      </c>
      <c r="R1763" s="106">
        <v>0.56751299047426451</v>
      </c>
      <c r="S1763" s="106">
        <v>10423.391170825336</v>
      </c>
      <c r="T1763" s="106">
        <v>8592.6134357005758</v>
      </c>
      <c r="U1763" s="106">
        <v>6573.8830699407563</v>
      </c>
      <c r="V1763" s="106">
        <v>0.34368752657239315</v>
      </c>
      <c r="W1763" s="106">
        <v>48646.595330739299</v>
      </c>
      <c r="X1763" s="110">
        <v>0.55853780227609684</v>
      </c>
      <c r="Y1763" s="106">
        <v>607.39119170984463</v>
      </c>
      <c r="Z1763" s="106">
        <v>20.246113989637308</v>
      </c>
      <c r="AA1763" s="106">
        <v>6252.2692213200698</v>
      </c>
      <c r="AB1763" s="106">
        <v>219.12663174106115</v>
      </c>
      <c r="AC1763" s="106">
        <v>15.994192901835175</v>
      </c>
      <c r="AD1763" s="106">
        <v>104.70183486238531</v>
      </c>
      <c r="AE1763" s="106">
        <v>28.532676159182184</v>
      </c>
      <c r="AF1763" s="106"/>
      <c r="AG1763" s="106">
        <v>3888</v>
      </c>
      <c r="AH1763" s="106">
        <v>9616.6652591170823</v>
      </c>
      <c r="AI1763" s="106">
        <v>9711.8030710172752</v>
      </c>
      <c r="AJ1763" s="106">
        <v>10429.072936660268</v>
      </c>
      <c r="AK1763" s="104">
        <v>8014.3715930902108</v>
      </c>
      <c r="AL1763" s="119">
        <v>8572196</v>
      </c>
      <c r="AM1763" s="118">
        <v>4289</v>
      </c>
      <c r="AN1763" s="118">
        <v>78151</v>
      </c>
      <c r="AO1763" s="118">
        <v>715</v>
      </c>
      <c r="AP1763" s="118">
        <f t="shared" si="27"/>
        <v>192</v>
      </c>
    </row>
    <row r="1764" spans="1:42" ht="12.75">
      <c r="A1764" s="106">
        <v>2018</v>
      </c>
      <c r="B1764" s="106">
        <v>-107637</v>
      </c>
      <c r="C1764" s="106">
        <v>0</v>
      </c>
      <c r="D1764" s="106">
        <v>107637</v>
      </c>
      <c r="E1764" s="106" t="s">
        <v>2820</v>
      </c>
      <c r="F1764" s="106" t="s">
        <v>2821</v>
      </c>
      <c r="G1764" s="106" t="s">
        <v>200</v>
      </c>
      <c r="H1764" s="106">
        <v>4</v>
      </c>
      <c r="I1764" s="106" t="s">
        <v>24</v>
      </c>
      <c r="J1764" s="106">
        <v>3460</v>
      </c>
      <c r="K1764" s="106">
        <v>5588</v>
      </c>
      <c r="L1764" s="106">
        <v>4771</v>
      </c>
      <c r="M1764" s="106">
        <v>0.82</v>
      </c>
      <c r="N1764" s="106">
        <v>0.62</v>
      </c>
      <c r="O1764" s="106">
        <v>0.28000000000000003</v>
      </c>
      <c r="P1764" s="106">
        <v>815</v>
      </c>
      <c r="Q1764" s="106"/>
      <c r="R1764" s="106"/>
      <c r="S1764" s="106">
        <v>18304.463329452854</v>
      </c>
      <c r="T1764" s="106">
        <v>19677.16065192084</v>
      </c>
      <c r="U1764" s="106">
        <v>15838.967403958091</v>
      </c>
      <c r="V1764" s="106">
        <v>0.24063036058561749</v>
      </c>
      <c r="W1764" s="106">
        <v>59701.778481012661</v>
      </c>
      <c r="X1764" s="110">
        <v>0.55807010733977647</v>
      </c>
      <c r="Y1764" s="106">
        <v>364.5141509433962</v>
      </c>
      <c r="Z1764" s="106">
        <v>12.15566037735849</v>
      </c>
      <c r="AA1764" s="106">
        <v>29259.511827956991</v>
      </c>
      <c r="AB1764" s="106">
        <v>528.19104002484573</v>
      </c>
      <c r="AC1764" s="106">
        <v>3.417692017146083</v>
      </c>
      <c r="AD1764" s="106">
        <v>56.432038834951456</v>
      </c>
      <c r="AE1764" s="106">
        <v>55.395698924731185</v>
      </c>
      <c r="AF1764" s="106">
        <v>-6.1317234854884321E-2</v>
      </c>
      <c r="AG1764" s="106">
        <v>2820</v>
      </c>
      <c r="AH1764" s="106">
        <v>15322.966239813737</v>
      </c>
      <c r="AI1764" s="106">
        <v>15322.966239813737</v>
      </c>
      <c r="AJ1764" s="106">
        <v>18399.054714784634</v>
      </c>
      <c r="AK1764" s="105">
        <v>19490.710128055878</v>
      </c>
      <c r="AL1764" s="119">
        <v>7587169</v>
      </c>
      <c r="AM1764" s="119">
        <v>1304</v>
      </c>
      <c r="AN1764" s="119">
        <v>25759</v>
      </c>
      <c r="AO1764" s="119">
        <v>193</v>
      </c>
      <c r="AP1764" s="118">
        <f t="shared" si="27"/>
        <v>640</v>
      </c>
    </row>
    <row r="1765" spans="1:42" ht="12.75">
      <c r="A1765" s="106">
        <v>2018</v>
      </c>
      <c r="B1765" s="106">
        <v>-181640</v>
      </c>
      <c r="C1765" s="106">
        <v>0</v>
      </c>
      <c r="D1765" s="106">
        <v>181640</v>
      </c>
      <c r="E1765" s="106" t="s">
        <v>2822</v>
      </c>
      <c r="F1765" s="106" t="s">
        <v>1052</v>
      </c>
      <c r="G1765" s="106" t="s">
        <v>323</v>
      </c>
      <c r="H1765" s="106">
        <v>4</v>
      </c>
      <c r="I1765" s="106" t="s">
        <v>24</v>
      </c>
      <c r="J1765" s="106">
        <v>3570</v>
      </c>
      <c r="K1765" s="106">
        <v>8281</v>
      </c>
      <c r="L1765" s="106">
        <v>8135</v>
      </c>
      <c r="M1765" s="106">
        <v>0.46</v>
      </c>
      <c r="N1765" s="106">
        <v>0.76</v>
      </c>
      <c r="O1765" s="106">
        <v>0.5</v>
      </c>
      <c r="P1765" s="106">
        <v>1659</v>
      </c>
      <c r="Q1765" s="106">
        <v>125.99419532723843</v>
      </c>
      <c r="R1765" s="106">
        <v>4.0103969730677716E-2</v>
      </c>
      <c r="S1765" s="106">
        <v>15865.728486431577</v>
      </c>
      <c r="T1765" s="106">
        <v>15572.618197649108</v>
      </c>
      <c r="U1765" s="106">
        <v>13553.702510520969</v>
      </c>
      <c r="V1765" s="106">
        <v>0.22249969496319022</v>
      </c>
      <c r="W1765" s="106">
        <v>82505.211568322979</v>
      </c>
      <c r="X1765" s="110">
        <v>0.66017960037465717</v>
      </c>
      <c r="Y1765" s="106">
        <v>641.54689655172422</v>
      </c>
      <c r="Z1765" s="106">
        <v>14.257241379310345</v>
      </c>
      <c r="AA1765" s="106">
        <v>61406.024983563446</v>
      </c>
      <c r="AB1765" s="106">
        <v>301.20698785156139</v>
      </c>
      <c r="AC1765" s="106">
        <v>1.628504695211374</v>
      </c>
      <c r="AD1765" s="106">
        <v>26.679529907033857</v>
      </c>
      <c r="AE1765" s="106">
        <v>203.86653517422749</v>
      </c>
      <c r="AF1765" s="106">
        <v>0.11027522336821299</v>
      </c>
      <c r="AG1765" s="106">
        <v>3468</v>
      </c>
      <c r="AH1765" s="106">
        <v>15508.23407342911</v>
      </c>
      <c r="AI1765" s="106">
        <v>15508.23407342911</v>
      </c>
      <c r="AJ1765" s="106">
        <v>15942.440719779423</v>
      </c>
      <c r="AK1765" s="104">
        <v>14057.458133797707</v>
      </c>
      <c r="AL1765" s="118">
        <v>68720519</v>
      </c>
      <c r="AM1765" s="118">
        <v>9412</v>
      </c>
      <c r="AN1765" s="118">
        <v>310081</v>
      </c>
      <c r="AO1765" s="118">
        <v>1214</v>
      </c>
      <c r="AP1765" s="118">
        <f t="shared" si="27"/>
        <v>102</v>
      </c>
    </row>
    <row r="1766" spans="1:42" ht="12.75">
      <c r="A1766" s="106">
        <v>2018</v>
      </c>
      <c r="B1766" s="106">
        <v>-157739</v>
      </c>
      <c r="C1766" s="106">
        <v>0</v>
      </c>
      <c r="D1766" s="106">
        <v>157739</v>
      </c>
      <c r="E1766" s="106" t="s">
        <v>4196</v>
      </c>
      <c r="F1766" s="106" t="s">
        <v>123</v>
      </c>
      <c r="G1766" s="106" t="s">
        <v>118</v>
      </c>
      <c r="H1766" s="106">
        <v>4</v>
      </c>
      <c r="I1766" s="106" t="s">
        <v>24</v>
      </c>
      <c r="J1766" s="106">
        <v>4080</v>
      </c>
      <c r="K1766" s="106">
        <v>5450</v>
      </c>
      <c r="L1766" s="106">
        <v>4768</v>
      </c>
      <c r="M1766" s="106">
        <v>0.83</v>
      </c>
      <c r="N1766" s="106">
        <v>0.24</v>
      </c>
      <c r="O1766" s="106">
        <v>0.16</v>
      </c>
      <c r="P1766" s="106">
        <v>1743</v>
      </c>
      <c r="Q1766" s="106">
        <v>4457.8116419549697</v>
      </c>
      <c r="R1766" s="106">
        <v>0.83914988377236444</v>
      </c>
      <c r="S1766" s="106">
        <v>15452.538165842943</v>
      </c>
      <c r="T1766" s="106">
        <v>14552.459088412959</v>
      </c>
      <c r="U1766" s="106">
        <v>12222.379243109446</v>
      </c>
      <c r="V1766" s="106">
        <v>6.9911367824946072E-2</v>
      </c>
      <c r="W1766" s="106">
        <v>67390.020408163269</v>
      </c>
      <c r="X1766" s="110">
        <v>0.6230391530152346</v>
      </c>
      <c r="Y1766" s="106">
        <v>553.60135135135135</v>
      </c>
      <c r="Z1766" s="106">
        <v>18.456081081081081</v>
      </c>
      <c r="AA1766" s="106">
        <v>17819.817935710409</v>
      </c>
      <c r="AB1766" s="106">
        <v>407.47231155399476</v>
      </c>
      <c r="AC1766" s="106">
        <v>5.6117296125457505</v>
      </c>
      <c r="AD1766" s="106">
        <v>59.789372905696503</v>
      </c>
      <c r="AE1766" s="106">
        <v>43.732586068855085</v>
      </c>
      <c r="AF1766" s="106"/>
      <c r="AG1766" s="106">
        <v>3888</v>
      </c>
      <c r="AH1766" s="106">
        <v>14263.912685337726</v>
      </c>
      <c r="AI1766" s="106">
        <v>14377.460735859418</v>
      </c>
      <c r="AJ1766" s="106">
        <v>15535.973091707852</v>
      </c>
      <c r="AK1766" s="104">
        <v>14133.241625480505</v>
      </c>
      <c r="AL1766" s="118">
        <v>11118678</v>
      </c>
      <c r="AM1766" s="118">
        <v>3229</v>
      </c>
      <c r="AN1766" s="118">
        <v>54622</v>
      </c>
      <c r="AO1766" s="118">
        <v>407</v>
      </c>
      <c r="AP1766" s="118">
        <f t="shared" si="27"/>
        <v>192</v>
      </c>
    </row>
    <row r="1767" spans="1:42" ht="12.75">
      <c r="A1767" s="106">
        <v>2018</v>
      </c>
      <c r="B1767" s="106">
        <v>-179557</v>
      </c>
      <c r="C1767" s="106">
        <v>0</v>
      </c>
      <c r="D1767" s="106">
        <v>179557</v>
      </c>
      <c r="E1767" s="106" t="s">
        <v>2823</v>
      </c>
      <c r="F1767" s="106" t="s">
        <v>2824</v>
      </c>
      <c r="G1767" s="106" t="s">
        <v>264</v>
      </c>
      <c r="H1767" s="106">
        <v>2</v>
      </c>
      <c r="I1767" s="106" t="s">
        <v>25</v>
      </c>
      <c r="J1767" s="106">
        <v>7185</v>
      </c>
      <c r="K1767" s="106">
        <v>12468</v>
      </c>
      <c r="L1767" s="106">
        <v>10049</v>
      </c>
      <c r="M1767" s="106">
        <v>0.38</v>
      </c>
      <c r="N1767" s="106">
        <v>0.55000000000000004</v>
      </c>
      <c r="O1767" s="106">
        <v>0.78</v>
      </c>
      <c r="P1767" s="106">
        <v>5173</v>
      </c>
      <c r="Q1767" s="106">
        <v>2946.0252961895612</v>
      </c>
      <c r="R1767" s="106">
        <v>0.35035556544797591</v>
      </c>
      <c r="S1767" s="106">
        <v>18080.553420856013</v>
      </c>
      <c r="T1767" s="106">
        <v>19995.706585548083</v>
      </c>
      <c r="U1767" s="106">
        <v>11649.915475610724</v>
      </c>
      <c r="V1767" s="106">
        <v>0.4689001792164873</v>
      </c>
      <c r="W1767" s="106">
        <v>79174.873527762189</v>
      </c>
      <c r="X1767" s="110">
        <v>0.50236279508716186</v>
      </c>
      <c r="Y1767" s="106">
        <v>593.50679056468914</v>
      </c>
      <c r="Z1767" s="106">
        <v>20.090779127948537</v>
      </c>
      <c r="AA1767" s="106">
        <v>49276.775661849606</v>
      </c>
      <c r="AB1767" s="106">
        <v>394.36091111455232</v>
      </c>
      <c r="AC1767" s="106">
        <v>2.0293535576724153</v>
      </c>
      <c r="AD1767" s="106">
        <v>23.394592310942123</v>
      </c>
      <c r="AE1767" s="106">
        <v>124.95349887133183</v>
      </c>
      <c r="AF1767" s="106">
        <v>-4.7570585795161581E-2</v>
      </c>
      <c r="AG1767" s="106">
        <v>6183</v>
      </c>
      <c r="AH1767" s="106">
        <v>16198.525242822072</v>
      </c>
      <c r="AI1767" s="106">
        <v>16505.906393425124</v>
      </c>
      <c r="AJ1767" s="106">
        <v>18367.189347849289</v>
      </c>
      <c r="AK1767" s="104">
        <v>15277.556943110258</v>
      </c>
      <c r="AL1767" s="118">
        <v>43783556</v>
      </c>
      <c r="AM1767" s="118">
        <v>10458</v>
      </c>
      <c r="AN1767" s="118">
        <v>276772</v>
      </c>
      <c r="AO1767" s="118">
        <v>1753</v>
      </c>
      <c r="AP1767" s="118">
        <f t="shared" si="27"/>
        <v>1002</v>
      </c>
    </row>
    <row r="1768" spans="1:42" ht="12.75">
      <c r="A1768" s="106">
        <v>2018</v>
      </c>
      <c r="B1768" s="106">
        <v>-219426</v>
      </c>
      <c r="C1768" s="106">
        <v>0</v>
      </c>
      <c r="D1768" s="106">
        <v>219426</v>
      </c>
      <c r="E1768" s="106" t="s">
        <v>2825</v>
      </c>
      <c r="F1768" s="106" t="s">
        <v>245</v>
      </c>
      <c r="G1768" s="106" t="s">
        <v>246</v>
      </c>
      <c r="H1768" s="106">
        <v>4</v>
      </c>
      <c r="I1768" s="106" t="s">
        <v>24</v>
      </c>
      <c r="J1768" s="106">
        <v>6110</v>
      </c>
      <c r="K1768" s="106">
        <v>12501</v>
      </c>
      <c r="L1768" s="106">
        <v>12223</v>
      </c>
      <c r="M1768" s="106">
        <v>0.47</v>
      </c>
      <c r="N1768" s="106">
        <v>0.82</v>
      </c>
      <c r="O1768" s="106">
        <v>0.14000000000000001</v>
      </c>
      <c r="P1768" s="106">
        <v>883</v>
      </c>
      <c r="Q1768" s="106">
        <v>82.600603621730386</v>
      </c>
      <c r="R1768" s="106">
        <v>1.0046429173836751E-2</v>
      </c>
      <c r="S1768" s="106">
        <v>14569.282696177062</v>
      </c>
      <c r="T1768" s="106">
        <v>12942.158953722334</v>
      </c>
      <c r="U1768" s="106">
        <v>10121.783702213279</v>
      </c>
      <c r="V1768" s="106">
        <v>0.8041355611584593</v>
      </c>
      <c r="W1768" s="106">
        <v>67202.22321428571</v>
      </c>
      <c r="X1768" s="110">
        <v>0.58507096968978056</v>
      </c>
      <c r="Y1768" s="106">
        <v>433.20581113801455</v>
      </c>
      <c r="Z1768" s="106">
        <v>14.440677966101696</v>
      </c>
      <c r="AA1768" s="106">
        <v>21777.170995670996</v>
      </c>
      <c r="AB1768" s="106">
        <v>337.40410476541803</v>
      </c>
      <c r="AC1768" s="106">
        <v>4.5919646780510952</v>
      </c>
      <c r="AD1768" s="106">
        <v>54.320987654320987</v>
      </c>
      <c r="AE1768" s="106">
        <v>64.543290043290042</v>
      </c>
      <c r="AF1768" s="106">
        <v>9.9032450931938715E-2</v>
      </c>
      <c r="AG1768" s="106">
        <v>2964</v>
      </c>
      <c r="AH1768" s="106">
        <v>14671.343561368209</v>
      </c>
      <c r="AI1768" s="106">
        <v>14671.343561368209</v>
      </c>
      <c r="AJ1768" s="106">
        <v>14569.282696177062</v>
      </c>
      <c r="AK1768" s="104">
        <v>10121.783702213279</v>
      </c>
      <c r="AL1768" s="118"/>
      <c r="AM1768" s="118">
        <v>2244</v>
      </c>
      <c r="AN1768" s="118">
        <v>59638</v>
      </c>
      <c r="AO1768" s="118">
        <v>615</v>
      </c>
      <c r="AP1768" s="118">
        <f t="shared" si="27"/>
        <v>3146</v>
      </c>
    </row>
    <row r="1769" spans="1:42" ht="12.75">
      <c r="A1769" s="106">
        <v>2018</v>
      </c>
      <c r="B1769" s="106">
        <v>-199759</v>
      </c>
      <c r="C1769" s="106">
        <v>0</v>
      </c>
      <c r="D1769" s="106">
        <v>199759</v>
      </c>
      <c r="E1769" s="106" t="s">
        <v>2826</v>
      </c>
      <c r="F1769" s="106" t="s">
        <v>2827</v>
      </c>
      <c r="G1769" s="106" t="s">
        <v>90</v>
      </c>
      <c r="H1769" s="106">
        <v>6</v>
      </c>
      <c r="I1769" s="106" t="s">
        <v>3640</v>
      </c>
      <c r="J1769" s="106">
        <v>10730</v>
      </c>
      <c r="K1769" s="106">
        <v>12419</v>
      </c>
      <c r="L1769" s="106"/>
      <c r="M1769" s="106">
        <v>0</v>
      </c>
      <c r="N1769" s="106">
        <v>0.2</v>
      </c>
      <c r="O1769" s="106">
        <v>0.34</v>
      </c>
      <c r="P1769" s="106">
        <v>1363</v>
      </c>
      <c r="Q1769" s="106">
        <v>1857.6274256144891</v>
      </c>
      <c r="R1769" s="106">
        <v>0.20328688751682381</v>
      </c>
      <c r="S1769" s="106">
        <v>18992.217981888745</v>
      </c>
      <c r="T1769" s="106">
        <v>19174.439844760673</v>
      </c>
      <c r="U1769" s="106">
        <v>12179.076972833118</v>
      </c>
      <c r="V1769" s="106">
        <v>0.59777374649427661</v>
      </c>
      <c r="W1769" s="106">
        <v>64447.674074074072</v>
      </c>
      <c r="X1769" s="110">
        <v>0.5870009948830921</v>
      </c>
      <c r="Y1769" s="106">
        <v>535.32272727272732</v>
      </c>
      <c r="Z1769" s="106">
        <v>21.081818181818182</v>
      </c>
      <c r="AA1769" s="106">
        <v>39473.486373165615</v>
      </c>
      <c r="AB1769" s="106">
        <v>479.63046080953717</v>
      </c>
      <c r="AC1769" s="106">
        <v>2.5333460301591391</v>
      </c>
      <c r="AD1769" s="106">
        <v>25.118483412322274</v>
      </c>
      <c r="AE1769" s="106">
        <v>82.299790356394126</v>
      </c>
      <c r="AF1769" s="106">
        <v>4.2915573759664087E-2</v>
      </c>
      <c r="AG1769" s="106">
        <v>10440</v>
      </c>
      <c r="AH1769" s="106">
        <v>10827.545278137128</v>
      </c>
      <c r="AI1769" s="106">
        <v>18874.35510996119</v>
      </c>
      <c r="AJ1769" s="106">
        <v>20202.955368693401</v>
      </c>
      <c r="AK1769" s="104">
        <v>12296.939844760673</v>
      </c>
      <c r="AL1769" s="118"/>
      <c r="AM1769" s="118">
        <v>406</v>
      </c>
      <c r="AN1769" s="118">
        <v>39257</v>
      </c>
      <c r="AO1769" s="118">
        <v>54</v>
      </c>
      <c r="AP1769" s="118">
        <f t="shared" si="27"/>
        <v>290</v>
      </c>
    </row>
    <row r="1770" spans="1:42" ht="12.75">
      <c r="A1770" s="106">
        <v>2018</v>
      </c>
      <c r="B1770" s="106">
        <v>-154378</v>
      </c>
      <c r="C1770" s="106">
        <v>0</v>
      </c>
      <c r="D1770" s="106">
        <v>154378</v>
      </c>
      <c r="E1770" s="106" t="s">
        <v>3937</v>
      </c>
      <c r="F1770" s="106" t="s">
        <v>2828</v>
      </c>
      <c r="G1770" s="106" t="s">
        <v>447</v>
      </c>
      <c r="H1770" s="106">
        <v>4</v>
      </c>
      <c r="I1770" s="106" t="s">
        <v>24</v>
      </c>
      <c r="J1770" s="106">
        <v>5400</v>
      </c>
      <c r="K1770" s="106">
        <v>6240</v>
      </c>
      <c r="L1770" s="106">
        <v>4400</v>
      </c>
      <c r="M1770" s="106">
        <v>0.48</v>
      </c>
      <c r="N1770" s="106">
        <v>0.7</v>
      </c>
      <c r="O1770" s="106">
        <v>0.38</v>
      </c>
      <c r="P1770" s="106">
        <v>3585</v>
      </c>
      <c r="Q1770" s="106">
        <v>685.93288962839711</v>
      </c>
      <c r="R1770" s="106">
        <v>0.13250482882992534</v>
      </c>
      <c r="S1770" s="106">
        <v>21811.516916250694</v>
      </c>
      <c r="T1770" s="106">
        <v>22087.700499168051</v>
      </c>
      <c r="U1770" s="106">
        <v>15691.245533534266</v>
      </c>
      <c r="V1770" s="106">
        <v>0.28619337066990402</v>
      </c>
      <c r="W1770" s="106">
        <v>71268.806845965766</v>
      </c>
      <c r="X1770" s="110">
        <v>0.4879612166735921</v>
      </c>
      <c r="Y1770" s="106">
        <v>490.33232628398787</v>
      </c>
      <c r="Z1770" s="106">
        <v>16.341389728096676</v>
      </c>
      <c r="AA1770" s="106">
        <v>50073.125127366868</v>
      </c>
      <c r="AB1770" s="106">
        <v>522.94483728211242</v>
      </c>
      <c r="AC1770" s="106">
        <v>1.9970792664855304</v>
      </c>
      <c r="AD1770" s="106">
        <v>33.294048320565707</v>
      </c>
      <c r="AE1770" s="106">
        <v>95.752212389380531</v>
      </c>
      <c r="AF1770" s="106">
        <v>-1.7874971963054417E-2</v>
      </c>
      <c r="AG1770" s="106">
        <v>5280</v>
      </c>
      <c r="AH1770" s="106">
        <v>20882.747642817525</v>
      </c>
      <c r="AI1770" s="106">
        <v>21229.703826955076</v>
      </c>
      <c r="AJ1770" s="106">
        <v>21890.786466999445</v>
      </c>
      <c r="AK1770" s="104">
        <v>18499.870216306157</v>
      </c>
      <c r="AL1770" s="118">
        <v>13080667</v>
      </c>
      <c r="AM1770" s="118">
        <v>2658</v>
      </c>
      <c r="AN1770" s="118">
        <v>54100</v>
      </c>
      <c r="AO1770" s="118">
        <v>378</v>
      </c>
      <c r="AP1770" s="118">
        <f t="shared" si="27"/>
        <v>120</v>
      </c>
    </row>
    <row r="1771" spans="1:42" ht="12.75">
      <c r="A1771" s="106">
        <v>2018</v>
      </c>
      <c r="B1771" s="106">
        <v>-199722</v>
      </c>
      <c r="C1771" s="106">
        <v>0</v>
      </c>
      <c r="D1771" s="106">
        <v>199722</v>
      </c>
      <c r="E1771" s="106" t="s">
        <v>3938</v>
      </c>
      <c r="F1771" s="106" t="s">
        <v>2829</v>
      </c>
      <c r="G1771" s="106" t="s">
        <v>90</v>
      </c>
      <c r="H1771" s="106">
        <v>4</v>
      </c>
      <c r="I1771" s="106" t="s">
        <v>24</v>
      </c>
      <c r="J1771" s="106">
        <v>2589</v>
      </c>
      <c r="K1771" s="106">
        <v>6052</v>
      </c>
      <c r="L1771" s="106">
        <v>4752</v>
      </c>
      <c r="M1771" s="106">
        <v>0.6</v>
      </c>
      <c r="N1771" s="106">
        <v>0</v>
      </c>
      <c r="O1771" s="106">
        <v>0.55000000000000004</v>
      </c>
      <c r="P1771" s="106">
        <v>1536</v>
      </c>
      <c r="Q1771" s="106">
        <v>308.98969072164948</v>
      </c>
      <c r="R1771" s="106">
        <v>0.17062141004515183</v>
      </c>
      <c r="S1771" s="106">
        <v>15642.518636003171</v>
      </c>
      <c r="T1771" s="106">
        <v>16344.042823156225</v>
      </c>
      <c r="U1771" s="106">
        <v>13871.816427278214</v>
      </c>
      <c r="V1771" s="106">
        <v>0.1082754382061677</v>
      </c>
      <c r="W1771" s="106">
        <v>52443.64885496183</v>
      </c>
      <c r="X1771" s="110">
        <v>0.6666833577245973</v>
      </c>
      <c r="Y1771" s="106">
        <v>340.49442379182153</v>
      </c>
      <c r="Z1771" s="106">
        <v>14.063197026022305</v>
      </c>
      <c r="AA1771" s="106">
        <v>44396.854098471646</v>
      </c>
      <c r="AB1771" s="106">
        <v>572.93768677075195</v>
      </c>
      <c r="AC1771" s="106">
        <v>2.2524118438257199</v>
      </c>
      <c r="AD1771" s="106">
        <v>51.978891820580472</v>
      </c>
      <c r="AE1771" s="106">
        <v>77.489847715736047</v>
      </c>
      <c r="AF1771" s="106">
        <v>1.2510407833955267E-2</v>
      </c>
      <c r="AG1771" s="106">
        <v>2432</v>
      </c>
      <c r="AH1771" s="106">
        <v>14224.92942109437</v>
      </c>
      <c r="AI1771" s="106">
        <v>14581.402854877082</v>
      </c>
      <c r="AJ1771" s="106">
        <v>15671.122125297383</v>
      </c>
      <c r="AK1771" s="104">
        <v>15325.870737509913</v>
      </c>
      <c r="AL1771" s="119">
        <v>12819832</v>
      </c>
      <c r="AM1771" s="118">
        <v>1450</v>
      </c>
      <c r="AN1771" s="118">
        <v>30531</v>
      </c>
      <c r="AO1771" s="118">
        <v>248</v>
      </c>
      <c r="AP1771" s="118">
        <f t="shared" si="27"/>
        <v>157</v>
      </c>
    </row>
    <row r="1772" spans="1:42" ht="12.75">
      <c r="A1772" s="106">
        <v>2018</v>
      </c>
      <c r="B1772" s="106">
        <v>-148937</v>
      </c>
      <c r="C1772" s="106">
        <v>0</v>
      </c>
      <c r="D1772" s="106">
        <v>148937</v>
      </c>
      <c r="E1772" s="106" t="s">
        <v>2830</v>
      </c>
      <c r="F1772" s="106" t="s">
        <v>1433</v>
      </c>
      <c r="G1772" s="106" t="s">
        <v>243</v>
      </c>
      <c r="H1772" s="106">
        <v>4</v>
      </c>
      <c r="I1772" s="106" t="s">
        <v>24</v>
      </c>
      <c r="J1772" s="106">
        <v>3780</v>
      </c>
      <c r="K1772" s="106">
        <v>8125</v>
      </c>
      <c r="L1772" s="106">
        <v>6304</v>
      </c>
      <c r="M1772" s="106">
        <v>0.57999999999999996</v>
      </c>
      <c r="N1772" s="106">
        <v>0</v>
      </c>
      <c r="O1772" s="106">
        <v>0.37</v>
      </c>
      <c r="P1772" s="106">
        <v>2300</v>
      </c>
      <c r="Q1772" s="106">
        <v>1980.3889447236181</v>
      </c>
      <c r="R1772" s="106">
        <v>0.45841163565979842</v>
      </c>
      <c r="S1772" s="106">
        <v>21753.759798994975</v>
      </c>
      <c r="T1772" s="106">
        <v>18431.945728643215</v>
      </c>
      <c r="U1772" s="106">
        <v>10581.360559223776</v>
      </c>
      <c r="V1772" s="106">
        <v>0.2211172745645327</v>
      </c>
      <c r="W1772" s="106">
        <v>63549.216216216213</v>
      </c>
      <c r="X1772" s="110">
        <v>0.38462624373043391</v>
      </c>
      <c r="Y1772" s="106">
        <v>644.15827338129498</v>
      </c>
      <c r="Z1772" s="106">
        <v>21.474820143884891</v>
      </c>
      <c r="AA1772" s="106">
        <v>26654.31330741179</v>
      </c>
      <c r="AB1772" s="106">
        <v>352.75928956736772</v>
      </c>
      <c r="AC1772" s="106">
        <v>3.7517379962736803</v>
      </c>
      <c r="AD1772" s="106">
        <v>40.265035677879709</v>
      </c>
      <c r="AE1772" s="106">
        <v>75.55949367088607</v>
      </c>
      <c r="AF1772" s="106">
        <v>0.18658739299518426</v>
      </c>
      <c r="AG1772" s="106">
        <v>3180</v>
      </c>
      <c r="AH1772" s="106">
        <v>18127.609045226131</v>
      </c>
      <c r="AI1772" s="106">
        <v>20751.745728643215</v>
      </c>
      <c r="AJ1772" s="106">
        <v>21967.071356783919</v>
      </c>
      <c r="AK1772" s="104">
        <v>12681.35879396985</v>
      </c>
      <c r="AL1772" s="119">
        <v>9219218</v>
      </c>
      <c r="AM1772" s="118">
        <v>1655</v>
      </c>
      <c r="AN1772" s="118">
        <v>29846</v>
      </c>
      <c r="AO1772" s="118">
        <v>225</v>
      </c>
      <c r="AP1772" s="118">
        <f t="shared" si="27"/>
        <v>600</v>
      </c>
    </row>
    <row r="1773" spans="1:42" ht="12.75">
      <c r="A1773" s="106">
        <v>2018</v>
      </c>
      <c r="B1773" s="106">
        <v>-160612</v>
      </c>
      <c r="C1773" s="106">
        <v>0</v>
      </c>
      <c r="D1773" s="106">
        <v>160612</v>
      </c>
      <c r="E1773" s="106" t="s">
        <v>2831</v>
      </c>
      <c r="F1773" s="106" t="s">
        <v>2501</v>
      </c>
      <c r="G1773" s="106" t="s">
        <v>306</v>
      </c>
      <c r="H1773" s="106">
        <v>2</v>
      </c>
      <c r="I1773" s="106" t="s">
        <v>25</v>
      </c>
      <c r="J1773" s="106">
        <v>8153</v>
      </c>
      <c r="K1773" s="106">
        <v>11232</v>
      </c>
      <c r="L1773" s="106">
        <v>9938</v>
      </c>
      <c r="M1773" s="106">
        <v>0.44</v>
      </c>
      <c r="N1773" s="106">
        <v>0.49</v>
      </c>
      <c r="O1773" s="106">
        <v>0.48</v>
      </c>
      <c r="P1773" s="106">
        <v>3521</v>
      </c>
      <c r="Q1773" s="106">
        <v>1302.9020240795674</v>
      </c>
      <c r="R1773" s="106">
        <v>0.14826025753422226</v>
      </c>
      <c r="S1773" s="106">
        <v>14581.74629209562</v>
      </c>
      <c r="T1773" s="106">
        <v>14020.235560984122</v>
      </c>
      <c r="U1773" s="106">
        <v>9373.1151723487892</v>
      </c>
      <c r="V1773" s="106">
        <v>0.79856443996457105</v>
      </c>
      <c r="W1773" s="106">
        <v>82061.452112306491</v>
      </c>
      <c r="X1773" s="110">
        <v>0.64869593604079756</v>
      </c>
      <c r="Y1773" s="106">
        <v>668.1245901639345</v>
      </c>
      <c r="Z1773" s="106">
        <v>22.548196721311477</v>
      </c>
      <c r="AA1773" s="106">
        <v>50367.860340113373</v>
      </c>
      <c r="AB1773" s="106">
        <v>316.32849308206522</v>
      </c>
      <c r="AC1773" s="106">
        <v>1.9853930527273</v>
      </c>
      <c r="AD1773" s="106">
        <v>18.841091776344847</v>
      </c>
      <c r="AE1773" s="106">
        <v>159.22644163150491</v>
      </c>
      <c r="AF1773" s="106">
        <v>-0.7221372574969096</v>
      </c>
      <c r="AG1773" s="106">
        <v>5777</v>
      </c>
      <c r="AH1773" s="106">
        <v>13868.528529052521</v>
      </c>
      <c r="AI1773" s="106">
        <v>13967.31914151108</v>
      </c>
      <c r="AJ1773" s="106">
        <v>14682.920781713488</v>
      </c>
      <c r="AK1773" s="104">
        <v>11163.103646833013</v>
      </c>
      <c r="AL1773" s="119">
        <v>29501265</v>
      </c>
      <c r="AM1773" s="118">
        <v>13317</v>
      </c>
      <c r="AN1773" s="118">
        <v>339630</v>
      </c>
      <c r="AO1773" s="118">
        <v>1838</v>
      </c>
      <c r="AP1773" s="118">
        <f t="shared" si="27"/>
        <v>2376</v>
      </c>
    </row>
    <row r="1774" spans="1:42" ht="12.75">
      <c r="A1774" s="106">
        <v>2018</v>
      </c>
      <c r="B1774" s="106">
        <v>-207847</v>
      </c>
      <c r="C1774" s="106">
        <v>0</v>
      </c>
      <c r="D1774" s="106">
        <v>207847</v>
      </c>
      <c r="E1774" s="106" t="s">
        <v>2832</v>
      </c>
      <c r="F1774" s="106" t="s">
        <v>2833</v>
      </c>
      <c r="G1774" s="106" t="s">
        <v>271</v>
      </c>
      <c r="H1774" s="106">
        <v>2</v>
      </c>
      <c r="I1774" s="106" t="s">
        <v>25</v>
      </c>
      <c r="J1774" s="106">
        <v>6750</v>
      </c>
      <c r="K1774" s="106">
        <v>8490</v>
      </c>
      <c r="L1774" s="106">
        <v>6012</v>
      </c>
      <c r="M1774" s="106">
        <v>0.5</v>
      </c>
      <c r="N1774" s="106">
        <v>0.49</v>
      </c>
      <c r="O1774" s="106">
        <v>0.65</v>
      </c>
      <c r="P1774" s="106">
        <v>6814</v>
      </c>
      <c r="Q1774" s="106">
        <v>3868.2147355163729</v>
      </c>
      <c r="R1774" s="106">
        <v>0.35847012131865258</v>
      </c>
      <c r="S1774" s="106">
        <v>17493.067065491185</v>
      </c>
      <c r="T1774" s="106">
        <v>16877.770780856423</v>
      </c>
      <c r="U1774" s="106">
        <v>8776.1961633831106</v>
      </c>
      <c r="V1774" s="106">
        <v>0.78880231824998237</v>
      </c>
      <c r="W1774" s="106">
        <v>75015.475639966971</v>
      </c>
      <c r="X1774" s="110">
        <v>0.56490858857021331</v>
      </c>
      <c r="Y1774" s="106">
        <v>631.09655172413795</v>
      </c>
      <c r="Z1774" s="106">
        <v>21.903448275862068</v>
      </c>
      <c r="AA1774" s="106">
        <v>34411.356808524397</v>
      </c>
      <c r="AB1774" s="106">
        <v>304.59516566572427</v>
      </c>
      <c r="AC1774" s="106">
        <v>2.9060173522488935</v>
      </c>
      <c r="AD1774" s="106">
        <v>25.487728130899939</v>
      </c>
      <c r="AE1774" s="106">
        <v>112.97407407407407</v>
      </c>
      <c r="AF1774" s="106">
        <v>0.14750030642902179</v>
      </c>
      <c r="AG1774" s="106">
        <v>6240</v>
      </c>
      <c r="AH1774" s="106">
        <v>15428.069584382871</v>
      </c>
      <c r="AI1774" s="106">
        <v>15428.069584382871</v>
      </c>
      <c r="AJ1774" s="106">
        <v>17527.946788413097</v>
      </c>
      <c r="AK1774" s="104">
        <v>12882.971032745592</v>
      </c>
      <c r="AL1774" s="118">
        <v>14489916</v>
      </c>
      <c r="AM1774" s="118">
        <v>3122</v>
      </c>
      <c r="AN1774" s="118">
        <v>91509</v>
      </c>
      <c r="AO1774" s="118">
        <v>590</v>
      </c>
      <c r="AP1774" s="118">
        <f t="shared" si="27"/>
        <v>510</v>
      </c>
    </row>
    <row r="1775" spans="1:42" ht="12.75">
      <c r="A1775" s="106">
        <v>2018</v>
      </c>
      <c r="B1775" s="106">
        <v>3004</v>
      </c>
      <c r="C1775" s="106">
        <v>1</v>
      </c>
      <c r="D1775" s="106">
        <v>368911</v>
      </c>
      <c r="E1775" s="106" t="s">
        <v>3876</v>
      </c>
      <c r="F1775" s="106" t="s">
        <v>2834</v>
      </c>
      <c r="G1775" s="106" t="s">
        <v>63</v>
      </c>
      <c r="H1775" s="106">
        <v>4</v>
      </c>
      <c r="I1775" s="106" t="s">
        <v>24</v>
      </c>
      <c r="J1775" s="106">
        <v>2834</v>
      </c>
      <c r="K1775" s="106">
        <v>4229</v>
      </c>
      <c r="L1775" s="106">
        <v>3078</v>
      </c>
      <c r="M1775" s="106">
        <v>0.75</v>
      </c>
      <c r="N1775" s="106">
        <v>0.03</v>
      </c>
      <c r="O1775" s="106">
        <v>0</v>
      </c>
      <c r="P1775" s="106"/>
      <c r="Q1775" s="106"/>
      <c r="R1775" s="106"/>
      <c r="S1775" s="106">
        <v>16155.813588850175</v>
      </c>
      <c r="T1775" s="106">
        <v>18017.506097560974</v>
      </c>
      <c r="U1775" s="106">
        <v>15167.968641114983</v>
      </c>
      <c r="V1775" s="106">
        <v>0.2434274317761595</v>
      </c>
      <c r="W1775" s="106">
        <v>66318.284848484851</v>
      </c>
      <c r="X1775" s="110">
        <v>0.52903044305003988</v>
      </c>
      <c r="Y1775" s="106">
        <v>437.70762711864404</v>
      </c>
      <c r="Z1775" s="106">
        <v>14.59322033898305</v>
      </c>
      <c r="AA1775" s="106">
        <v>17257.510406342913</v>
      </c>
      <c r="AB1775" s="106">
        <v>505.70173961025762</v>
      </c>
      <c r="AC1775" s="106">
        <v>5.794578571613985</v>
      </c>
      <c r="AD1775" s="106">
        <v>115.57846506300113</v>
      </c>
      <c r="AE1775" s="106">
        <v>34.125867195242812</v>
      </c>
      <c r="AF1775" s="106">
        <v>-2.9447630673692129E-2</v>
      </c>
      <c r="AG1775" s="106">
        <v>2136</v>
      </c>
      <c r="AH1775" s="106">
        <v>13038.164634146342</v>
      </c>
      <c r="AI1775" s="106">
        <v>13766.259581881533</v>
      </c>
      <c r="AJ1775" s="106">
        <v>16155.813588850175</v>
      </c>
      <c r="AK1775" s="104">
        <v>17619.484320557491</v>
      </c>
      <c r="AL1775" s="119">
        <v>9023706</v>
      </c>
      <c r="AM1775" s="118">
        <v>1713</v>
      </c>
      <c r="AN1775" s="118">
        <v>34433</v>
      </c>
      <c r="AO1775" s="118">
        <v>106</v>
      </c>
      <c r="AP1775" s="118">
        <f t="shared" si="27"/>
        <v>698</v>
      </c>
    </row>
    <row r="1776" spans="1:42" ht="12.75">
      <c r="A1776" s="106">
        <v>2018</v>
      </c>
      <c r="B1776" s="106">
        <v>-137564</v>
      </c>
      <c r="C1776" s="106">
        <v>0</v>
      </c>
      <c r="D1776" s="106">
        <v>137564</v>
      </c>
      <c r="E1776" s="106" t="s">
        <v>2835</v>
      </c>
      <c r="F1776" s="106" t="s">
        <v>1195</v>
      </c>
      <c r="G1776" s="106" t="s">
        <v>258</v>
      </c>
      <c r="H1776" s="106">
        <v>6</v>
      </c>
      <c r="I1776" s="106" t="s">
        <v>3640</v>
      </c>
      <c r="J1776" s="106">
        <v>25360</v>
      </c>
      <c r="K1776" s="106">
        <v>24259</v>
      </c>
      <c r="L1776" s="106">
        <v>22644</v>
      </c>
      <c r="M1776" s="106">
        <v>0.45</v>
      </c>
      <c r="N1776" s="106">
        <v>0.65</v>
      </c>
      <c r="O1776" s="106">
        <v>0.91</v>
      </c>
      <c r="P1776" s="106">
        <v>7834</v>
      </c>
      <c r="Q1776" s="107">
        <v>5477.0317143892717</v>
      </c>
      <c r="R1776" s="106">
        <v>0.51301591374454214</v>
      </c>
      <c r="S1776" s="106">
        <v>14140.522109459949</v>
      </c>
      <c r="T1776" s="106">
        <v>15351.391083725988</v>
      </c>
      <c r="U1776" s="106">
        <v>13835.490213845596</v>
      </c>
      <c r="V1776" s="106">
        <v>0.37578084317696026</v>
      </c>
      <c r="W1776" s="106">
        <v>69771.462797619053</v>
      </c>
      <c r="X1776" s="110">
        <v>0.55350005647571521</v>
      </c>
      <c r="Y1776" s="106">
        <v>558.55427251732112</v>
      </c>
      <c r="Z1776" s="106">
        <v>19.115473441108549</v>
      </c>
      <c r="AA1776" s="106">
        <v>69403.850000000006</v>
      </c>
      <c r="AB1776" s="106">
        <v>473.49372968815896</v>
      </c>
      <c r="AC1776" s="106">
        <v>1.4408422587507754</v>
      </c>
      <c r="AD1776" s="106">
        <v>19.472473004071517</v>
      </c>
      <c r="AE1776" s="106">
        <v>146.57818181818183</v>
      </c>
      <c r="AF1776" s="106">
        <v>7.0380153068887688E-2</v>
      </c>
      <c r="AG1776" s="106">
        <v>24360</v>
      </c>
      <c r="AH1776" s="106">
        <v>8219.6116346502349</v>
      </c>
      <c r="AI1776" s="106">
        <v>8663.4903950706776</v>
      </c>
      <c r="AJ1776" s="106">
        <v>14188.988039144617</v>
      </c>
      <c r="AK1776" s="104">
        <v>13835.490213845596</v>
      </c>
      <c r="AM1776" s="119">
        <v>6240</v>
      </c>
      <c r="AN1776" s="118">
        <v>161236</v>
      </c>
      <c r="AO1776" s="119">
        <v>793</v>
      </c>
      <c r="AP1776" s="118">
        <f t="shared" si="27"/>
        <v>1000</v>
      </c>
    </row>
    <row r="1777" spans="1:42" ht="12.75">
      <c r="A1777" s="106">
        <v>2018</v>
      </c>
      <c r="B1777" s="106">
        <v>-221661</v>
      </c>
      <c r="C1777" s="106">
        <v>0</v>
      </c>
      <c r="D1777" s="106">
        <v>221661</v>
      </c>
      <c r="E1777" s="106" t="s">
        <v>2836</v>
      </c>
      <c r="F1777" s="106" t="s">
        <v>2837</v>
      </c>
      <c r="G1777" s="106" t="s">
        <v>255</v>
      </c>
      <c r="H1777" s="106">
        <v>6</v>
      </c>
      <c r="I1777" s="106" t="s">
        <v>3640</v>
      </c>
      <c r="J1777" s="106">
        <v>21550</v>
      </c>
      <c r="K1777" s="106">
        <v>23377</v>
      </c>
      <c r="L1777" s="106">
        <v>21344</v>
      </c>
      <c r="M1777" s="106">
        <v>0.35</v>
      </c>
      <c r="N1777" s="106">
        <v>0.53</v>
      </c>
      <c r="O1777" s="106">
        <v>0.98</v>
      </c>
      <c r="P1777" s="106">
        <v>8019</v>
      </c>
      <c r="Q1777" s="106">
        <v>6429.2983364140482</v>
      </c>
      <c r="R1777" s="106">
        <v>0.30182555214870699</v>
      </c>
      <c r="S1777" s="106">
        <v>29311.403327171905</v>
      </c>
      <c r="T1777" s="106">
        <v>27863.075046210721</v>
      </c>
      <c r="U1777" s="106">
        <v>20132.364023418511</v>
      </c>
      <c r="V1777" s="106">
        <v>0.73871471577645098</v>
      </c>
      <c r="W1777" s="106">
        <v>86367.256776034235</v>
      </c>
      <c r="X1777" s="110">
        <v>0.53552477869796289</v>
      </c>
      <c r="Y1777" s="106">
        <v>578</v>
      </c>
      <c r="Z1777" s="106">
        <v>19.889705882352942</v>
      </c>
      <c r="AA1777" s="106">
        <v>72321.440482532635</v>
      </c>
      <c r="AB1777" s="106">
        <v>692.77992931186486</v>
      </c>
      <c r="AC1777" s="106">
        <v>1.3827158216539175</v>
      </c>
      <c r="AD1777" s="106">
        <v>28.576850094876662</v>
      </c>
      <c r="AE1777" s="106">
        <v>104.39309428950864</v>
      </c>
      <c r="AF1777" s="106">
        <v>5.3280679087763898E-2</v>
      </c>
      <c r="AG1777" s="106">
        <v>20700</v>
      </c>
      <c r="AH1777" s="106">
        <v>23980.482070240294</v>
      </c>
      <c r="AI1777" s="106">
        <v>29396.301663585953</v>
      </c>
      <c r="AJ1777" s="106">
        <v>30589.498706099814</v>
      </c>
      <c r="AK1777" s="104">
        <v>20531.475785582254</v>
      </c>
      <c r="AL1777" s="118"/>
      <c r="AM1777" s="118">
        <v>2600</v>
      </c>
      <c r="AN1777" s="118">
        <v>78608</v>
      </c>
      <c r="AO1777" s="118">
        <v>601</v>
      </c>
      <c r="AP1777" s="118">
        <f t="shared" si="27"/>
        <v>850</v>
      </c>
    </row>
    <row r="1778" spans="1:42" ht="12.75">
      <c r="A1778" s="106">
        <v>2018</v>
      </c>
      <c r="B1778" s="106">
        <v>-107983</v>
      </c>
      <c r="C1778" s="106">
        <v>0</v>
      </c>
      <c r="D1778" s="106">
        <v>107983</v>
      </c>
      <c r="E1778" s="106" t="s">
        <v>2838</v>
      </c>
      <c r="F1778" s="106" t="s">
        <v>2839</v>
      </c>
      <c r="G1778" s="106" t="s">
        <v>200</v>
      </c>
      <c r="H1778" s="106">
        <v>2</v>
      </c>
      <c r="I1778" s="106" t="s">
        <v>25</v>
      </c>
      <c r="J1778" s="106">
        <v>8346</v>
      </c>
      <c r="K1778" s="106">
        <v>13203</v>
      </c>
      <c r="L1778" s="106">
        <v>12362</v>
      </c>
      <c r="M1778" s="106">
        <v>0.54</v>
      </c>
      <c r="N1778" s="106">
        <v>0.57999999999999996</v>
      </c>
      <c r="O1778" s="106">
        <v>0.82</v>
      </c>
      <c r="P1778" s="106">
        <v>6619</v>
      </c>
      <c r="Q1778" s="106">
        <v>2587.5971131932133</v>
      </c>
      <c r="R1778" s="106">
        <v>0.29942566732940218</v>
      </c>
      <c r="S1778" s="106">
        <v>16229.492782983034</v>
      </c>
      <c r="T1778" s="106">
        <v>17338.678146366168</v>
      </c>
      <c r="U1778" s="106">
        <v>10620.137904293681</v>
      </c>
      <c r="V1778" s="106">
        <v>0.57007460818605293</v>
      </c>
      <c r="W1778" s="106">
        <v>85645.946456692924</v>
      </c>
      <c r="X1778" s="110">
        <v>0.52952462405674627</v>
      </c>
      <c r="Y1778" s="106">
        <v>579.71186440677968</v>
      </c>
      <c r="Z1778" s="106">
        <v>20.079661016949153</v>
      </c>
      <c r="AA1778" s="106">
        <v>29327.919289549471</v>
      </c>
      <c r="AB1778" s="106">
        <v>367.85303555877329</v>
      </c>
      <c r="AC1778" s="106">
        <v>3.4097202400455795</v>
      </c>
      <c r="AD1778" s="106">
        <v>34.267912772585667</v>
      </c>
      <c r="AE1778" s="106">
        <v>79.727272727272734</v>
      </c>
      <c r="AF1778" s="106">
        <v>-5.2946171539335223E-2</v>
      </c>
      <c r="AG1778" s="106">
        <v>6840</v>
      </c>
      <c r="AH1778" s="106">
        <v>16062.175487465182</v>
      </c>
      <c r="AI1778" s="106">
        <v>16297.499620157001</v>
      </c>
      <c r="AJ1778" s="106">
        <v>16364.36566219296</v>
      </c>
      <c r="AK1778" s="104">
        <v>12686.269435300075</v>
      </c>
      <c r="AL1778" s="118">
        <v>16953804</v>
      </c>
      <c r="AM1778" s="118">
        <v>3475</v>
      </c>
      <c r="AN1778" s="118">
        <v>114010</v>
      </c>
      <c r="AO1778" s="118">
        <v>702</v>
      </c>
      <c r="AP1778" s="118">
        <f t="shared" si="27"/>
        <v>1506</v>
      </c>
    </row>
    <row r="1779" spans="1:42" ht="12.75">
      <c r="A1779" s="106">
        <v>2018</v>
      </c>
      <c r="B1779" s="106">
        <v>-107992</v>
      </c>
      <c r="C1779" s="106">
        <v>0</v>
      </c>
      <c r="D1779" s="106">
        <v>107992</v>
      </c>
      <c r="E1779" s="106" t="s">
        <v>2840</v>
      </c>
      <c r="F1779" s="106" t="s">
        <v>2618</v>
      </c>
      <c r="G1779" s="106" t="s">
        <v>200</v>
      </c>
      <c r="H1779" s="106">
        <v>4</v>
      </c>
      <c r="I1779" s="106" t="s">
        <v>24</v>
      </c>
      <c r="J1779" s="106">
        <v>4810</v>
      </c>
      <c r="K1779" s="106">
        <v>11605</v>
      </c>
      <c r="L1779" s="106">
        <v>10421</v>
      </c>
      <c r="M1779" s="106">
        <v>0.48</v>
      </c>
      <c r="N1779" s="106">
        <v>0.61</v>
      </c>
      <c r="O1779" s="106">
        <v>0.26</v>
      </c>
      <c r="P1779" s="106">
        <v>3111</v>
      </c>
      <c r="Q1779" s="106">
        <v>1252.9517177344476</v>
      </c>
      <c r="R1779" s="106">
        <v>0.29087448865260368</v>
      </c>
      <c r="S1779" s="106">
        <v>14611.302692664809</v>
      </c>
      <c r="T1779" s="106">
        <v>14570.584029712163</v>
      </c>
      <c r="U1779" s="106">
        <v>13062.846945570171</v>
      </c>
      <c r="V1779" s="106">
        <v>0.23383740048625537</v>
      </c>
      <c r="W1779" s="106">
        <v>70125.64627659574</v>
      </c>
      <c r="X1779" s="110">
        <v>0.56008095322363483</v>
      </c>
      <c r="Y1779" s="106">
        <v>728.59398496240601</v>
      </c>
      <c r="Z1779" s="106">
        <v>24.293233082706767</v>
      </c>
      <c r="AA1779" s="106">
        <v>18560.27197939192</v>
      </c>
      <c r="AB1779" s="106">
        <v>435.54955451469226</v>
      </c>
      <c r="AC1779" s="106">
        <v>5.3878520805639756</v>
      </c>
      <c r="AD1779" s="106">
        <v>117.3374613003096</v>
      </c>
      <c r="AE1779" s="106">
        <v>42.613456464379951</v>
      </c>
      <c r="AF1779" s="106">
        <v>1.8475682681472896E-2</v>
      </c>
      <c r="AG1779" s="106">
        <v>3240</v>
      </c>
      <c r="AH1779" s="106">
        <v>13886.904363974001</v>
      </c>
      <c r="AI1779" s="106">
        <v>13886.904363974001</v>
      </c>
      <c r="AJ1779" s="106">
        <v>14627.451253481895</v>
      </c>
      <c r="AK1779" s="104">
        <v>14154.777158774374</v>
      </c>
      <c r="AL1779" s="118">
        <v>8079917</v>
      </c>
      <c r="AM1779" s="118">
        <v>1010</v>
      </c>
      <c r="AN1779" s="118">
        <v>32301</v>
      </c>
      <c r="AO1779" s="118">
        <v>108</v>
      </c>
      <c r="AP1779" s="118">
        <f t="shared" si="27"/>
        <v>1570</v>
      </c>
    </row>
    <row r="1780" spans="1:42" ht="12.75">
      <c r="A1780" s="106">
        <v>2018</v>
      </c>
      <c r="B1780" s="106">
        <v>-130493</v>
      </c>
      <c r="C1780" s="106">
        <v>0</v>
      </c>
      <c r="D1780" s="106">
        <v>130493</v>
      </c>
      <c r="E1780" s="106" t="s">
        <v>2841</v>
      </c>
      <c r="F1780" s="106" t="s">
        <v>98</v>
      </c>
      <c r="G1780" s="106" t="s">
        <v>99</v>
      </c>
      <c r="H1780" s="106">
        <v>2</v>
      </c>
      <c r="I1780" s="106" t="s">
        <v>25</v>
      </c>
      <c r="J1780" s="106">
        <v>10538</v>
      </c>
      <c r="K1780" s="106">
        <v>17389</v>
      </c>
      <c r="L1780" s="106">
        <v>15826</v>
      </c>
      <c r="M1780" s="106">
        <v>0.42</v>
      </c>
      <c r="N1780" s="106">
        <v>0.74</v>
      </c>
      <c r="O1780" s="106">
        <v>0.3</v>
      </c>
      <c r="P1780" s="106">
        <v>4013</v>
      </c>
      <c r="Q1780" s="106">
        <v>1829.2936029996592</v>
      </c>
      <c r="R1780" s="106">
        <v>0.16646906348312815</v>
      </c>
      <c r="S1780" s="106">
        <v>24811.857970685149</v>
      </c>
      <c r="T1780" s="106">
        <v>27084.000227246903</v>
      </c>
      <c r="U1780" s="106">
        <v>21573.535972790451</v>
      </c>
      <c r="V1780" s="106">
        <v>0.42457094405094747</v>
      </c>
      <c r="W1780" s="106">
        <v>117829.78492063492</v>
      </c>
      <c r="X1780" s="110">
        <v>0.62284617296927636</v>
      </c>
      <c r="Y1780" s="106">
        <v>399.34012539184954</v>
      </c>
      <c r="Z1780" s="106">
        <v>13.794670846394984</v>
      </c>
      <c r="AA1780" s="106">
        <v>84012.694732977325</v>
      </c>
      <c r="AB1780" s="106">
        <v>745.22896351947679</v>
      </c>
      <c r="AC1780" s="106">
        <v>1.1902963036459679</v>
      </c>
      <c r="AD1780" s="106">
        <v>26.169522927281147</v>
      </c>
      <c r="AE1780" s="106">
        <v>112.73407079646017</v>
      </c>
      <c r="AF1780" s="106">
        <v>-3.2129943333785764E-2</v>
      </c>
      <c r="AG1780" s="106">
        <v>5424</v>
      </c>
      <c r="AH1780" s="106">
        <v>22634.929098966026</v>
      </c>
      <c r="AI1780" s="106">
        <v>22652.274173389389</v>
      </c>
      <c r="AJ1780" s="106">
        <v>24952.59697761618</v>
      </c>
      <c r="AK1780" s="104">
        <v>24574.550619247813</v>
      </c>
      <c r="AL1780" s="118">
        <v>74072500</v>
      </c>
      <c r="AM1780" s="118">
        <v>7947</v>
      </c>
      <c r="AN1780" s="118">
        <v>254779</v>
      </c>
      <c r="AO1780" s="118">
        <v>1629</v>
      </c>
      <c r="AP1780" s="118">
        <f t="shared" si="27"/>
        <v>5114</v>
      </c>
    </row>
    <row r="1781" spans="1:42" ht="12.75">
      <c r="A1781" s="106">
        <v>2018</v>
      </c>
      <c r="B1781" s="106">
        <v>3007</v>
      </c>
      <c r="C1781" s="106">
        <v>1</v>
      </c>
      <c r="D1781" s="106">
        <v>139986</v>
      </c>
      <c r="E1781" s="106" t="s">
        <v>3877</v>
      </c>
      <c r="F1781" s="106" t="s">
        <v>2842</v>
      </c>
      <c r="G1781" s="106" t="s">
        <v>63</v>
      </c>
      <c r="H1781" s="106">
        <v>4</v>
      </c>
      <c r="I1781" s="106" t="s">
        <v>24</v>
      </c>
      <c r="J1781" s="106">
        <v>2840</v>
      </c>
      <c r="K1781" s="106">
        <v>5312</v>
      </c>
      <c r="L1781" s="106">
        <v>4438</v>
      </c>
      <c r="M1781" s="106">
        <v>0.79</v>
      </c>
      <c r="N1781" s="106">
        <v>0.15</v>
      </c>
      <c r="O1781" s="106">
        <v>0</v>
      </c>
      <c r="P1781" s="106"/>
      <c r="Q1781" s="106">
        <v>1245.5803044423735</v>
      </c>
      <c r="R1781" s="106">
        <v>0.33272208086075233</v>
      </c>
      <c r="S1781" s="106">
        <v>12811.928549238894</v>
      </c>
      <c r="T1781" s="106">
        <v>12815.458216837527</v>
      </c>
      <c r="U1781" s="106">
        <v>9395.5563839701772</v>
      </c>
      <c r="V1781" s="106">
        <v>0.26587307570326651</v>
      </c>
      <c r="W1781" s="106">
        <v>66880.748120300748</v>
      </c>
      <c r="X1781" s="110">
        <v>0.57499806074521687</v>
      </c>
      <c r="Y1781" s="106">
        <v>607.40251572327043</v>
      </c>
      <c r="Z1781" s="106">
        <v>20.245283018867923</v>
      </c>
      <c r="AA1781" s="106">
        <v>10747.795309168443</v>
      </c>
      <c r="AB1781" s="106">
        <v>313.16251281360985</v>
      </c>
      <c r="AC1781" s="106">
        <v>9.3042337636161214</v>
      </c>
      <c r="AD1781" s="106">
        <v>108.85880077369438</v>
      </c>
      <c r="AE1781" s="106">
        <v>34.320184790334046</v>
      </c>
      <c r="AF1781" s="106">
        <v>1.1168513640185533E-2</v>
      </c>
      <c r="AG1781" s="106">
        <v>2138</v>
      </c>
      <c r="AH1781" s="106">
        <v>9350.7853370611992</v>
      </c>
      <c r="AI1781" s="106">
        <v>9451.3233923578755</v>
      </c>
      <c r="AJ1781" s="106">
        <v>12811.803044423734</v>
      </c>
      <c r="AK1781" s="104">
        <v>12815.458216837527</v>
      </c>
      <c r="AL1781" s="118">
        <v>14136623</v>
      </c>
      <c r="AM1781" s="118">
        <v>4756</v>
      </c>
      <c r="AN1781" s="118">
        <v>96577</v>
      </c>
      <c r="AO1781" s="118">
        <v>356</v>
      </c>
      <c r="AP1781" s="118">
        <f t="shared" si="27"/>
        <v>702</v>
      </c>
    </row>
    <row r="1782" spans="1:42" ht="12.75">
      <c r="A1782" s="106">
        <v>2018</v>
      </c>
      <c r="B1782" s="106">
        <v>-149222</v>
      </c>
      <c r="C1782" s="106">
        <v>0</v>
      </c>
      <c r="D1782" s="106">
        <v>149222</v>
      </c>
      <c r="E1782" s="106" t="s">
        <v>2843</v>
      </c>
      <c r="F1782" s="106" t="s">
        <v>2844</v>
      </c>
      <c r="G1782" s="106" t="s">
        <v>243</v>
      </c>
      <c r="H1782" s="106">
        <v>1</v>
      </c>
      <c r="I1782" s="106" t="s">
        <v>23</v>
      </c>
      <c r="J1782" s="106">
        <v>13432</v>
      </c>
      <c r="K1782" s="106">
        <v>16105</v>
      </c>
      <c r="L1782" s="106">
        <v>13801</v>
      </c>
      <c r="M1782" s="106">
        <v>0.45</v>
      </c>
      <c r="N1782" s="106">
        <v>0.66</v>
      </c>
      <c r="O1782" s="106">
        <v>0.78</v>
      </c>
      <c r="P1782" s="106">
        <v>7070</v>
      </c>
      <c r="Q1782" s="106">
        <v>2605.1153169687236</v>
      </c>
      <c r="R1782" s="106">
        <v>0.19512568022380827</v>
      </c>
      <c r="S1782" s="106">
        <v>68478.114169916647</v>
      </c>
      <c r="T1782" s="106">
        <v>61827.567867247839</v>
      </c>
      <c r="U1782" s="106">
        <v>42291.194474754528</v>
      </c>
      <c r="V1782" s="106">
        <v>0.25409179532006543</v>
      </c>
      <c r="W1782" s="106">
        <v>130017.73554161568</v>
      </c>
      <c r="X1782" s="110">
        <v>0.70070157835045843</v>
      </c>
      <c r="Y1782" s="106">
        <v>288.31207781680627</v>
      </c>
      <c r="Z1782" s="106">
        <v>10.600108078897595</v>
      </c>
      <c r="AA1782" s="106">
        <v>120514.69822322181</v>
      </c>
      <c r="AB1782" s="106">
        <v>1554.8819030152438</v>
      </c>
      <c r="AC1782" s="106">
        <v>0.82977430532810414</v>
      </c>
      <c r="AD1782" s="106">
        <v>35.548841893252771</v>
      </c>
      <c r="AE1782" s="106">
        <v>77.507300065373727</v>
      </c>
      <c r="AF1782" s="106">
        <v>0.23770396389413578</v>
      </c>
      <c r="AG1782" s="106">
        <v>8950</v>
      </c>
      <c r="AH1782" s="106">
        <v>67820.4417679896</v>
      </c>
      <c r="AI1782" s="106">
        <v>68637.157375544848</v>
      </c>
      <c r="AJ1782" s="106">
        <v>68549.194081211288</v>
      </c>
      <c r="AK1782" s="104">
        <v>56173.540720348705</v>
      </c>
      <c r="AL1782" s="118">
        <v>190798405</v>
      </c>
      <c r="AM1782" s="118">
        <v>10987</v>
      </c>
      <c r="AN1782" s="118">
        <v>355681</v>
      </c>
      <c r="AO1782" s="118">
        <v>3351</v>
      </c>
      <c r="AP1782" s="118">
        <f t="shared" si="27"/>
        <v>4482</v>
      </c>
    </row>
    <row r="1783" spans="1:42" ht="12.75">
      <c r="A1783" s="106">
        <v>2018</v>
      </c>
      <c r="B1783" s="106">
        <v>-149231</v>
      </c>
      <c r="C1783" s="106">
        <v>0</v>
      </c>
      <c r="D1783" s="106">
        <v>149231</v>
      </c>
      <c r="E1783" s="106" t="s">
        <v>2845</v>
      </c>
      <c r="F1783" s="106" t="s">
        <v>2846</v>
      </c>
      <c r="G1783" s="106" t="s">
        <v>243</v>
      </c>
      <c r="H1783" s="106">
        <v>2</v>
      </c>
      <c r="I1783" s="106" t="s">
        <v>25</v>
      </c>
      <c r="J1783" s="106">
        <v>10214</v>
      </c>
      <c r="K1783" s="106">
        <v>13773</v>
      </c>
      <c r="L1783" s="106">
        <v>8143</v>
      </c>
      <c r="M1783" s="106">
        <v>0.39</v>
      </c>
      <c r="N1783" s="106">
        <v>0.56000000000000005</v>
      </c>
      <c r="O1783" s="106">
        <v>0.83</v>
      </c>
      <c r="P1783" s="106">
        <v>5121</v>
      </c>
      <c r="Q1783" s="106">
        <v>1977.7800734993875</v>
      </c>
      <c r="R1783" s="106">
        <v>0.18437140137468849</v>
      </c>
      <c r="S1783" s="106">
        <v>35481.685830951406</v>
      </c>
      <c r="T1783" s="106">
        <v>31930.579665169458</v>
      </c>
      <c r="U1783" s="106">
        <v>22184.984720076543</v>
      </c>
      <c r="V1783" s="106">
        <v>0.3943826052003051</v>
      </c>
      <c r="W1783" s="106">
        <v>115342.67690417691</v>
      </c>
      <c r="X1783" s="110">
        <v>0.6403502322264305</v>
      </c>
      <c r="Y1783" s="106">
        <v>502.734375</v>
      </c>
      <c r="Z1783" s="106">
        <v>17.93701171875</v>
      </c>
      <c r="AA1783" s="106">
        <v>79130.538274785096</v>
      </c>
      <c r="AB1783" s="106">
        <v>791.53594958431597</v>
      </c>
      <c r="AC1783" s="106">
        <v>1.2637346109379992</v>
      </c>
      <c r="AD1783" s="106">
        <v>28.740058601925494</v>
      </c>
      <c r="AE1783" s="106">
        <v>99.970870958345472</v>
      </c>
      <c r="AF1783" s="106">
        <v>0.1762373663071185</v>
      </c>
      <c r="AG1783" s="106">
        <v>7576</v>
      </c>
      <c r="AH1783" s="106">
        <v>34482.92217231523</v>
      </c>
      <c r="AI1783" s="106">
        <v>34495.718660677827</v>
      </c>
      <c r="AJ1783" s="106">
        <v>35544.634299714169</v>
      </c>
      <c r="AK1783" s="104">
        <v>27821.127970600246</v>
      </c>
      <c r="AL1783" s="119">
        <v>81274309</v>
      </c>
      <c r="AM1783" s="118">
        <v>11402</v>
      </c>
      <c r="AN1783" s="118">
        <v>343200</v>
      </c>
      <c r="AO1783" s="118">
        <v>2631</v>
      </c>
      <c r="AP1783" s="118">
        <f t="shared" si="27"/>
        <v>2638</v>
      </c>
    </row>
    <row r="1784" spans="1:42" ht="12.75">
      <c r="A1784" s="106">
        <v>2018</v>
      </c>
      <c r="B1784" s="106">
        <v>-161545</v>
      </c>
      <c r="C1784" s="106">
        <v>0</v>
      </c>
      <c r="D1784" s="106">
        <v>161545</v>
      </c>
      <c r="E1784" s="106" t="s">
        <v>2847</v>
      </c>
      <c r="F1784" s="106" t="s">
        <v>2848</v>
      </c>
      <c r="G1784" s="106" t="s">
        <v>301</v>
      </c>
      <c r="H1784" s="106">
        <v>4</v>
      </c>
      <c r="I1784" s="106" t="s">
        <v>24</v>
      </c>
      <c r="J1784" s="106">
        <v>3710</v>
      </c>
      <c r="K1784" s="106">
        <v>10191</v>
      </c>
      <c r="L1784" s="106">
        <v>8811</v>
      </c>
      <c r="M1784" s="106">
        <v>0.56999999999999995</v>
      </c>
      <c r="N1784" s="106">
        <v>0.43</v>
      </c>
      <c r="O1784" s="106">
        <v>0.38</v>
      </c>
      <c r="P1784" s="106">
        <v>1055</v>
      </c>
      <c r="Q1784" s="106">
        <v>94.35391487125591</v>
      </c>
      <c r="R1784" s="106">
        <v>1.8077770188691708E-2</v>
      </c>
      <c r="S1784" s="106">
        <v>10294.937992643196</v>
      </c>
      <c r="T1784" s="106">
        <v>10870.756437204414</v>
      </c>
      <c r="U1784" s="106">
        <v>10077.958905128162</v>
      </c>
      <c r="V1784" s="106">
        <v>0.5085335053488147</v>
      </c>
      <c r="W1784" s="106">
        <v>68540.983827493255</v>
      </c>
      <c r="X1784" s="110">
        <v>0.61460444129550718</v>
      </c>
      <c r="Y1784" s="106">
        <v>539.40944881889754</v>
      </c>
      <c r="Z1784" s="106">
        <v>17.981102362204723</v>
      </c>
      <c r="AA1784" s="106">
        <v>46662.666171432829</v>
      </c>
      <c r="AB1784" s="106">
        <v>335.94667477922297</v>
      </c>
      <c r="AC1784" s="106">
        <v>2.1430408548155486</v>
      </c>
      <c r="AD1784" s="106">
        <v>22.763777346995294</v>
      </c>
      <c r="AE1784" s="106">
        <v>138.89902676399026</v>
      </c>
      <c r="AF1784" s="106">
        <v>6.4465807250332094E-4</v>
      </c>
      <c r="AG1784" s="106">
        <v>2760</v>
      </c>
      <c r="AH1784" s="106">
        <v>10570.545191802417</v>
      </c>
      <c r="AI1784" s="106">
        <v>10669.771676300577</v>
      </c>
      <c r="AJ1784" s="106">
        <v>10317.281397792958</v>
      </c>
      <c r="AK1784" s="104">
        <v>10296.891749868628</v>
      </c>
      <c r="AL1784" s="119">
        <v>14377338</v>
      </c>
      <c r="AM1784" s="118">
        <v>5972</v>
      </c>
      <c r="AN1784" s="118">
        <v>114175</v>
      </c>
      <c r="AO1784" s="118">
        <v>785</v>
      </c>
      <c r="AP1784" s="118">
        <f t="shared" si="27"/>
        <v>950</v>
      </c>
    </row>
    <row r="1785" spans="1:42" ht="12.75">
      <c r="A1785" s="106">
        <v>2018</v>
      </c>
      <c r="B1785" s="106">
        <v>-228246</v>
      </c>
      <c r="C1785" s="106">
        <v>0</v>
      </c>
      <c r="D1785" s="106">
        <v>228246</v>
      </c>
      <c r="E1785" s="106" t="s">
        <v>2849</v>
      </c>
      <c r="F1785" s="106" t="s">
        <v>992</v>
      </c>
      <c r="G1785" s="106" t="s">
        <v>60</v>
      </c>
      <c r="H1785" s="106">
        <v>5</v>
      </c>
      <c r="I1785" s="106" t="s">
        <v>3639</v>
      </c>
      <c r="J1785" s="106">
        <v>52498</v>
      </c>
      <c r="K1785" s="106">
        <v>38562</v>
      </c>
      <c r="L1785" s="106">
        <v>28924</v>
      </c>
      <c r="M1785" s="106">
        <v>0.09</v>
      </c>
      <c r="N1785" s="106">
        <v>0.25</v>
      </c>
      <c r="O1785" s="106">
        <v>0.74</v>
      </c>
      <c r="P1785" s="106">
        <v>32591</v>
      </c>
      <c r="Q1785" s="106">
        <v>16640.445336740282</v>
      </c>
      <c r="R1785" s="106">
        <v>0.36808872273338367</v>
      </c>
      <c r="S1785" s="106">
        <v>50534.039058222304</v>
      </c>
      <c r="T1785" s="106">
        <v>51179.777331629863</v>
      </c>
      <c r="U1785" s="106">
        <v>37115.327773425248</v>
      </c>
      <c r="V1785" s="106">
        <v>0.76968892671723033</v>
      </c>
      <c r="W1785" s="106">
        <v>128543.45198119544</v>
      </c>
      <c r="X1785" s="110">
        <v>0.56880540914504985</v>
      </c>
      <c r="Y1785" s="106">
        <v>291.57700276243094</v>
      </c>
      <c r="Z1785" s="106">
        <v>11.351519337016574</v>
      </c>
      <c r="AA1785" s="106">
        <v>96513.944409395801</v>
      </c>
      <c r="AB1785" s="106">
        <v>1444.9540153309738</v>
      </c>
      <c r="AC1785" s="106">
        <v>1.0361197090424255</v>
      </c>
      <c r="AD1785" s="106">
        <v>41.71864171864172</v>
      </c>
      <c r="AE1785" s="106">
        <v>66.793782629330806</v>
      </c>
      <c r="AF1785" s="106">
        <v>4.8160644455107808E-2</v>
      </c>
      <c r="AG1785" s="106">
        <v>46594</v>
      </c>
      <c r="AH1785" s="106">
        <v>41117.995984668734</v>
      </c>
      <c r="AI1785" s="106">
        <v>50377.076108778972</v>
      </c>
      <c r="AJ1785" s="106">
        <v>59518.434020806715</v>
      </c>
      <c r="AK1785" s="104">
        <v>43582.861836101481</v>
      </c>
      <c r="AL1785" s="118"/>
      <c r="AM1785" s="118">
        <v>6452</v>
      </c>
      <c r="AN1785" s="118">
        <v>281469</v>
      </c>
      <c r="AO1785" s="118">
        <v>1907</v>
      </c>
      <c r="AP1785" s="118">
        <f t="shared" si="27"/>
        <v>5904</v>
      </c>
    </row>
    <row r="1786" spans="1:42" ht="12.75">
      <c r="A1786" s="106">
        <v>2018</v>
      </c>
      <c r="B1786" s="106">
        <v>-206862</v>
      </c>
      <c r="C1786" s="106">
        <v>0</v>
      </c>
      <c r="D1786" s="106">
        <v>206862</v>
      </c>
      <c r="E1786" s="106" t="s">
        <v>2850</v>
      </c>
      <c r="F1786" s="106" t="s">
        <v>359</v>
      </c>
      <c r="G1786" s="106" t="s">
        <v>271</v>
      </c>
      <c r="H1786" s="106">
        <v>6</v>
      </c>
      <c r="I1786" s="106" t="s">
        <v>3640</v>
      </c>
      <c r="J1786" s="106">
        <v>24968</v>
      </c>
      <c r="K1786" s="106">
        <v>18170</v>
      </c>
      <c r="L1786" s="106">
        <v>14591</v>
      </c>
      <c r="M1786" s="106">
        <v>0.44</v>
      </c>
      <c r="N1786" s="106">
        <v>0.62</v>
      </c>
      <c r="O1786" s="106">
        <v>0.99</v>
      </c>
      <c r="P1786" s="106">
        <v>15397</v>
      </c>
      <c r="Q1786" s="106">
        <v>8132.9774774774778</v>
      </c>
      <c r="R1786" s="106">
        <v>0.39960387554813481</v>
      </c>
      <c r="S1786" s="106">
        <v>22988.516516516516</v>
      </c>
      <c r="T1786" s="106">
        <v>23585.818818818818</v>
      </c>
      <c r="U1786" s="106">
        <v>17447.562562562562</v>
      </c>
      <c r="V1786" s="106">
        <v>0.70036267689570608</v>
      </c>
      <c r="W1786" s="106">
        <v>51015.01354401806</v>
      </c>
      <c r="X1786" s="110">
        <v>0.4795736253011334</v>
      </c>
      <c r="Y1786" s="106">
        <v>279.52561983471077</v>
      </c>
      <c r="Z1786" s="106">
        <v>9.9074380165289266</v>
      </c>
      <c r="AA1786" s="106">
        <v>48755.566433566433</v>
      </c>
      <c r="AB1786" s="106">
        <v>618.40715970977988</v>
      </c>
      <c r="AC1786" s="106">
        <v>2.0510478559665271</v>
      </c>
      <c r="AD1786" s="106">
        <v>33.380018674136316</v>
      </c>
      <c r="AE1786" s="106">
        <v>78.840559440559446</v>
      </c>
      <c r="AF1786" s="106">
        <v>3.3241672742930252E-2</v>
      </c>
      <c r="AG1786" s="106">
        <v>24200</v>
      </c>
      <c r="AH1786" s="106">
        <v>20820.080080080079</v>
      </c>
      <c r="AI1786" s="106">
        <v>22805.478978978979</v>
      </c>
      <c r="AJ1786" s="106">
        <v>24880.396896896898</v>
      </c>
      <c r="AK1786" s="104">
        <v>17447.562562562562</v>
      </c>
      <c r="AM1786" s="118">
        <v>1521</v>
      </c>
      <c r="AN1786" s="118">
        <v>56371</v>
      </c>
      <c r="AO1786" s="118">
        <v>413</v>
      </c>
      <c r="AP1786" s="118">
        <f t="shared" si="27"/>
        <v>768</v>
      </c>
    </row>
    <row r="1787" spans="1:42" ht="12.75">
      <c r="A1787" s="106">
        <v>2018</v>
      </c>
      <c r="B1787" s="106">
        <v>-183026</v>
      </c>
      <c r="C1787" s="106">
        <v>0</v>
      </c>
      <c r="D1787" s="106">
        <v>183026</v>
      </c>
      <c r="E1787" s="106" t="s">
        <v>2851</v>
      </c>
      <c r="F1787" s="106" t="s">
        <v>1871</v>
      </c>
      <c r="G1787" s="106" t="s">
        <v>179</v>
      </c>
      <c r="H1787" s="106">
        <v>6</v>
      </c>
      <c r="I1787" s="106" t="s">
        <v>3640</v>
      </c>
      <c r="J1787" s="106">
        <v>31136</v>
      </c>
      <c r="K1787" s="106">
        <v>39071</v>
      </c>
      <c r="L1787" s="106">
        <v>43038</v>
      </c>
      <c r="M1787" s="106">
        <v>0.45</v>
      </c>
      <c r="N1787" s="106">
        <v>0.62</v>
      </c>
      <c r="O1787" s="106">
        <v>0.33</v>
      </c>
      <c r="P1787" s="106">
        <v>16066</v>
      </c>
      <c r="Q1787" s="106">
        <v>852.73280882352947</v>
      </c>
      <c r="R1787" s="106">
        <v>7.6666877719572576E-2</v>
      </c>
      <c r="S1787" s="106">
        <v>10907.067455882352</v>
      </c>
      <c r="T1787" s="106">
        <v>9158.109529411764</v>
      </c>
      <c r="U1787" s="106">
        <v>8698.2127058823535</v>
      </c>
      <c r="V1787" s="106">
        <v>1.1806837535170174</v>
      </c>
      <c r="W1787" s="106">
        <v>70852.889393833466</v>
      </c>
      <c r="X1787" s="110">
        <v>0.54243624817713787</v>
      </c>
      <c r="Y1787" s="106">
        <v>931.79780289762766</v>
      </c>
      <c r="Z1787" s="106">
        <v>32.478904633020214</v>
      </c>
      <c r="AA1787" s="106">
        <v>33128.624621933457</v>
      </c>
      <c r="AB1787" s="106">
        <v>303.18639953169708</v>
      </c>
      <c r="AC1787" s="106">
        <v>3.0185376284469418</v>
      </c>
      <c r="AD1787" s="106">
        <v>35.584876327905448</v>
      </c>
      <c r="AE1787" s="106">
        <v>109.268175198835</v>
      </c>
      <c r="AF1787" s="106">
        <v>0.36310232945883719</v>
      </c>
      <c r="AG1787" s="106">
        <v>30756</v>
      </c>
      <c r="AH1787" s="106">
        <v>10770.619720588234</v>
      </c>
      <c r="AI1787" s="106">
        <v>10918.307676470587</v>
      </c>
      <c r="AJ1787" s="106">
        <v>11056.09505882353</v>
      </c>
      <c r="AK1787" s="104">
        <v>8698.2127058823535</v>
      </c>
      <c r="AL1787" s="118"/>
      <c r="AM1787" s="118">
        <v>70661</v>
      </c>
      <c r="AN1787" s="118">
        <v>1950874</v>
      </c>
      <c r="AO1787" s="118">
        <v>10876</v>
      </c>
      <c r="AP1787" s="118">
        <f t="shared" si="27"/>
        <v>380</v>
      </c>
    </row>
    <row r="1788" spans="1:42" ht="12.75">
      <c r="A1788" s="106">
        <v>2018</v>
      </c>
      <c r="B1788" s="106">
        <v>-210146</v>
      </c>
      <c r="C1788" s="106">
        <v>0</v>
      </c>
      <c r="D1788" s="106">
        <v>210146</v>
      </c>
      <c r="E1788" s="106" t="s">
        <v>2852</v>
      </c>
      <c r="F1788" s="106" t="s">
        <v>220</v>
      </c>
      <c r="G1788" s="106" t="s">
        <v>405</v>
      </c>
      <c r="H1788" s="106">
        <v>2</v>
      </c>
      <c r="I1788" s="106" t="s">
        <v>25</v>
      </c>
      <c r="J1788" s="106">
        <v>9287</v>
      </c>
      <c r="K1788" s="106">
        <v>10240</v>
      </c>
      <c r="L1788" s="106">
        <v>5758</v>
      </c>
      <c r="M1788" s="106">
        <v>0.33</v>
      </c>
      <c r="N1788" s="106">
        <v>0.53</v>
      </c>
      <c r="O1788" s="106">
        <v>0.61</v>
      </c>
      <c r="P1788" s="106">
        <v>3313</v>
      </c>
      <c r="Q1788" s="106">
        <v>1630.8417013812759</v>
      </c>
      <c r="R1788" s="106">
        <v>0.17611738151763465</v>
      </c>
      <c r="S1788" s="106">
        <v>19796.798289848717</v>
      </c>
      <c r="T1788" s="106">
        <v>20897.964919973689</v>
      </c>
      <c r="U1788" s="106">
        <v>12580.829864549933</v>
      </c>
      <c r="V1788" s="106">
        <v>0.60640900184920232</v>
      </c>
      <c r="W1788" s="106">
        <v>100514.74014436423</v>
      </c>
      <c r="X1788" s="110">
        <v>0.63307934487714279</v>
      </c>
      <c r="Y1788" s="106">
        <v>1002.9767441860465</v>
      </c>
      <c r="Z1788" s="106">
        <v>22.729235880398672</v>
      </c>
      <c r="AA1788" s="106">
        <v>43014.366575871252</v>
      </c>
      <c r="AB1788" s="106">
        <v>285.10396798340611</v>
      </c>
      <c r="AC1788" s="106">
        <v>2.3248046631958226</v>
      </c>
      <c r="AD1788" s="106">
        <v>27.972321241350389</v>
      </c>
      <c r="AE1788" s="106">
        <v>150.87256371814092</v>
      </c>
      <c r="AF1788" s="106">
        <v>0.16654446637214421</v>
      </c>
      <c r="AG1788" s="106">
        <v>7427</v>
      </c>
      <c r="AH1788" s="106">
        <v>18520.748739311555</v>
      </c>
      <c r="AI1788" s="106">
        <v>19428.962946722211</v>
      </c>
      <c r="AJ1788" s="106">
        <v>19920.832054374041</v>
      </c>
      <c r="AK1788" s="104">
        <v>15084.950230212673</v>
      </c>
      <c r="AL1788" s="118">
        <v>21550086</v>
      </c>
      <c r="AM1788" s="118">
        <v>5523</v>
      </c>
      <c r="AN1788" s="118">
        <v>201264</v>
      </c>
      <c r="AO1788" s="118">
        <v>904</v>
      </c>
      <c r="AP1788" s="118">
        <f t="shared" si="27"/>
        <v>1860</v>
      </c>
    </row>
    <row r="1789" spans="1:42" ht="12.75">
      <c r="A1789" s="106">
        <v>2018</v>
      </c>
      <c r="B1789" s="106">
        <v>-487162</v>
      </c>
      <c r="C1789" s="106">
        <v>0</v>
      </c>
      <c r="D1789" s="106">
        <v>487162</v>
      </c>
      <c r="E1789" s="106" t="s">
        <v>4197</v>
      </c>
      <c r="F1789" s="106" t="s">
        <v>1003</v>
      </c>
      <c r="G1789" s="106" t="s">
        <v>63</v>
      </c>
      <c r="H1789" s="106">
        <v>4</v>
      </c>
      <c r="I1789" s="106" t="s">
        <v>24</v>
      </c>
      <c r="J1789" s="106">
        <v>2704</v>
      </c>
      <c r="K1789" s="106">
        <v>774</v>
      </c>
      <c r="L1789" s="106">
        <v>132</v>
      </c>
      <c r="M1789" s="106">
        <v>0.84</v>
      </c>
      <c r="N1789" s="106">
        <v>0.01</v>
      </c>
      <c r="O1789" s="106">
        <v>0</v>
      </c>
      <c r="P1789" s="106"/>
      <c r="Q1789" s="106"/>
      <c r="R1789" s="106"/>
      <c r="S1789" s="106">
        <v>13713</v>
      </c>
      <c r="T1789" s="106">
        <v>14055.918464351005</v>
      </c>
      <c r="U1789" s="106">
        <v>11534.895429616088</v>
      </c>
      <c r="V1789" s="106">
        <v>0.29956473543327189</v>
      </c>
      <c r="W1789" s="106">
        <v>61994.411819887435</v>
      </c>
      <c r="X1789" s="110">
        <v>0.57302284162107597</v>
      </c>
      <c r="Y1789" s="106">
        <v>442.72122302158272</v>
      </c>
      <c r="Z1789" s="106">
        <v>14.757194244604316</v>
      </c>
      <c r="AA1789" s="106">
        <v>18590.417796110785</v>
      </c>
      <c r="AB1789" s="106">
        <v>384.49182825315961</v>
      </c>
      <c r="AC1789" s="106">
        <v>5.3791152569427751</v>
      </c>
      <c r="AD1789" s="106">
        <v>79.82126058325494</v>
      </c>
      <c r="AE1789" s="106">
        <v>48.350618738951091</v>
      </c>
      <c r="AF1789" s="106">
        <v>-3.8537892116501551E-3</v>
      </c>
      <c r="AG1789" s="106">
        <v>2136</v>
      </c>
      <c r="AH1789" s="106">
        <v>11132.952102376599</v>
      </c>
      <c r="AI1789" s="106">
        <v>11296.402559414992</v>
      </c>
      <c r="AJ1789" s="106">
        <v>13714.453016453383</v>
      </c>
      <c r="AK1789" s="104">
        <v>14004.69213893967</v>
      </c>
      <c r="AL1789" s="118">
        <v>16302803</v>
      </c>
      <c r="AM1789" s="118">
        <v>3884</v>
      </c>
      <c r="AN1789" s="118">
        <v>82051</v>
      </c>
      <c r="AO1789" s="118">
        <v>234</v>
      </c>
      <c r="AP1789" s="118">
        <f t="shared" si="27"/>
        <v>568</v>
      </c>
    </row>
    <row r="1790" spans="1:42" ht="12.75">
      <c r="A1790" s="106">
        <v>2018</v>
      </c>
      <c r="B1790" s="106">
        <v>-205966</v>
      </c>
      <c r="C1790" s="106">
        <v>0</v>
      </c>
      <c r="D1790" s="106">
        <v>205966</v>
      </c>
      <c r="E1790" s="106" t="s">
        <v>2853</v>
      </c>
      <c r="F1790" s="106" t="s">
        <v>1478</v>
      </c>
      <c r="G1790" s="106" t="s">
        <v>82</v>
      </c>
      <c r="H1790" s="106">
        <v>4</v>
      </c>
      <c r="I1790" s="106" t="s">
        <v>24</v>
      </c>
      <c r="J1790" s="106">
        <v>4412</v>
      </c>
      <c r="K1790" s="106">
        <v>6631</v>
      </c>
      <c r="L1790" s="106">
        <v>6051</v>
      </c>
      <c r="M1790" s="106">
        <v>0.67</v>
      </c>
      <c r="N1790" s="106">
        <v>0.52</v>
      </c>
      <c r="O1790" s="106">
        <v>0.27</v>
      </c>
      <c r="P1790" s="106">
        <v>1359</v>
      </c>
      <c r="Q1790" s="106">
        <v>138.17650566487777</v>
      </c>
      <c r="R1790" s="106">
        <v>3.1094383494623214E-2</v>
      </c>
      <c r="S1790" s="106">
        <v>12419.692307692309</v>
      </c>
      <c r="T1790" s="106">
        <v>9854.5897435897441</v>
      </c>
      <c r="U1790" s="106">
        <v>5082.7918328439882</v>
      </c>
      <c r="V1790" s="106">
        <v>0.847093608913984</v>
      </c>
      <c r="W1790" s="106">
        <v>68033.264758497317</v>
      </c>
      <c r="X1790" s="110">
        <v>0.76707928351357402</v>
      </c>
      <c r="Y1790" s="106">
        <v>695.40552995391715</v>
      </c>
      <c r="Z1790" s="106">
        <v>23.184331797235025</v>
      </c>
      <c r="AA1790" s="106">
        <v>22669.792297019598</v>
      </c>
      <c r="AB1790" s="106">
        <v>169.4567086872899</v>
      </c>
      <c r="AC1790" s="106">
        <v>4.4111564274520072</v>
      </c>
      <c r="AD1790" s="106">
        <v>24.884182660489742</v>
      </c>
      <c r="AE1790" s="106">
        <v>133.77925531914894</v>
      </c>
      <c r="AF1790" s="106">
        <v>55.511644440614432</v>
      </c>
      <c r="AG1790" s="106">
        <v>4232</v>
      </c>
      <c r="AH1790" s="106">
        <v>10948.215861657722</v>
      </c>
      <c r="AI1790" s="106">
        <v>10948.215861657722</v>
      </c>
      <c r="AJ1790" s="106">
        <v>12183.277877161598</v>
      </c>
      <c r="AK1790" s="104">
        <v>7268.7906976744189</v>
      </c>
      <c r="AL1790" s="119">
        <v>8006995</v>
      </c>
      <c r="AM1790" s="118">
        <v>2719</v>
      </c>
      <c r="AN1790" s="118">
        <v>50301</v>
      </c>
      <c r="AO1790" s="118">
        <v>306</v>
      </c>
      <c r="AP1790" s="118">
        <f t="shared" si="27"/>
        <v>180</v>
      </c>
    </row>
    <row r="1791" spans="1:42" ht="12.75">
      <c r="A1791" s="106">
        <v>2018</v>
      </c>
      <c r="B1791" s="106">
        <v>-251260</v>
      </c>
      <c r="C1791" s="106">
        <v>0</v>
      </c>
      <c r="D1791" s="106">
        <v>251260</v>
      </c>
      <c r="E1791" s="106" t="s">
        <v>2854</v>
      </c>
      <c r="F1791" s="106" t="s">
        <v>2855</v>
      </c>
      <c r="G1791" s="106" t="s">
        <v>85</v>
      </c>
      <c r="H1791" s="106">
        <v>4</v>
      </c>
      <c r="I1791" s="106" t="s">
        <v>24</v>
      </c>
      <c r="J1791" s="106">
        <v>4140</v>
      </c>
      <c r="K1791" s="106">
        <v>8694</v>
      </c>
      <c r="L1791" s="106">
        <v>8005</v>
      </c>
      <c r="M1791" s="106">
        <v>0.54</v>
      </c>
      <c r="N1791" s="106">
        <v>0.24</v>
      </c>
      <c r="O1791" s="106">
        <v>0.28999999999999998</v>
      </c>
      <c r="P1791" s="106">
        <v>4748</v>
      </c>
      <c r="Q1791" s="106">
        <v>742.99554156831891</v>
      </c>
      <c r="R1791" s="106">
        <v>0.17136032556164588</v>
      </c>
      <c r="S1791" s="106">
        <v>9337.0687123000262</v>
      </c>
      <c r="T1791" s="106">
        <v>9729.6383425124568</v>
      </c>
      <c r="U1791" s="106">
        <v>8124.9839944355244</v>
      </c>
      <c r="V1791" s="106">
        <v>0.44220040709781533</v>
      </c>
      <c r="W1791" s="106">
        <v>65437.817142857137</v>
      </c>
      <c r="X1791" s="110">
        <v>0.51446057561864489</v>
      </c>
      <c r="Y1791" s="106">
        <v>700.26734693877563</v>
      </c>
      <c r="Z1791" s="106">
        <v>23.344897959183676</v>
      </c>
      <c r="AA1791" s="106">
        <v>22965.577443130212</v>
      </c>
      <c r="AB1791" s="106">
        <v>270.86358245786005</v>
      </c>
      <c r="AC1791" s="106">
        <v>4.3543429398903886</v>
      </c>
      <c r="AD1791" s="106">
        <v>41.228606356968214</v>
      </c>
      <c r="AE1791" s="106">
        <v>84.786508524833209</v>
      </c>
      <c r="AF1791" s="106">
        <v>-1.8453548272286652E-2</v>
      </c>
      <c r="AG1791" s="106">
        <v>3570</v>
      </c>
      <c r="AH1791" s="106">
        <v>8384.4841332284286</v>
      </c>
      <c r="AI1791" s="106">
        <v>8388.9163388408069</v>
      </c>
      <c r="AJ1791" s="106">
        <v>9384.034356150014</v>
      </c>
      <c r="AK1791" s="104">
        <v>9139.2082349855755</v>
      </c>
      <c r="AL1791" s="119">
        <v>15280407</v>
      </c>
      <c r="AM1791" s="118">
        <v>4828</v>
      </c>
      <c r="AN1791" s="118">
        <v>114377</v>
      </c>
      <c r="AO1791" s="118">
        <v>667</v>
      </c>
      <c r="AP1791" s="118">
        <f t="shared" si="27"/>
        <v>570</v>
      </c>
    </row>
    <row r="1792" spans="1:42" ht="12.75">
      <c r="A1792" s="106">
        <v>2018</v>
      </c>
      <c r="B1792" s="106">
        <v>1884</v>
      </c>
      <c r="C1792" s="106">
        <v>1</v>
      </c>
      <c r="D1792" s="106">
        <v>160621</v>
      </c>
      <c r="E1792" s="106" t="s">
        <v>3878</v>
      </c>
      <c r="F1792" s="106" t="s">
        <v>305</v>
      </c>
      <c r="G1792" s="106" t="s">
        <v>306</v>
      </c>
      <c r="H1792" s="106">
        <v>2</v>
      </c>
      <c r="I1792" s="106" t="s">
        <v>25</v>
      </c>
      <c r="J1792" s="106">
        <v>8666</v>
      </c>
      <c r="K1792" s="106">
        <v>15856</v>
      </c>
      <c r="L1792" s="106">
        <v>15602</v>
      </c>
      <c r="M1792" s="106">
        <v>0.79</v>
      </c>
      <c r="N1792" s="106">
        <v>0.85</v>
      </c>
      <c r="O1792" s="106">
        <v>0.27</v>
      </c>
      <c r="P1792" s="106">
        <v>5237</v>
      </c>
      <c r="Q1792" s="106">
        <v>1424.4151155327343</v>
      </c>
      <c r="R1792" s="106">
        <v>0.13520781738794749</v>
      </c>
      <c r="S1792" s="106">
        <v>23963.156611039794</v>
      </c>
      <c r="T1792" s="106">
        <v>24577.317554557125</v>
      </c>
      <c r="U1792" s="106">
        <v>12545.295995531769</v>
      </c>
      <c r="V1792" s="106">
        <v>0.72621566712230212</v>
      </c>
      <c r="W1792" s="106">
        <v>80663.605665722382</v>
      </c>
      <c r="X1792" s="110">
        <v>0.61968239224198307</v>
      </c>
      <c r="Y1792" s="106">
        <v>344.61310782241014</v>
      </c>
      <c r="Z1792" s="106">
        <v>13.175475687103594</v>
      </c>
      <c r="AA1792" s="106">
        <v>65206.242405466204</v>
      </c>
      <c r="AB1792" s="106">
        <v>479.64003290851633</v>
      </c>
      <c r="AC1792" s="106">
        <v>1.533595501151237</v>
      </c>
      <c r="AD1792" s="106">
        <v>19.9534032284906</v>
      </c>
      <c r="AE1792" s="106">
        <v>135.94829024186822</v>
      </c>
      <c r="AF1792" s="106">
        <v>2.8354720055825393E-2</v>
      </c>
      <c r="AG1792" s="106">
        <v>4973</v>
      </c>
      <c r="AH1792" s="106">
        <v>23056.415436456995</v>
      </c>
      <c r="AI1792" s="106">
        <v>23163.568035943517</v>
      </c>
      <c r="AJ1792" s="106">
        <v>23991.185494223362</v>
      </c>
      <c r="AK1792" s="104">
        <v>17810.193677792042</v>
      </c>
      <c r="AL1792" s="119">
        <v>30702756</v>
      </c>
      <c r="AM1792" s="118">
        <v>5149</v>
      </c>
      <c r="AN1792" s="118">
        <v>163002</v>
      </c>
      <c r="AO1792" s="118">
        <v>736</v>
      </c>
      <c r="AP1792" s="118">
        <f t="shared" si="27"/>
        <v>3693</v>
      </c>
    </row>
    <row r="1793" spans="1:42" ht="12.75">
      <c r="A1793" s="106">
        <v>2018</v>
      </c>
      <c r="B1793" s="106">
        <v>-160630</v>
      </c>
      <c r="C1793" s="106">
        <v>0</v>
      </c>
      <c r="D1793" s="106">
        <v>160630</v>
      </c>
      <c r="E1793" s="106" t="s">
        <v>2856</v>
      </c>
      <c r="F1793" s="106" t="s">
        <v>1031</v>
      </c>
      <c r="G1793" s="106" t="s">
        <v>306</v>
      </c>
      <c r="H1793" s="106">
        <v>2</v>
      </c>
      <c r="I1793" s="106" t="s">
        <v>25</v>
      </c>
      <c r="J1793" s="106">
        <v>6421</v>
      </c>
      <c r="K1793" s="106">
        <v>5976</v>
      </c>
      <c r="L1793" s="106">
        <v>6867</v>
      </c>
      <c r="M1793" s="106">
        <v>0.84</v>
      </c>
      <c r="N1793" s="106">
        <v>0.56000000000000005</v>
      </c>
      <c r="O1793" s="106">
        <v>0.06</v>
      </c>
      <c r="P1793" s="106">
        <v>1251</v>
      </c>
      <c r="Q1793" s="106">
        <v>372.84869059165857</v>
      </c>
      <c r="R1793" s="106">
        <v>5.1589408661803296E-2</v>
      </c>
      <c r="S1793" s="106">
        <v>35724.459747817651</v>
      </c>
      <c r="T1793" s="106">
        <v>18944.189136760426</v>
      </c>
      <c r="U1793" s="106">
        <v>14954.683034280033</v>
      </c>
      <c r="V1793" s="106">
        <v>0.45834368821910149</v>
      </c>
      <c r="W1793" s="106">
        <v>68232.535469107563</v>
      </c>
      <c r="X1793" s="110">
        <v>0.50888190175654568</v>
      </c>
      <c r="Y1793" s="106">
        <v>591.53642384105956</v>
      </c>
      <c r="Z1793" s="106">
        <v>20.483443708609272</v>
      </c>
      <c r="AA1793" s="106">
        <v>64242.825868094646</v>
      </c>
      <c r="AB1793" s="106">
        <v>517.8436961222111</v>
      </c>
      <c r="AC1793" s="106">
        <v>1.5565940421942692</v>
      </c>
      <c r="AD1793" s="106">
        <v>22.878932316491898</v>
      </c>
      <c r="AE1793" s="106">
        <v>124.05833333333334</v>
      </c>
      <c r="AF1793" s="106">
        <v>3.7036852039151693</v>
      </c>
      <c r="AG1793" s="106">
        <v>4483</v>
      </c>
      <c r="AH1793" s="106">
        <v>34632.642580019397</v>
      </c>
      <c r="AI1793" s="106">
        <v>34714.69786614937</v>
      </c>
      <c r="AJ1793" s="106">
        <v>35733.193016488847</v>
      </c>
      <c r="AK1793" s="104">
        <v>17327.513094083413</v>
      </c>
      <c r="AL1793" s="118">
        <v>6748019</v>
      </c>
      <c r="AM1793" s="118">
        <v>2108</v>
      </c>
      <c r="AN1793" s="118">
        <v>59548</v>
      </c>
      <c r="AO1793" s="118">
        <v>313</v>
      </c>
      <c r="AP1793" s="118">
        <f t="shared" si="27"/>
        <v>1938</v>
      </c>
    </row>
    <row r="1794" spans="1:42" ht="12.75">
      <c r="A1794" s="106">
        <v>2018</v>
      </c>
      <c r="B1794" s="106">
        <v>-160649</v>
      </c>
      <c r="C1794" s="106">
        <v>0</v>
      </c>
      <c r="D1794" s="106">
        <v>160649</v>
      </c>
      <c r="E1794" s="106" t="s">
        <v>2857</v>
      </c>
      <c r="F1794" s="106" t="s">
        <v>645</v>
      </c>
      <c r="G1794" s="106" t="s">
        <v>306</v>
      </c>
      <c r="H1794" s="106">
        <v>4</v>
      </c>
      <c r="I1794" s="106" t="s">
        <v>24</v>
      </c>
      <c r="J1794" s="106">
        <v>4132</v>
      </c>
      <c r="K1794" s="106">
        <v>10652</v>
      </c>
      <c r="L1794" s="106">
        <v>10740</v>
      </c>
      <c r="M1794" s="106">
        <v>0.88</v>
      </c>
      <c r="N1794" s="106">
        <v>0.81</v>
      </c>
      <c r="O1794" s="106">
        <v>0.02</v>
      </c>
      <c r="P1794" s="106">
        <v>2096</v>
      </c>
      <c r="Q1794" s="106">
        <v>410.24561403508773</v>
      </c>
      <c r="R1794" s="106">
        <v>0.10204778958063015</v>
      </c>
      <c r="S1794" s="106">
        <v>15099.280701754386</v>
      </c>
      <c r="T1794" s="106">
        <v>14935.302987197723</v>
      </c>
      <c r="U1794" s="106">
        <v>10794.002273490336</v>
      </c>
      <c r="V1794" s="106">
        <v>0.33443449284938359</v>
      </c>
      <c r="W1794" s="106">
        <v>64343.848404255325</v>
      </c>
      <c r="X1794" s="110">
        <v>0.51205074366270908</v>
      </c>
      <c r="Y1794" s="106">
        <v>610.36012861736333</v>
      </c>
      <c r="Z1794" s="106">
        <v>20.344051446945336</v>
      </c>
      <c r="AA1794" s="106">
        <v>75379.307267520257</v>
      </c>
      <c r="AB1794" s="106">
        <v>359.77733025873374</v>
      </c>
      <c r="AC1794" s="106">
        <v>1.3266240248812742</v>
      </c>
      <c r="AD1794" s="106">
        <v>14.408396946564887</v>
      </c>
      <c r="AE1794" s="106">
        <v>209.51655629139074</v>
      </c>
      <c r="AF1794" s="106">
        <v>-0.10440128154127572</v>
      </c>
      <c r="AG1794" s="106">
        <v>2618</v>
      </c>
      <c r="AH1794" s="106">
        <v>13073.230915125652</v>
      </c>
      <c r="AI1794" s="106">
        <v>13088.267425320057</v>
      </c>
      <c r="AJ1794" s="106">
        <v>15112.497392128971</v>
      </c>
      <c r="AK1794" s="104">
        <v>13837.959696538644</v>
      </c>
      <c r="AL1794" s="119">
        <v>5707564</v>
      </c>
      <c r="AM1794" s="118">
        <v>3088</v>
      </c>
      <c r="AN1794" s="118">
        <v>63274</v>
      </c>
      <c r="AO1794" s="118">
        <v>207</v>
      </c>
      <c r="AP1794" s="118">
        <f t="shared" si="27"/>
        <v>1514</v>
      </c>
    </row>
    <row r="1795" spans="1:42" ht="12.75">
      <c r="A1795" s="106">
        <v>2018</v>
      </c>
      <c r="B1795" s="106">
        <v>-230603</v>
      </c>
      <c r="C1795" s="106">
        <v>0</v>
      </c>
      <c r="D1795" s="106">
        <v>230603</v>
      </c>
      <c r="E1795" s="106" t="s">
        <v>2858</v>
      </c>
      <c r="F1795" s="106" t="s">
        <v>2859</v>
      </c>
      <c r="G1795" s="106" t="s">
        <v>458</v>
      </c>
      <c r="H1795" s="106">
        <v>2</v>
      </c>
      <c r="I1795" s="106" t="s">
        <v>25</v>
      </c>
      <c r="J1795" s="106">
        <v>6676</v>
      </c>
      <c r="K1795" s="106">
        <v>14702</v>
      </c>
      <c r="L1795" s="106">
        <v>12518</v>
      </c>
      <c r="M1795" s="106">
        <v>0.3</v>
      </c>
      <c r="N1795" s="106">
        <v>0.54</v>
      </c>
      <c r="O1795" s="106">
        <v>0.79</v>
      </c>
      <c r="P1795" s="106">
        <v>6333</v>
      </c>
      <c r="Q1795" s="106">
        <v>1236.3236943786615</v>
      </c>
      <c r="R1795" s="106">
        <v>0.11970768661043513</v>
      </c>
      <c r="S1795" s="106">
        <v>17909.795712327061</v>
      </c>
      <c r="T1795" s="106">
        <v>18499.704349993768</v>
      </c>
      <c r="U1795" s="106">
        <v>12570.385668376504</v>
      </c>
      <c r="V1795" s="106">
        <v>0.72325003271893307</v>
      </c>
      <c r="W1795" s="106">
        <v>96081.780930760506</v>
      </c>
      <c r="X1795" s="110">
        <v>0.57031575968402981</v>
      </c>
      <c r="Y1795" s="106">
        <v>659.90790697674424</v>
      </c>
      <c r="Z1795" s="106">
        <v>22.389767441860467</v>
      </c>
      <c r="AA1795" s="106">
        <v>42788.37684233547</v>
      </c>
      <c r="AB1795" s="106">
        <v>426.49589252362779</v>
      </c>
      <c r="AC1795" s="106">
        <v>2.3370832777432793</v>
      </c>
      <c r="AD1795" s="106">
        <v>30.774252513382947</v>
      </c>
      <c r="AE1795" s="106">
        <v>100.32541366143403</v>
      </c>
      <c r="AF1795" s="106">
        <v>8.0987761989755897E-3</v>
      </c>
      <c r="AG1795" s="106">
        <v>5918</v>
      </c>
      <c r="AH1795" s="106">
        <v>18253.313099837967</v>
      </c>
      <c r="AI1795" s="106">
        <v>18748.481739997507</v>
      </c>
      <c r="AJ1795" s="106">
        <v>18224.541069425402</v>
      </c>
      <c r="AK1795" s="104">
        <v>17704.713324192944</v>
      </c>
      <c r="AL1795" s="118">
        <v>40688688</v>
      </c>
      <c r="AM1795" s="118">
        <v>8550</v>
      </c>
      <c r="AN1795" s="118">
        <v>236467</v>
      </c>
      <c r="AO1795" s="118">
        <v>1782</v>
      </c>
      <c r="AP1795" s="118">
        <f t="shared" si="27"/>
        <v>758</v>
      </c>
    </row>
    <row r="1796" spans="1:42" ht="12.75">
      <c r="A1796" s="106">
        <v>2018</v>
      </c>
      <c r="B1796" s="106">
        <v>-231086</v>
      </c>
      <c r="C1796" s="106">
        <v>0</v>
      </c>
      <c r="D1796" s="106">
        <v>231086</v>
      </c>
      <c r="E1796" s="106" t="s">
        <v>2860</v>
      </c>
      <c r="F1796" s="106" t="s">
        <v>344</v>
      </c>
      <c r="G1796" s="106" t="s">
        <v>345</v>
      </c>
      <c r="H1796" s="106">
        <v>7</v>
      </c>
      <c r="I1796" s="106" t="s">
        <v>3641</v>
      </c>
      <c r="J1796" s="106">
        <v>24775</v>
      </c>
      <c r="K1796" s="106">
        <v>20931</v>
      </c>
      <c r="L1796" s="106">
        <v>15737</v>
      </c>
      <c r="M1796" s="106">
        <v>0.39</v>
      </c>
      <c r="N1796" s="106">
        <v>0.81</v>
      </c>
      <c r="O1796" s="106">
        <v>1</v>
      </c>
      <c r="P1796" s="106">
        <v>14215</v>
      </c>
      <c r="Q1796" s="106">
        <v>10090.436031331592</v>
      </c>
      <c r="R1796" s="106">
        <v>0.45759035505479401</v>
      </c>
      <c r="S1796" s="106">
        <v>35770.926892950389</v>
      </c>
      <c r="T1796" s="106">
        <v>29406.172323759791</v>
      </c>
      <c r="U1796" s="106">
        <v>24066.433420365534</v>
      </c>
      <c r="V1796" s="106">
        <v>0.49699124833305197</v>
      </c>
      <c r="W1796" s="106">
        <v>50835.648648648646</v>
      </c>
      <c r="X1796" s="110">
        <v>0.50101886213476787</v>
      </c>
      <c r="Y1796" s="106">
        <v>358.71875</v>
      </c>
      <c r="Z1796" s="106">
        <v>11.96875</v>
      </c>
      <c r="AA1796" s="106">
        <v>118172.35897435897</v>
      </c>
      <c r="AB1796" s="106">
        <v>802.98318668873594</v>
      </c>
      <c r="AC1796" s="106">
        <v>0.84622157726154879</v>
      </c>
      <c r="AD1796" s="106">
        <v>22.413793103448278</v>
      </c>
      <c r="AE1796" s="106">
        <v>147.16666666666666</v>
      </c>
      <c r="AF1796" s="106">
        <v>0.28101603380435647</v>
      </c>
      <c r="AG1796" s="106">
        <v>24500</v>
      </c>
      <c r="AH1796" s="106">
        <v>19784.563968668408</v>
      </c>
      <c r="AI1796" s="106">
        <v>35377.725848563969</v>
      </c>
      <c r="AJ1796" s="106">
        <v>36268.770234986943</v>
      </c>
      <c r="AK1796" s="104">
        <v>24066.433420365534</v>
      </c>
      <c r="AM1796" s="118">
        <v>361</v>
      </c>
      <c r="AN1796" s="118">
        <v>11479</v>
      </c>
      <c r="AO1796" s="118">
        <v>78</v>
      </c>
      <c r="AP1796" s="118">
        <f t="shared" si="27"/>
        <v>275</v>
      </c>
    </row>
    <row r="1797" spans="1:42" ht="12.75">
      <c r="A1797" s="106">
        <v>2018</v>
      </c>
      <c r="B1797" s="106">
        <v>-233611</v>
      </c>
      <c r="C1797" s="106">
        <v>0</v>
      </c>
      <c r="D1797" s="106">
        <v>233611</v>
      </c>
      <c r="E1797" s="106" t="s">
        <v>2861</v>
      </c>
      <c r="F1797" s="106" t="s">
        <v>2862</v>
      </c>
      <c r="G1797" s="106" t="s">
        <v>261</v>
      </c>
      <c r="H1797" s="106">
        <v>7</v>
      </c>
      <c r="I1797" s="106" t="s">
        <v>3641</v>
      </c>
      <c r="J1797" s="106">
        <v>15900</v>
      </c>
      <c r="K1797" s="106">
        <v>19855</v>
      </c>
      <c r="L1797" s="106">
        <v>15279</v>
      </c>
      <c r="M1797" s="106">
        <v>0.42</v>
      </c>
      <c r="N1797" s="106">
        <v>0.61</v>
      </c>
      <c r="O1797" s="106">
        <v>0.97</v>
      </c>
      <c r="P1797" s="106">
        <v>4563</v>
      </c>
      <c r="Q1797" s="106">
        <v>4624.809579439252</v>
      </c>
      <c r="R1797" s="106">
        <v>0.28091114894906949</v>
      </c>
      <c r="S1797" s="106">
        <v>25654.875</v>
      </c>
      <c r="T1797" s="106">
        <v>25450.435747663552</v>
      </c>
      <c r="U1797" s="106">
        <v>23083.165887850468</v>
      </c>
      <c r="V1797" s="106">
        <v>0.51287562901110828</v>
      </c>
      <c r="W1797" s="106">
        <v>59277.346341463417</v>
      </c>
      <c r="X1797" s="110">
        <v>0.5577937289049042</v>
      </c>
      <c r="Y1797" s="106">
        <v>503.76470588235293</v>
      </c>
      <c r="Z1797" s="106">
        <v>16.784313725490197</v>
      </c>
      <c r="AA1797" s="106">
        <v>138176.15384615384</v>
      </c>
      <c r="AB1797" s="106">
        <v>769.07947999377234</v>
      </c>
      <c r="AC1797" s="106">
        <v>0.72371387693523881</v>
      </c>
      <c r="AD1797" s="106">
        <v>16.324200913242009</v>
      </c>
      <c r="AE1797" s="106">
        <v>179.66433566433565</v>
      </c>
      <c r="AF1797" s="106">
        <v>1.7282193795159689E-2</v>
      </c>
      <c r="AG1797" s="106">
        <v>15900</v>
      </c>
      <c r="AH1797" s="106">
        <v>16388.505841121496</v>
      </c>
      <c r="AI1797" s="106">
        <v>25654.875</v>
      </c>
      <c r="AJ1797" s="106">
        <v>25867.497663551403</v>
      </c>
      <c r="AK1797" s="104">
        <v>23083.165887850468</v>
      </c>
      <c r="AL1797" s="118"/>
      <c r="AM1797" s="118">
        <v>911</v>
      </c>
      <c r="AN1797" s="118">
        <v>25692</v>
      </c>
      <c r="AO1797" s="118">
        <v>143</v>
      </c>
      <c r="AP1797" s="118">
        <f t="shared" si="27"/>
        <v>0</v>
      </c>
    </row>
    <row r="1798" spans="1:42" ht="12.75">
      <c r="A1798" s="106">
        <v>2018</v>
      </c>
      <c r="B1798" s="106">
        <v>-217776</v>
      </c>
      <c r="C1798" s="106">
        <v>0</v>
      </c>
      <c r="D1798" s="106">
        <v>217776</v>
      </c>
      <c r="E1798" s="106" t="s">
        <v>2863</v>
      </c>
      <c r="F1798" s="106" t="s">
        <v>2864</v>
      </c>
      <c r="G1798" s="106" t="s">
        <v>79</v>
      </c>
      <c r="H1798" s="106">
        <v>6</v>
      </c>
      <c r="I1798" s="106" t="s">
        <v>3640</v>
      </c>
      <c r="J1798" s="106">
        <v>24700</v>
      </c>
      <c r="K1798" s="106">
        <v>16578</v>
      </c>
      <c r="L1798" s="106">
        <v>16524</v>
      </c>
      <c r="M1798" s="106">
        <v>0.52</v>
      </c>
      <c r="N1798" s="106">
        <v>0.72</v>
      </c>
      <c r="O1798" s="106">
        <v>0.99</v>
      </c>
      <c r="P1798" s="106">
        <v>12242</v>
      </c>
      <c r="Q1798" s="106">
        <v>6601.4098484848482</v>
      </c>
      <c r="R1798" s="106">
        <v>0.35157904640994103</v>
      </c>
      <c r="S1798" s="106">
        <v>18794.94318181818</v>
      </c>
      <c r="T1798" s="106">
        <v>20585.710606060606</v>
      </c>
      <c r="U1798" s="106">
        <v>15128.056818181818</v>
      </c>
      <c r="V1798" s="106">
        <v>0.80479933056354502</v>
      </c>
      <c r="W1798" s="106">
        <v>54754.720990873539</v>
      </c>
      <c r="X1798" s="110">
        <v>0.51517631125267904</v>
      </c>
      <c r="Y1798" s="106">
        <v>453.48425196850388</v>
      </c>
      <c r="Z1798" s="106">
        <v>15.590551181102361</v>
      </c>
      <c r="AA1798" s="106">
        <v>41951.754201680669</v>
      </c>
      <c r="AB1798" s="106">
        <v>520.09467378564921</v>
      </c>
      <c r="AC1798" s="106">
        <v>2.3836905488923223</v>
      </c>
      <c r="AD1798" s="106">
        <v>40.788346186803771</v>
      </c>
      <c r="AE1798" s="106">
        <v>80.661764705882348</v>
      </c>
      <c r="AF1798" s="106">
        <v>2.7221009363800043E-2</v>
      </c>
      <c r="AG1798" s="106">
        <v>24200</v>
      </c>
      <c r="AH1798" s="106">
        <v>16617.843181818182</v>
      </c>
      <c r="AI1798" s="106">
        <v>18751.24090909091</v>
      </c>
      <c r="AJ1798" s="106">
        <v>21184.095454545455</v>
      </c>
      <c r="AK1798" s="104">
        <v>15128.056818181818</v>
      </c>
      <c r="AL1798" s="118"/>
      <c r="AM1798" s="118">
        <v>1360</v>
      </c>
      <c r="AN1798" s="118">
        <v>38395</v>
      </c>
      <c r="AO1798" s="118">
        <v>358</v>
      </c>
      <c r="AP1798" s="118">
        <f t="shared" ref="AP1798:AP1861" si="28">J1798-AG1798</f>
        <v>500</v>
      </c>
    </row>
    <row r="1799" spans="1:42" ht="12.75">
      <c r="A1799" s="106">
        <v>2018</v>
      </c>
      <c r="B1799" s="106">
        <v>-237817</v>
      </c>
      <c r="C1799" s="106">
        <v>0</v>
      </c>
      <c r="D1799" s="106">
        <v>237817</v>
      </c>
      <c r="E1799" s="106" t="s">
        <v>2865</v>
      </c>
      <c r="F1799" s="106" t="s">
        <v>2866</v>
      </c>
      <c r="G1799" s="106" t="s">
        <v>110</v>
      </c>
      <c r="H1799" s="106">
        <v>4</v>
      </c>
      <c r="I1799" s="106" t="s">
        <v>24</v>
      </c>
      <c r="J1799" s="106">
        <v>3724</v>
      </c>
      <c r="K1799" s="106">
        <v>6047</v>
      </c>
      <c r="L1799" s="106">
        <v>5427</v>
      </c>
      <c r="M1799" s="106">
        <v>0.77</v>
      </c>
      <c r="N1799" s="106">
        <v>0.22</v>
      </c>
      <c r="O1799" s="106">
        <v>0.11</v>
      </c>
      <c r="P1799" s="106">
        <v>2549</v>
      </c>
      <c r="Q1799" s="106">
        <v>383.72167487684732</v>
      </c>
      <c r="R1799" s="106">
        <v>8.5640686696946203E-2</v>
      </c>
      <c r="S1799" s="106">
        <v>16196.344827586207</v>
      </c>
      <c r="T1799" s="106">
        <v>16186.730706075534</v>
      </c>
      <c r="U1799" s="106">
        <v>10660.364213070519</v>
      </c>
      <c r="V1799" s="106">
        <v>0.38430942953183922</v>
      </c>
      <c r="W1799" s="106">
        <v>59197.914179104482</v>
      </c>
      <c r="X1799" s="110">
        <v>0.53646761487114814</v>
      </c>
      <c r="Y1799" s="106">
        <v>421.71923076923076</v>
      </c>
      <c r="Z1799" s="106">
        <v>14.053846153846154</v>
      </c>
      <c r="AA1799" s="106">
        <v>30988.839168305232</v>
      </c>
      <c r="AB1799" s="106">
        <v>355.25797180551837</v>
      </c>
      <c r="AC1799" s="106">
        <v>3.2269682467576266</v>
      </c>
      <c r="AD1799" s="106">
        <v>31.646525679758309</v>
      </c>
      <c r="AE1799" s="106">
        <v>87.229116945107393</v>
      </c>
      <c r="AF1799" s="106">
        <v>1.6691084710056366E-2</v>
      </c>
      <c r="AG1799" s="106">
        <v>3504</v>
      </c>
      <c r="AH1799" s="106">
        <v>15752.993431855501</v>
      </c>
      <c r="AI1799" s="106">
        <v>15806.413793103447</v>
      </c>
      <c r="AJ1799" s="106">
        <v>16302.747126436781</v>
      </c>
      <c r="AK1799" s="104">
        <v>13077.150246305418</v>
      </c>
      <c r="AL1799" s="118">
        <v>7626471</v>
      </c>
      <c r="AM1799" s="118">
        <v>1621</v>
      </c>
      <c r="AN1799" s="118">
        <v>36549</v>
      </c>
      <c r="AO1799" s="118">
        <v>309</v>
      </c>
      <c r="AP1799" s="118">
        <f t="shared" si="28"/>
        <v>220</v>
      </c>
    </row>
    <row r="1800" spans="1:42" ht="12.75">
      <c r="A1800" s="106">
        <v>2018</v>
      </c>
      <c r="B1800" s="106">
        <v>-233639</v>
      </c>
      <c r="C1800" s="106">
        <v>0</v>
      </c>
      <c r="D1800" s="106">
        <v>233639</v>
      </c>
      <c r="E1800" s="106" t="s">
        <v>2867</v>
      </c>
      <c r="F1800" s="106" t="s">
        <v>2868</v>
      </c>
      <c r="G1800" s="106" t="s">
        <v>261</v>
      </c>
      <c r="H1800" s="106">
        <v>4</v>
      </c>
      <c r="I1800" s="106" t="s">
        <v>24</v>
      </c>
      <c r="J1800" s="106">
        <v>4583</v>
      </c>
      <c r="K1800" s="106">
        <v>7612</v>
      </c>
      <c r="L1800" s="106">
        <v>7267</v>
      </c>
      <c r="M1800" s="106">
        <v>0.72</v>
      </c>
      <c r="N1800" s="106">
        <v>0</v>
      </c>
      <c r="O1800" s="106">
        <v>0.19</v>
      </c>
      <c r="P1800" s="106">
        <v>1657</v>
      </c>
      <c r="Q1800" s="106">
        <v>20.998602050326188</v>
      </c>
      <c r="R1800" s="106">
        <v>3.7670959471304138E-3</v>
      </c>
      <c r="S1800" s="106">
        <v>13435.367660764212</v>
      </c>
      <c r="T1800" s="106">
        <v>13009.762814538677</v>
      </c>
      <c r="U1800" s="106">
        <v>11145.93868438806</v>
      </c>
      <c r="V1800" s="106">
        <v>0.49822777367280141</v>
      </c>
      <c r="W1800" s="106">
        <v>81154.987558320368</v>
      </c>
      <c r="X1800" s="110">
        <v>0.62302552126689859</v>
      </c>
      <c r="Y1800" s="106">
        <v>715.26666666666665</v>
      </c>
      <c r="Z1800" s="106">
        <v>23.844444444444445</v>
      </c>
      <c r="AA1800" s="106">
        <v>21529.418916918788</v>
      </c>
      <c r="AB1800" s="106">
        <v>371.56591817654294</v>
      </c>
      <c r="AC1800" s="106">
        <v>4.6448072001337426</v>
      </c>
      <c r="AD1800" s="106">
        <v>56.281661600810537</v>
      </c>
      <c r="AE1800" s="106">
        <v>57.94239423942394</v>
      </c>
      <c r="AF1800" s="106">
        <v>0.24404321686675634</v>
      </c>
      <c r="AG1800" s="106">
        <v>4253</v>
      </c>
      <c r="AH1800" s="106">
        <v>12961.309878844362</v>
      </c>
      <c r="AI1800" s="106">
        <v>13040.332246039143</v>
      </c>
      <c r="AJ1800" s="106">
        <v>13445.803821062442</v>
      </c>
      <c r="AK1800" s="104">
        <v>12906.236253494873</v>
      </c>
      <c r="AL1800" s="118">
        <v>12905821</v>
      </c>
      <c r="AM1800" s="118">
        <v>3611</v>
      </c>
      <c r="AN1800" s="118">
        <v>64374</v>
      </c>
      <c r="AO1800" s="118">
        <v>500</v>
      </c>
      <c r="AP1800" s="118">
        <f t="shared" si="28"/>
        <v>330</v>
      </c>
    </row>
    <row r="1801" spans="1:42" ht="12.75">
      <c r="A1801" s="106">
        <v>2018</v>
      </c>
      <c r="B1801" s="106">
        <v>-179326</v>
      </c>
      <c r="C1801" s="106">
        <v>0</v>
      </c>
      <c r="D1801" s="106">
        <v>179326</v>
      </c>
      <c r="E1801" s="106" t="s">
        <v>2869</v>
      </c>
      <c r="F1801" s="106" t="s">
        <v>2870</v>
      </c>
      <c r="G1801" s="106" t="s">
        <v>264</v>
      </c>
      <c r="H1801" s="106">
        <v>6</v>
      </c>
      <c r="I1801" s="106" t="s">
        <v>3640</v>
      </c>
      <c r="J1801" s="106">
        <v>23290</v>
      </c>
      <c r="K1801" s="106">
        <v>17765</v>
      </c>
      <c r="L1801" s="106">
        <v>16984</v>
      </c>
      <c r="M1801" s="106">
        <v>0.54</v>
      </c>
      <c r="N1801" s="106">
        <v>0.67</v>
      </c>
      <c r="O1801" s="106">
        <v>0.77</v>
      </c>
      <c r="P1801" s="106">
        <v>15391</v>
      </c>
      <c r="Q1801" s="106">
        <v>7594.6106261859586</v>
      </c>
      <c r="R1801" s="106">
        <v>0.41112260525662059</v>
      </c>
      <c r="S1801" s="106">
        <v>16330.562049335864</v>
      </c>
      <c r="T1801" s="106">
        <v>16528.029222011384</v>
      </c>
      <c r="U1801" s="106">
        <v>14048.889943074004</v>
      </c>
      <c r="V1801" s="106">
        <v>0.77431385247911033</v>
      </c>
      <c r="W1801" s="106">
        <v>62166.269110764435</v>
      </c>
      <c r="X1801" s="110">
        <v>0.60998602179031991</v>
      </c>
      <c r="Y1801" s="106">
        <v>338.59903381642511</v>
      </c>
      <c r="Z1801" s="106">
        <v>12.729468599033817</v>
      </c>
      <c r="AA1801" s="106">
        <v>47217.889030612248</v>
      </c>
      <c r="AB1801" s="106">
        <v>528.16129262376944</v>
      </c>
      <c r="AC1801" s="106">
        <v>2.117841395560232</v>
      </c>
      <c r="AD1801" s="106">
        <v>29.155820007437711</v>
      </c>
      <c r="AE1801" s="106">
        <v>89.400510204081627</v>
      </c>
      <c r="AF1801" s="106">
        <v>3.374695795851039E-2</v>
      </c>
      <c r="AG1801" s="106">
        <v>22400</v>
      </c>
      <c r="AH1801" s="106">
        <v>14344.415180265654</v>
      </c>
      <c r="AI1801" s="106">
        <v>16330.562049335864</v>
      </c>
      <c r="AJ1801" s="106">
        <v>17252.891081593927</v>
      </c>
      <c r="AK1801" s="104">
        <v>14048.889943074004</v>
      </c>
      <c r="AL1801" s="118"/>
      <c r="AM1801" s="118">
        <v>2822</v>
      </c>
      <c r="AN1801" s="118">
        <v>70090</v>
      </c>
      <c r="AO1801" s="118">
        <v>545</v>
      </c>
      <c r="AP1801" s="118">
        <f t="shared" si="28"/>
        <v>890</v>
      </c>
    </row>
    <row r="1802" spans="1:42" ht="12.75">
      <c r="A1802" s="106">
        <v>2018</v>
      </c>
      <c r="B1802" s="106">
        <v>-175078</v>
      </c>
      <c r="C1802" s="106">
        <v>0</v>
      </c>
      <c r="D1802" s="106">
        <v>175078</v>
      </c>
      <c r="E1802" s="106" t="s">
        <v>2871</v>
      </c>
      <c r="F1802" s="106" t="s">
        <v>1099</v>
      </c>
      <c r="G1802" s="106" t="s">
        <v>113</v>
      </c>
      <c r="H1802" s="106">
        <v>2</v>
      </c>
      <c r="I1802" s="106" t="s">
        <v>25</v>
      </c>
      <c r="J1802" s="106">
        <v>8610</v>
      </c>
      <c r="K1802" s="106">
        <v>14604</v>
      </c>
      <c r="L1802" s="106">
        <v>11082</v>
      </c>
      <c r="M1802" s="106">
        <v>0.37</v>
      </c>
      <c r="N1802" s="106">
        <v>0.65</v>
      </c>
      <c r="O1802" s="106">
        <v>0.78</v>
      </c>
      <c r="P1802" s="106">
        <v>2757</v>
      </c>
      <c r="Q1802" s="106">
        <v>788.41807909604518</v>
      </c>
      <c r="R1802" s="106">
        <v>0.1316323161816724</v>
      </c>
      <c r="S1802" s="106">
        <v>14462.994350282486</v>
      </c>
      <c r="T1802" s="106">
        <v>15864.97175141243</v>
      </c>
      <c r="U1802" s="106">
        <v>12124.626642718171</v>
      </c>
      <c r="V1802" s="106">
        <v>0.42897237966717339</v>
      </c>
      <c r="W1802" s="106">
        <v>109865.92741935483</v>
      </c>
      <c r="X1802" s="110">
        <v>0.64686086677824861</v>
      </c>
      <c r="Y1802" s="106">
        <v>714.86498855835248</v>
      </c>
      <c r="Z1802" s="106">
        <v>24.302059496567509</v>
      </c>
      <c r="AA1802" s="106">
        <v>61668.359648307938</v>
      </c>
      <c r="AB1802" s="106">
        <v>412.18048549170595</v>
      </c>
      <c r="AC1802" s="106">
        <v>1.621577103238935</v>
      </c>
      <c r="AD1802" s="106">
        <v>16.559600285510349</v>
      </c>
      <c r="AE1802" s="106">
        <v>149.61494252873564</v>
      </c>
      <c r="AF1802" s="106">
        <v>-8.6914456179956467E-2</v>
      </c>
      <c r="AG1802" s="106">
        <v>7496</v>
      </c>
      <c r="AH1802" s="106">
        <v>14264.406779661016</v>
      </c>
      <c r="AI1802" s="106">
        <v>14893.785310734464</v>
      </c>
      <c r="AJ1802" s="106">
        <v>14548.587570621468</v>
      </c>
      <c r="AK1802" s="104">
        <v>12789.265536723164</v>
      </c>
      <c r="AL1802" s="118">
        <v>19744000</v>
      </c>
      <c r="AM1802" s="118">
        <v>6713</v>
      </c>
      <c r="AN1802" s="118">
        <v>104132</v>
      </c>
      <c r="AO1802" s="118">
        <v>475</v>
      </c>
      <c r="AP1802" s="118">
        <f t="shared" si="28"/>
        <v>1114</v>
      </c>
    </row>
    <row r="1803" spans="1:42" ht="12.75">
      <c r="A1803" s="106">
        <v>2018</v>
      </c>
      <c r="B1803" s="106">
        <v>-176354</v>
      </c>
      <c r="C1803" s="106">
        <v>0</v>
      </c>
      <c r="D1803" s="106">
        <v>176354</v>
      </c>
      <c r="E1803" s="106" t="s">
        <v>2872</v>
      </c>
      <c r="F1803" s="106" t="s">
        <v>2873</v>
      </c>
      <c r="G1803" s="106" t="s">
        <v>107</v>
      </c>
      <c r="H1803" s="106">
        <v>4</v>
      </c>
      <c r="I1803" s="106" t="s">
        <v>24</v>
      </c>
      <c r="J1803" s="106">
        <v>3200</v>
      </c>
      <c r="K1803" s="106">
        <v>5201</v>
      </c>
      <c r="L1803" s="106">
        <v>4064</v>
      </c>
      <c r="M1803" s="106">
        <v>0.72</v>
      </c>
      <c r="N1803" s="106">
        <v>0</v>
      </c>
      <c r="O1803" s="106">
        <v>0.49</v>
      </c>
      <c r="P1803" s="106">
        <v>2638</v>
      </c>
      <c r="Q1803" s="106">
        <v>995.53553719008266</v>
      </c>
      <c r="R1803" s="106">
        <v>0.26583605939942934</v>
      </c>
      <c r="S1803" s="106">
        <v>13530.96694214876</v>
      </c>
      <c r="T1803" s="106">
        <v>13679.449035812671</v>
      </c>
      <c r="U1803" s="106">
        <v>8419.3294765840219</v>
      </c>
      <c r="V1803" s="106">
        <v>0.32655656670407457</v>
      </c>
      <c r="W1803" s="106">
        <v>69796.875630252092</v>
      </c>
      <c r="X1803" s="110">
        <v>0.55755338687460232</v>
      </c>
      <c r="Y1803" s="106">
        <v>746.08219178082197</v>
      </c>
      <c r="Z1803" s="106">
        <v>24.863013698630137</v>
      </c>
      <c r="AA1803" s="106">
        <v>28832.232075471697</v>
      </c>
      <c r="AB1803" s="106">
        <v>280.57217611633371</v>
      </c>
      <c r="AC1803" s="106">
        <v>3.4683405619876546</v>
      </c>
      <c r="AD1803" s="106">
        <v>31.231585150265172</v>
      </c>
      <c r="AE1803" s="106">
        <v>102.76226415094339</v>
      </c>
      <c r="AF1803" s="106">
        <v>-4.4162509554035992E-3</v>
      </c>
      <c r="AG1803" s="106">
        <v>2800</v>
      </c>
      <c r="AH1803" s="106">
        <v>12384.771900826447</v>
      </c>
      <c r="AI1803" s="106">
        <v>12514.216528925619</v>
      </c>
      <c r="AJ1803" s="106">
        <v>13603.249586776859</v>
      </c>
      <c r="AK1803" s="104">
        <v>9655.6165289256205</v>
      </c>
      <c r="AL1803" s="119">
        <v>11456295</v>
      </c>
      <c r="AM1803" s="118">
        <v>1959</v>
      </c>
      <c r="AN1803" s="118">
        <v>54464</v>
      </c>
      <c r="AO1803" s="118">
        <v>436</v>
      </c>
      <c r="AP1803" s="118">
        <f t="shared" si="28"/>
        <v>400</v>
      </c>
    </row>
    <row r="1804" spans="1:42" ht="12.75">
      <c r="A1804" s="106">
        <v>2018</v>
      </c>
      <c r="B1804" s="106">
        <v>-221485</v>
      </c>
      <c r="C1804" s="106">
        <v>0</v>
      </c>
      <c r="D1804" s="106">
        <v>221485</v>
      </c>
      <c r="E1804" s="106" t="s">
        <v>2874</v>
      </c>
      <c r="F1804" s="106" t="s">
        <v>733</v>
      </c>
      <c r="G1804" s="106" t="s">
        <v>255</v>
      </c>
      <c r="H1804" s="106">
        <v>4</v>
      </c>
      <c r="I1804" s="106" t="s">
        <v>24</v>
      </c>
      <c r="J1804" s="106">
        <v>4155</v>
      </c>
      <c r="K1804" s="106">
        <v>5373</v>
      </c>
      <c r="L1804" s="106">
        <v>5201</v>
      </c>
      <c r="M1804" s="106">
        <v>0.71</v>
      </c>
      <c r="N1804" s="106">
        <v>0</v>
      </c>
      <c r="O1804" s="106">
        <v>0.05</v>
      </c>
      <c r="P1804" s="106">
        <v>4520</v>
      </c>
      <c r="Q1804" s="106">
        <v>406.64839659685862</v>
      </c>
      <c r="R1804" s="106">
        <v>8.1015376243714701E-2</v>
      </c>
      <c r="S1804" s="106">
        <v>12644.729712041884</v>
      </c>
      <c r="T1804" s="106">
        <v>13124.098003926701</v>
      </c>
      <c r="U1804" s="106">
        <v>9948.0378503951652</v>
      </c>
      <c r="V1804" s="106">
        <v>0.46368433804928744</v>
      </c>
      <c r="W1804" s="106">
        <v>56878.683348095663</v>
      </c>
      <c r="X1804" s="110">
        <v>0.53370270883861659</v>
      </c>
      <c r="Y1804" s="106">
        <v>635.89595375722547</v>
      </c>
      <c r="Z1804" s="106">
        <v>21.197687861271678</v>
      </c>
      <c r="AA1804" s="106">
        <v>50500.338323600699</v>
      </c>
      <c r="AB1804" s="106">
        <v>331.61934737723067</v>
      </c>
      <c r="AC1804" s="106">
        <v>1.9801847535992894</v>
      </c>
      <c r="AD1804" s="106">
        <v>18.912975180647187</v>
      </c>
      <c r="AE1804" s="106">
        <v>152.28405315614617</v>
      </c>
      <c r="AF1804" s="106">
        <v>-4.2871782843219531E-3</v>
      </c>
      <c r="AG1804" s="106">
        <v>3840</v>
      </c>
      <c r="AH1804" s="106">
        <v>11502.098331151832</v>
      </c>
      <c r="AI1804" s="106">
        <v>11514.829188481675</v>
      </c>
      <c r="AJ1804" s="106">
        <v>12754.918684554974</v>
      </c>
      <c r="AK1804" s="104">
        <v>12691.326897905759</v>
      </c>
      <c r="AL1804" s="118">
        <v>27405500</v>
      </c>
      <c r="AM1804" s="118">
        <v>9099</v>
      </c>
      <c r="AN1804" s="118">
        <v>183350</v>
      </c>
      <c r="AO1804" s="118">
        <v>1024</v>
      </c>
      <c r="AP1804" s="118">
        <f t="shared" si="28"/>
        <v>315</v>
      </c>
    </row>
    <row r="1805" spans="1:42" ht="12.75">
      <c r="A1805" s="106">
        <v>2018</v>
      </c>
      <c r="B1805" s="106">
        <v>-228316</v>
      </c>
      <c r="C1805" s="106">
        <v>0</v>
      </c>
      <c r="D1805" s="106">
        <v>228316</v>
      </c>
      <c r="E1805" s="106" t="s">
        <v>2875</v>
      </c>
      <c r="F1805" s="106" t="s">
        <v>2876</v>
      </c>
      <c r="G1805" s="106" t="s">
        <v>60</v>
      </c>
      <c r="H1805" s="106">
        <v>4</v>
      </c>
      <c r="I1805" s="106" t="s">
        <v>24</v>
      </c>
      <c r="J1805" s="106">
        <v>2286</v>
      </c>
      <c r="K1805" s="106">
        <v>7140</v>
      </c>
      <c r="L1805" s="106">
        <v>6512</v>
      </c>
      <c r="M1805" s="106">
        <v>0.77</v>
      </c>
      <c r="N1805" s="106">
        <v>0.09</v>
      </c>
      <c r="O1805" s="106">
        <v>0.16</v>
      </c>
      <c r="P1805" s="106">
        <v>636</v>
      </c>
      <c r="Q1805" s="106"/>
      <c r="R1805" s="106"/>
      <c r="S1805" s="106">
        <v>10324.364912280702</v>
      </c>
      <c r="T1805" s="106">
        <v>10051.735087719298</v>
      </c>
      <c r="U1805" s="106">
        <v>6574.6886196224841</v>
      </c>
      <c r="V1805" s="106">
        <v>0.91845873620216945</v>
      </c>
      <c r="W1805" s="106">
        <v>61219.811501597447</v>
      </c>
      <c r="X1805" s="110">
        <v>0.63703182904144806</v>
      </c>
      <c r="Y1805" s="106">
        <v>785.83588621444198</v>
      </c>
      <c r="Z1805" s="106">
        <v>26.192560175054702</v>
      </c>
      <c r="AA1805" s="106">
        <v>24267.352074277256</v>
      </c>
      <c r="AB1805" s="106">
        <v>219.1398106432575</v>
      </c>
      <c r="AC1805" s="106">
        <v>4.1207627306811663</v>
      </c>
      <c r="AD1805" s="106">
        <v>30.356641392867171</v>
      </c>
      <c r="AE1805" s="106">
        <v>110.73913043478261</v>
      </c>
      <c r="AF1805" s="106">
        <v>0.10442304941930017</v>
      </c>
      <c r="AG1805" s="106">
        <v>1416</v>
      </c>
      <c r="AH1805" s="106">
        <v>11626.450626566417</v>
      </c>
      <c r="AI1805" s="106">
        <v>11636.458395989976</v>
      </c>
      <c r="AJ1805" s="106">
        <v>10345.434335839598</v>
      </c>
      <c r="AK1805" s="104">
        <v>8117.2984962406017</v>
      </c>
      <c r="AL1805" s="119">
        <v>14825618</v>
      </c>
      <c r="AM1805" s="118">
        <v>6660</v>
      </c>
      <c r="AN1805" s="118">
        <v>119709</v>
      </c>
      <c r="AO1805" s="118">
        <v>668</v>
      </c>
      <c r="AP1805" s="118">
        <f t="shared" si="28"/>
        <v>870</v>
      </c>
    </row>
    <row r="1806" spans="1:42" ht="12.75">
      <c r="A1806" s="106">
        <v>2018</v>
      </c>
      <c r="B1806" s="106">
        <v>-233648</v>
      </c>
      <c r="C1806" s="106">
        <v>0</v>
      </c>
      <c r="D1806" s="106">
        <v>233648</v>
      </c>
      <c r="E1806" s="106" t="s">
        <v>2877</v>
      </c>
      <c r="F1806" s="106" t="s">
        <v>2878</v>
      </c>
      <c r="G1806" s="106" t="s">
        <v>261</v>
      </c>
      <c r="H1806" s="106">
        <v>4</v>
      </c>
      <c r="I1806" s="106" t="s">
        <v>24</v>
      </c>
      <c r="J1806" s="106">
        <v>4591</v>
      </c>
      <c r="K1806" s="106">
        <v>8493</v>
      </c>
      <c r="L1806" s="106">
        <v>8059</v>
      </c>
      <c r="M1806" s="106">
        <v>0.71</v>
      </c>
      <c r="N1806" s="106">
        <v>0</v>
      </c>
      <c r="O1806" s="106">
        <v>0.44</v>
      </c>
      <c r="P1806" s="106">
        <v>2122</v>
      </c>
      <c r="Q1806" s="106">
        <v>92.608065532451164</v>
      </c>
      <c r="R1806" s="106">
        <v>2.0175639215328812E-2</v>
      </c>
      <c r="S1806" s="106">
        <v>13903.41524889729</v>
      </c>
      <c r="T1806" s="106">
        <v>13979.739130434782</v>
      </c>
      <c r="U1806" s="106">
        <v>10861.054555078223</v>
      </c>
      <c r="V1806" s="106">
        <v>0.41409286449847171</v>
      </c>
      <c r="W1806" s="106">
        <v>73095</v>
      </c>
      <c r="X1806" s="110">
        <v>0.57217403384121568</v>
      </c>
      <c r="Y1806" s="106">
        <v>845.28994082840245</v>
      </c>
      <c r="Z1806" s="106">
        <v>28.171597633136098</v>
      </c>
      <c r="AA1806" s="106">
        <v>24765.076981191294</v>
      </c>
      <c r="AB1806" s="106">
        <v>361.974328592321</v>
      </c>
      <c r="AC1806" s="106">
        <v>4.0379442420448974</v>
      </c>
      <c r="AD1806" s="106">
        <v>48.232848232848234</v>
      </c>
      <c r="AE1806" s="106">
        <v>68.416666666666671</v>
      </c>
      <c r="AF1806" s="106">
        <v>-5.3121151312380318E-3</v>
      </c>
      <c r="AG1806" s="106">
        <v>4253</v>
      </c>
      <c r="AH1806" s="106">
        <v>13050.385633270322</v>
      </c>
      <c r="AI1806" s="106">
        <v>13198.865154379331</v>
      </c>
      <c r="AJ1806" s="106">
        <v>13899.067422810334</v>
      </c>
      <c r="AK1806" s="104">
        <v>13400.638941398865</v>
      </c>
      <c r="AL1806" s="119">
        <v>8334732</v>
      </c>
      <c r="AM1806" s="118">
        <v>2304</v>
      </c>
      <c r="AN1806" s="118">
        <v>47618</v>
      </c>
      <c r="AO1806" s="118">
        <v>308</v>
      </c>
      <c r="AP1806" s="118">
        <f t="shared" si="28"/>
        <v>338</v>
      </c>
    </row>
    <row r="1807" spans="1:42" ht="12.75">
      <c r="A1807" s="106">
        <v>2018</v>
      </c>
      <c r="B1807" s="106">
        <v>-239910</v>
      </c>
      <c r="C1807" s="106">
        <v>0</v>
      </c>
      <c r="D1807" s="106">
        <v>239910</v>
      </c>
      <c r="E1807" s="106" t="s">
        <v>2879</v>
      </c>
      <c r="F1807" s="106" t="s">
        <v>2880</v>
      </c>
      <c r="G1807" s="106" t="s">
        <v>139</v>
      </c>
      <c r="H1807" s="106">
        <v>4</v>
      </c>
      <c r="I1807" s="106" t="s">
        <v>24</v>
      </c>
      <c r="J1807" s="106">
        <v>4340</v>
      </c>
      <c r="K1807" s="106">
        <v>9295</v>
      </c>
      <c r="L1807" s="106">
        <v>8081</v>
      </c>
      <c r="M1807" s="106">
        <v>0.56999999999999995</v>
      </c>
      <c r="N1807" s="106">
        <v>0.49</v>
      </c>
      <c r="O1807" s="106">
        <v>0.31</v>
      </c>
      <c r="P1807" s="106">
        <v>732</v>
      </c>
      <c r="Q1807" s="106"/>
      <c r="R1807" s="106"/>
      <c r="S1807" s="106">
        <v>23462.780487804877</v>
      </c>
      <c r="T1807" s="106">
        <v>22094.969512195123</v>
      </c>
      <c r="U1807" s="106">
        <v>17813.538617886177</v>
      </c>
      <c r="V1807" s="106">
        <v>0.22202077277251328</v>
      </c>
      <c r="W1807" s="106">
        <v>90831.391935483873</v>
      </c>
      <c r="X1807" s="110">
        <v>0.57560775998534286</v>
      </c>
      <c r="Y1807" s="106">
        <v>464.55944055944059</v>
      </c>
      <c r="Z1807" s="106">
        <v>15.482517482517483</v>
      </c>
      <c r="AA1807" s="106">
        <v>32784.018703241898</v>
      </c>
      <c r="AB1807" s="106">
        <v>593.67736181358384</v>
      </c>
      <c r="AC1807" s="106">
        <v>3.0502666834469365</v>
      </c>
      <c r="AD1807" s="106">
        <v>62.412451361867703</v>
      </c>
      <c r="AE1807" s="106">
        <v>55.221945137157107</v>
      </c>
      <c r="AF1807" s="106">
        <v>6.8097247252206922E-2</v>
      </c>
      <c r="AG1807" s="106">
        <v>4002</v>
      </c>
      <c r="AH1807" s="106">
        <v>21711.555555555555</v>
      </c>
      <c r="AI1807" s="106">
        <v>21711.555555555555</v>
      </c>
      <c r="AJ1807" s="106">
        <v>23564.341463414636</v>
      </c>
      <c r="AK1807" s="104">
        <v>19986.912601626016</v>
      </c>
      <c r="AL1807" s="118">
        <v>18773976</v>
      </c>
      <c r="AM1807" s="118">
        <v>2367</v>
      </c>
      <c r="AN1807" s="118">
        <v>44288</v>
      </c>
      <c r="AO1807" s="118">
        <v>244</v>
      </c>
      <c r="AP1807" s="118">
        <f t="shared" si="28"/>
        <v>338</v>
      </c>
    </row>
    <row r="1808" spans="1:42" ht="12.75">
      <c r="A1808" s="106">
        <v>2018</v>
      </c>
      <c r="B1808" s="106">
        <v>-228468</v>
      </c>
      <c r="C1808" s="106">
        <v>0</v>
      </c>
      <c r="D1808" s="106">
        <v>228468</v>
      </c>
      <c r="E1808" s="106" t="s">
        <v>2881</v>
      </c>
      <c r="F1808" s="106" t="s">
        <v>178</v>
      </c>
      <c r="G1808" s="106" t="s">
        <v>60</v>
      </c>
      <c r="H1808" s="106">
        <v>7</v>
      </c>
      <c r="I1808" s="106" t="s">
        <v>3641</v>
      </c>
      <c r="J1808" s="106">
        <v>20732</v>
      </c>
      <c r="K1808" s="106">
        <v>21426</v>
      </c>
      <c r="L1808" s="106">
        <v>17249</v>
      </c>
      <c r="M1808" s="106">
        <v>0.51</v>
      </c>
      <c r="N1808" s="106">
        <v>0.59</v>
      </c>
      <c r="O1808" s="106">
        <v>0.99</v>
      </c>
      <c r="P1808" s="106">
        <v>5926</v>
      </c>
      <c r="Q1808" s="106">
        <v>4935.1557377049185</v>
      </c>
      <c r="R1808" s="106">
        <v>0.24725442374211479</v>
      </c>
      <c r="S1808" s="106">
        <v>31347.228142076503</v>
      </c>
      <c r="T1808" s="106">
        <v>25084.245901639344</v>
      </c>
      <c r="U1808" s="106">
        <v>20519.558538806079</v>
      </c>
      <c r="V1808" s="106">
        <v>0.7322122502164583</v>
      </c>
      <c r="W1808" s="106">
        <v>84384.083756345179</v>
      </c>
      <c r="X1808" s="110">
        <v>0.60356406618396541</v>
      </c>
      <c r="Y1808" s="106">
        <v>349.50802139037432</v>
      </c>
      <c r="Z1808" s="106">
        <v>11.743315508021389</v>
      </c>
      <c r="AA1808" s="106">
        <v>81190.901894086754</v>
      </c>
      <c r="AB1808" s="106">
        <v>689.4481249612619</v>
      </c>
      <c r="AC1808" s="106">
        <v>1.2316650962992091</v>
      </c>
      <c r="AD1808" s="106">
        <v>25.587828492392806</v>
      </c>
      <c r="AE1808" s="106">
        <v>117.76216216216216</v>
      </c>
      <c r="AF1808" s="106">
        <v>0.11800824405256412</v>
      </c>
      <c r="AG1808" s="106">
        <v>20112</v>
      </c>
      <c r="AH1808" s="106">
        <v>20616.383879781421</v>
      </c>
      <c r="AI1808" s="106">
        <v>32472.013661202185</v>
      </c>
      <c r="AJ1808" s="106">
        <v>32477.646174863388</v>
      </c>
      <c r="AK1808" s="104">
        <v>21421.540983606559</v>
      </c>
      <c r="AM1808" s="118">
        <v>798</v>
      </c>
      <c r="AN1808" s="118">
        <v>21786</v>
      </c>
      <c r="AO1808" s="118">
        <v>182</v>
      </c>
      <c r="AP1808" s="118">
        <f t="shared" si="28"/>
        <v>620</v>
      </c>
    </row>
    <row r="1809" spans="1:42" ht="12.75">
      <c r="A1809" s="106">
        <v>2018</v>
      </c>
      <c r="B1809" s="106">
        <v>-228325</v>
      </c>
      <c r="C1809" s="106">
        <v>0</v>
      </c>
      <c r="D1809" s="106">
        <v>228325</v>
      </c>
      <c r="E1809" s="106" t="s">
        <v>2882</v>
      </c>
      <c r="F1809" s="106" t="s">
        <v>2883</v>
      </c>
      <c r="G1809" s="106" t="s">
        <v>60</v>
      </c>
      <c r="H1809" s="106">
        <v>6</v>
      </c>
      <c r="I1809" s="106" t="s">
        <v>3640</v>
      </c>
      <c r="J1809" s="106">
        <v>20660</v>
      </c>
      <c r="K1809" s="106">
        <v>25171</v>
      </c>
      <c r="L1809" s="106">
        <v>22678</v>
      </c>
      <c r="M1809" s="106">
        <v>0.55000000000000004</v>
      </c>
      <c r="N1809" s="106">
        <v>0.82</v>
      </c>
      <c r="O1809" s="106">
        <v>0.81</v>
      </c>
      <c r="P1809" s="106">
        <v>6191</v>
      </c>
      <c r="Q1809" s="106">
        <v>5478.5614636935388</v>
      </c>
      <c r="R1809" s="106">
        <v>0.29975583455311777</v>
      </c>
      <c r="S1809" s="106">
        <v>18590.121783876501</v>
      </c>
      <c r="T1809" s="106">
        <v>18587.478559176674</v>
      </c>
      <c r="U1809" s="106">
        <v>16261.674099485421</v>
      </c>
      <c r="V1809" s="106">
        <v>0.78701523412761865</v>
      </c>
      <c r="W1809" s="106">
        <v>59392.120525059669</v>
      </c>
      <c r="X1809" s="110">
        <v>0.51031849151786401</v>
      </c>
      <c r="Y1809" s="106">
        <v>483.72870662460565</v>
      </c>
      <c r="Z1809" s="106">
        <v>16.552050473186121</v>
      </c>
      <c r="AA1809" s="106">
        <v>38961.189041095888</v>
      </c>
      <c r="AB1809" s="106">
        <v>556.4359666627538</v>
      </c>
      <c r="AC1809" s="106">
        <v>2.5666567797641124</v>
      </c>
      <c r="AD1809" s="106">
        <v>40.87346024636058</v>
      </c>
      <c r="AE1809" s="106">
        <v>70.019178082191786</v>
      </c>
      <c r="AF1809" s="106">
        <v>2.7245396472283415E-2</v>
      </c>
      <c r="AG1809" s="106">
        <v>19700</v>
      </c>
      <c r="AH1809" s="106">
        <v>16706.672384219553</v>
      </c>
      <c r="AI1809" s="106">
        <v>18590.121783876501</v>
      </c>
      <c r="AJ1809" s="106">
        <v>18958.656946826759</v>
      </c>
      <c r="AK1809" s="104">
        <v>16261.674099485421</v>
      </c>
      <c r="AM1809" s="118">
        <v>1790</v>
      </c>
      <c r="AN1809" s="118">
        <v>51114</v>
      </c>
      <c r="AO1809" s="118">
        <v>644</v>
      </c>
      <c r="AP1809" s="118">
        <f t="shared" si="28"/>
        <v>960</v>
      </c>
    </row>
    <row r="1810" spans="1:42" ht="12.75">
      <c r="A1810" s="106">
        <v>2018</v>
      </c>
      <c r="B1810" s="106">
        <v>-207856</v>
      </c>
      <c r="C1810" s="106">
        <v>0</v>
      </c>
      <c r="D1810" s="106">
        <v>207856</v>
      </c>
      <c r="E1810" s="106" t="s">
        <v>2884</v>
      </c>
      <c r="F1810" s="106" t="s">
        <v>359</v>
      </c>
      <c r="G1810" s="106" t="s">
        <v>271</v>
      </c>
      <c r="H1810" s="106">
        <v>7</v>
      </c>
      <c r="I1810" s="106" t="s">
        <v>3641</v>
      </c>
      <c r="J1810" s="106">
        <v>13880</v>
      </c>
      <c r="K1810" s="106">
        <v>13867</v>
      </c>
      <c r="L1810" s="106">
        <v>11307</v>
      </c>
      <c r="M1810" s="106">
        <v>0.44</v>
      </c>
      <c r="N1810" s="106">
        <v>0.46</v>
      </c>
      <c r="O1810" s="106">
        <v>0.95</v>
      </c>
      <c r="P1810" s="106">
        <v>5181</v>
      </c>
      <c r="Q1810" s="106">
        <v>6391.4495575221235</v>
      </c>
      <c r="R1810" s="106">
        <v>0.3952072825928149</v>
      </c>
      <c r="S1810" s="106">
        <v>14449.538053097345</v>
      </c>
      <c r="T1810" s="106">
        <v>17457.516814159291</v>
      </c>
      <c r="U1810" s="106">
        <v>14826.853097345132</v>
      </c>
      <c r="V1810" s="106">
        <v>0.65967799157042495</v>
      </c>
      <c r="W1810" s="106">
        <v>49197.197492163003</v>
      </c>
      <c r="X1810" s="110">
        <v>0.53036990836008768</v>
      </c>
      <c r="Y1810" s="106">
        <v>293.61403508771929</v>
      </c>
      <c r="Z1810" s="106">
        <v>9.9122807017543852</v>
      </c>
      <c r="AA1810" s="106">
        <v>62986.255639097748</v>
      </c>
      <c r="AB1810" s="106">
        <v>500.54804015296367</v>
      </c>
      <c r="AC1810" s="106">
        <v>1.5876479556585443</v>
      </c>
      <c r="AD1810" s="106">
        <v>22.093023255813954</v>
      </c>
      <c r="AE1810" s="106">
        <v>125.83458646616542</v>
      </c>
      <c r="AF1810" s="106">
        <v>-0.3111832264565878</v>
      </c>
      <c r="AG1810" s="106">
        <v>11400</v>
      </c>
      <c r="AH1810" s="106">
        <v>12830.115044247788</v>
      </c>
      <c r="AI1810" s="106">
        <v>14449.538053097345</v>
      </c>
      <c r="AJ1810" s="106">
        <v>16610.720353982302</v>
      </c>
      <c r="AK1810" s="104">
        <v>14826.853097345132</v>
      </c>
      <c r="AM1810" s="118">
        <v>620</v>
      </c>
      <c r="AN1810" s="118">
        <v>16736</v>
      </c>
      <c r="AO1810" s="118">
        <v>123</v>
      </c>
      <c r="AP1810" s="118">
        <f t="shared" si="28"/>
        <v>2480</v>
      </c>
    </row>
    <row r="1811" spans="1:42" ht="12.75">
      <c r="A1811" s="106">
        <v>2018</v>
      </c>
      <c r="B1811" s="106">
        <v>-123800</v>
      </c>
      <c r="C1811" s="106">
        <v>0</v>
      </c>
      <c r="D1811" s="106">
        <v>123800</v>
      </c>
      <c r="E1811" s="106" t="s">
        <v>3939</v>
      </c>
      <c r="F1811" s="106" t="s">
        <v>2885</v>
      </c>
      <c r="G1811" s="106" t="s">
        <v>121</v>
      </c>
      <c r="H1811" s="106">
        <v>4</v>
      </c>
      <c r="I1811" s="106" t="s">
        <v>24</v>
      </c>
      <c r="J1811" s="106">
        <v>1338</v>
      </c>
      <c r="K1811" s="106">
        <v>5664</v>
      </c>
      <c r="L1811" s="106">
        <v>3193</v>
      </c>
      <c r="M1811" s="106">
        <v>0.56000000000000005</v>
      </c>
      <c r="N1811" s="106">
        <v>0.01</v>
      </c>
      <c r="O1811" s="106">
        <v>0.01</v>
      </c>
      <c r="P1811" s="106">
        <v>810</v>
      </c>
      <c r="Q1811" s="106">
        <v>197.11918900576859</v>
      </c>
      <c r="R1811" s="106">
        <v>0.31007823212087449</v>
      </c>
      <c r="S1811" s="106">
        <v>16588.008822531388</v>
      </c>
      <c r="T1811" s="106">
        <v>15897.616813708857</v>
      </c>
      <c r="U1811" s="106">
        <v>10993.612152723392</v>
      </c>
      <c r="V1811" s="106">
        <v>3.9894870604237631E-2</v>
      </c>
      <c r="W1811" s="106">
        <v>150521.92378048779</v>
      </c>
      <c r="X1811" s="110">
        <v>0.52690394192815515</v>
      </c>
      <c r="Y1811" s="106">
        <v>1683.9380952380952</v>
      </c>
      <c r="Z1811" s="106">
        <v>56.133333333333333</v>
      </c>
      <c r="AA1811" s="106">
        <v>49125.360142647209</v>
      </c>
      <c r="AB1811" s="106">
        <v>366.46720995937341</v>
      </c>
      <c r="AC1811" s="106">
        <v>2.0356084863220572</v>
      </c>
      <c r="AD1811" s="106">
        <v>24.365013392444816</v>
      </c>
      <c r="AE1811" s="106">
        <v>134.05117513267626</v>
      </c>
      <c r="AF1811" s="106">
        <v>-0.65075479234380984</v>
      </c>
      <c r="AG1811" s="106">
        <v>1288</v>
      </c>
      <c r="AH1811" s="106">
        <v>14389.907024092297</v>
      </c>
      <c r="AI1811" s="106">
        <v>14389.907024092297</v>
      </c>
      <c r="AJ1811" s="106">
        <v>16719.009416355617</v>
      </c>
      <c r="AK1811" s="104">
        <v>14141.771377672208</v>
      </c>
      <c r="AL1811" s="118">
        <v>139041158</v>
      </c>
      <c r="AM1811" s="118">
        <v>18413</v>
      </c>
      <c r="AN1811" s="118">
        <v>353627</v>
      </c>
      <c r="AO1811" s="118">
        <v>1788</v>
      </c>
      <c r="AP1811" s="118">
        <f t="shared" si="28"/>
        <v>50</v>
      </c>
    </row>
    <row r="1812" spans="1:42" ht="12.75">
      <c r="A1812" s="106">
        <v>2018</v>
      </c>
      <c r="B1812" s="106">
        <v>-155900</v>
      </c>
      <c r="C1812" s="106">
        <v>0</v>
      </c>
      <c r="D1812" s="106">
        <v>155900</v>
      </c>
      <c r="E1812" s="106" t="s">
        <v>3940</v>
      </c>
      <c r="F1812" s="106" t="s">
        <v>2886</v>
      </c>
      <c r="G1812" s="106" t="s">
        <v>129</v>
      </c>
      <c r="H1812" s="106">
        <v>6</v>
      </c>
      <c r="I1812" s="106" t="s">
        <v>3640</v>
      </c>
      <c r="J1812" s="106">
        <v>28750</v>
      </c>
      <c r="K1812" s="106">
        <v>22966</v>
      </c>
      <c r="L1812" s="106">
        <v>21401</v>
      </c>
      <c r="M1812" s="106">
        <v>0.51</v>
      </c>
      <c r="N1812" s="106">
        <v>0.86</v>
      </c>
      <c r="O1812" s="106">
        <v>1</v>
      </c>
      <c r="P1812" s="106">
        <v>16821</v>
      </c>
      <c r="Q1812" s="106">
        <v>8371.1557446808511</v>
      </c>
      <c r="R1812" s="106">
        <v>0.39287137210577583</v>
      </c>
      <c r="S1812" s="106">
        <v>18335.546382978722</v>
      </c>
      <c r="T1812" s="106">
        <v>22060.621276595746</v>
      </c>
      <c r="U1812" s="106">
        <v>18787.953191489363</v>
      </c>
      <c r="V1812" s="106">
        <v>0.68855126496856633</v>
      </c>
      <c r="W1812" s="106">
        <v>47467.776223776222</v>
      </c>
      <c r="X1812" s="110">
        <v>0.52373224573062316</v>
      </c>
      <c r="Y1812" s="106">
        <v>281.86885245901641</v>
      </c>
      <c r="Z1812" s="106">
        <v>9.6311475409836067</v>
      </c>
      <c r="AA1812" s="106">
        <v>38326.119791666664</v>
      </c>
      <c r="AB1812" s="106">
        <v>641.96362103059209</v>
      </c>
      <c r="AC1812" s="106">
        <v>2.6091866472155427</v>
      </c>
      <c r="AD1812" s="106">
        <v>65.979381443298962</v>
      </c>
      <c r="AE1812" s="106">
        <v>59.701388888888886</v>
      </c>
      <c r="AF1812" s="106">
        <v>-7.8673030315123335E-2</v>
      </c>
      <c r="AG1812" s="106">
        <v>28600</v>
      </c>
      <c r="AH1812" s="106">
        <v>17088.178723404257</v>
      </c>
      <c r="AI1812" s="106">
        <v>18722.395744680853</v>
      </c>
      <c r="AJ1812" s="106">
        <v>20035.521702127659</v>
      </c>
      <c r="AK1812" s="104">
        <v>20334.734468085106</v>
      </c>
      <c r="AM1812" s="118">
        <v>1147</v>
      </c>
      <c r="AN1812" s="118">
        <v>34388</v>
      </c>
      <c r="AO1812" s="118">
        <v>368</v>
      </c>
      <c r="AP1812" s="118">
        <f t="shared" si="28"/>
        <v>150</v>
      </c>
    </row>
    <row r="1813" spans="1:42" ht="12.75">
      <c r="A1813" s="106">
        <v>2018</v>
      </c>
      <c r="B1813" s="106">
        <v>-188207</v>
      </c>
      <c r="C1813" s="106">
        <v>0</v>
      </c>
      <c r="D1813" s="106">
        <v>188207</v>
      </c>
      <c r="E1813" s="106" t="s">
        <v>3941</v>
      </c>
      <c r="F1813" s="106" t="s">
        <v>2719</v>
      </c>
      <c r="G1813" s="106" t="s">
        <v>674</v>
      </c>
      <c r="H1813" s="106">
        <v>6</v>
      </c>
      <c r="I1813" s="106" t="s">
        <v>3640</v>
      </c>
      <c r="J1813" s="106"/>
      <c r="K1813" s="106"/>
      <c r="L1813" s="106"/>
      <c r="M1813" s="106"/>
      <c r="N1813" s="106"/>
      <c r="O1813" s="106"/>
      <c r="P1813" s="106"/>
      <c r="Q1813" s="106">
        <v>881.67307692307691</v>
      </c>
      <c r="R1813" s="106">
        <v>4.1130534220570981E-2</v>
      </c>
      <c r="S1813" s="106">
        <v>21111.961538461539</v>
      </c>
      <c r="T1813" s="106">
        <v>21412.903846153848</v>
      </c>
      <c r="U1813" s="106">
        <v>19585.512135709312</v>
      </c>
      <c r="V1813" s="106">
        <v>1.0494645807385155</v>
      </c>
      <c r="W1813" s="106">
        <v>60853.361111111109</v>
      </c>
      <c r="X1813" s="110">
        <v>0.65582339668777478</v>
      </c>
      <c r="Y1813" s="106">
        <v>444.71052631578948</v>
      </c>
      <c r="Z1813" s="106">
        <v>12.315789473684211</v>
      </c>
      <c r="AA1813" s="106">
        <v>36811.324014104255</v>
      </c>
      <c r="AB1813" s="106">
        <v>542.40012305532628</v>
      </c>
      <c r="AC1813" s="106">
        <v>2.7165553719742603</v>
      </c>
      <c r="AD1813" s="106">
        <v>61.940298507462686</v>
      </c>
      <c r="AE1813" s="106">
        <v>67.867469879518069</v>
      </c>
      <c r="AF1813" s="106">
        <v>4.4689914450446446E-3</v>
      </c>
      <c r="AG1813" s="106"/>
      <c r="AH1813" s="106">
        <v>20866.557692307691</v>
      </c>
      <c r="AI1813" s="106">
        <v>21111.961538461539</v>
      </c>
      <c r="AJ1813" s="106">
        <v>21554.634615384617</v>
      </c>
      <c r="AK1813" s="104">
        <v>21412.903846153848</v>
      </c>
      <c r="AL1813" s="118"/>
      <c r="AM1813" s="118"/>
      <c r="AN1813" s="118">
        <v>5633</v>
      </c>
      <c r="AO1813" s="118"/>
      <c r="AP1813" s="118">
        <f t="shared" si="28"/>
        <v>0</v>
      </c>
    </row>
    <row r="1814" spans="1:42" ht="12.75">
      <c r="A1814" s="106">
        <v>2018</v>
      </c>
      <c r="B1814" s="106">
        <v>-154396</v>
      </c>
      <c r="C1814" s="106">
        <v>0</v>
      </c>
      <c r="D1814" s="106">
        <v>154396</v>
      </c>
      <c r="E1814" s="106" t="s">
        <v>3942</v>
      </c>
      <c r="F1814" s="106" t="s">
        <v>2887</v>
      </c>
      <c r="G1814" s="106" t="s">
        <v>447</v>
      </c>
      <c r="H1814" s="106">
        <v>4</v>
      </c>
      <c r="I1814" s="106" t="s">
        <v>24</v>
      </c>
      <c r="J1814" s="106">
        <v>5310</v>
      </c>
      <c r="K1814" s="106">
        <v>8662</v>
      </c>
      <c r="L1814" s="106">
        <v>6979</v>
      </c>
      <c r="M1814" s="106">
        <v>0.6</v>
      </c>
      <c r="N1814" s="106">
        <v>0.57999999999999996</v>
      </c>
      <c r="O1814" s="106">
        <v>0.46</v>
      </c>
      <c r="P1814" s="106">
        <v>1694</v>
      </c>
      <c r="Q1814" s="106">
        <v>183.9804618117229</v>
      </c>
      <c r="R1814" s="106">
        <v>3.5830241428048602E-2</v>
      </c>
      <c r="S1814" s="106">
        <v>21285.08348134991</v>
      </c>
      <c r="T1814" s="106">
        <v>20305.066607460034</v>
      </c>
      <c r="U1814" s="106">
        <v>13615.41918294849</v>
      </c>
      <c r="V1814" s="106">
        <v>0.3636172341957406</v>
      </c>
      <c r="W1814" s="106">
        <v>65105.26815642458</v>
      </c>
      <c r="X1814" s="110">
        <v>0.50971375561183641</v>
      </c>
      <c r="Y1814" s="106">
        <v>538.99468085106378</v>
      </c>
      <c r="Z1814" s="106">
        <v>17.968085106382976</v>
      </c>
      <c r="AA1814" s="106">
        <v>35988.173708920185</v>
      </c>
      <c r="AB1814" s="106">
        <v>453.8876158332593</v>
      </c>
      <c r="AC1814" s="106">
        <v>2.7786906001071556</v>
      </c>
      <c r="AD1814" s="106">
        <v>43.336724313326549</v>
      </c>
      <c r="AE1814" s="106">
        <v>79.288732394366193</v>
      </c>
      <c r="AF1814" s="106">
        <v>7.9327480340957351E-2</v>
      </c>
      <c r="AG1814" s="106">
        <v>4920</v>
      </c>
      <c r="AH1814" s="106">
        <v>21297.465364120781</v>
      </c>
      <c r="AI1814" s="106">
        <v>21297.465364120781</v>
      </c>
      <c r="AJ1814" s="106">
        <v>21347.580817051508</v>
      </c>
      <c r="AK1814" s="104">
        <v>13932.475133214921</v>
      </c>
      <c r="AL1814" s="118">
        <v>7436898</v>
      </c>
      <c r="AM1814" s="118">
        <v>1574</v>
      </c>
      <c r="AN1814" s="118">
        <v>33777</v>
      </c>
      <c r="AO1814" s="118">
        <v>249</v>
      </c>
      <c r="AP1814" s="118">
        <f t="shared" si="28"/>
        <v>390</v>
      </c>
    </row>
    <row r="1815" spans="1:42" ht="12.75">
      <c r="A1815" s="106">
        <v>2018</v>
      </c>
      <c r="B1815" s="106">
        <v>-199731</v>
      </c>
      <c r="C1815" s="106">
        <v>0</v>
      </c>
      <c r="D1815" s="106">
        <v>199731</v>
      </c>
      <c r="E1815" s="106" t="s">
        <v>3943</v>
      </c>
      <c r="F1815" s="106" t="s">
        <v>2888</v>
      </c>
      <c r="G1815" s="106" t="s">
        <v>90</v>
      </c>
      <c r="H1815" s="106">
        <v>4</v>
      </c>
      <c r="I1815" s="106" t="s">
        <v>24</v>
      </c>
      <c r="J1815" s="106">
        <v>2103</v>
      </c>
      <c r="K1815" s="106">
        <v>4148</v>
      </c>
      <c r="L1815" s="106">
        <v>3012</v>
      </c>
      <c r="M1815" s="106">
        <v>0.65</v>
      </c>
      <c r="N1815" s="106">
        <v>0.09</v>
      </c>
      <c r="O1815" s="106">
        <v>0.12</v>
      </c>
      <c r="P1815" s="106">
        <v>2199</v>
      </c>
      <c r="Q1815" s="106">
        <v>67.592368261659601</v>
      </c>
      <c r="R1815" s="106">
        <v>3.0863173219300415E-2</v>
      </c>
      <c r="S1815" s="106">
        <v>14339.184736523319</v>
      </c>
      <c r="T1815" s="106">
        <v>15328.155057540884</v>
      </c>
      <c r="U1815" s="106">
        <v>12161.153846153846</v>
      </c>
      <c r="V1815" s="106">
        <v>0.17452891999303718</v>
      </c>
      <c r="W1815" s="106">
        <v>50756.626130653261</v>
      </c>
      <c r="X1815" s="110">
        <v>0.66520823033064969</v>
      </c>
      <c r="Y1815" s="106">
        <v>297.78156312625254</v>
      </c>
      <c r="Z1815" s="106">
        <v>9.9258517034068152</v>
      </c>
      <c r="AA1815" s="106">
        <v>32647.260162601626</v>
      </c>
      <c r="AB1815" s="106">
        <v>405.36361066806649</v>
      </c>
      <c r="AC1815" s="106">
        <v>3.0630441728323921</v>
      </c>
      <c r="AD1815" s="106">
        <v>44.308357348703169</v>
      </c>
      <c r="AE1815" s="106">
        <v>80.538211382113815</v>
      </c>
      <c r="AF1815" s="106">
        <v>4.4747655532541009E-2</v>
      </c>
      <c r="AG1815" s="106">
        <v>2018</v>
      </c>
      <c r="AH1815" s="106">
        <v>12889.946093276802</v>
      </c>
      <c r="AI1815" s="106">
        <v>12958.840702604482</v>
      </c>
      <c r="AJ1815" s="106">
        <v>14384.970926711085</v>
      </c>
      <c r="AK1815" s="104">
        <v>13880.076317383404</v>
      </c>
      <c r="AL1815" s="118">
        <v>15552383</v>
      </c>
      <c r="AM1815" s="118">
        <v>2464</v>
      </c>
      <c r="AN1815" s="118">
        <v>49531</v>
      </c>
      <c r="AO1815" s="118">
        <v>453</v>
      </c>
      <c r="AP1815" s="118">
        <f t="shared" si="28"/>
        <v>85</v>
      </c>
    </row>
    <row r="1816" spans="1:42" ht="12.75">
      <c r="A1816" s="106">
        <v>2018</v>
      </c>
      <c r="B1816" s="106">
        <v>-143215</v>
      </c>
      <c r="C1816" s="106">
        <v>0</v>
      </c>
      <c r="D1816" s="106">
        <v>143215</v>
      </c>
      <c r="E1816" s="106" t="s">
        <v>2889</v>
      </c>
      <c r="F1816" s="106" t="s">
        <v>2890</v>
      </c>
      <c r="G1816" s="106" t="s">
        <v>243</v>
      </c>
      <c r="H1816" s="106">
        <v>4</v>
      </c>
      <c r="I1816" s="106" t="s">
        <v>24</v>
      </c>
      <c r="J1816" s="106">
        <v>3660</v>
      </c>
      <c r="K1816" s="106">
        <v>6491</v>
      </c>
      <c r="L1816" s="106">
        <v>6491</v>
      </c>
      <c r="M1816" s="106">
        <v>0.46</v>
      </c>
      <c r="N1816" s="106">
        <v>0.21</v>
      </c>
      <c r="O1816" s="106">
        <v>0.14000000000000001</v>
      </c>
      <c r="P1816" s="106">
        <v>3333</v>
      </c>
      <c r="Q1816" s="106">
        <v>666.52453942520265</v>
      </c>
      <c r="R1816" s="106">
        <v>0.1552437325114028</v>
      </c>
      <c r="S1816" s="106">
        <v>19304.119380987471</v>
      </c>
      <c r="T1816" s="106">
        <v>17155.180692704496</v>
      </c>
      <c r="U1816" s="106">
        <v>13092.840468033013</v>
      </c>
      <c r="V1816" s="106">
        <v>0.27701265770853506</v>
      </c>
      <c r="W1816" s="106">
        <v>71258.445378151271</v>
      </c>
      <c r="X1816" s="110">
        <v>0.3885410270413725</v>
      </c>
      <c r="Y1816" s="106">
        <v>683.02348993288592</v>
      </c>
      <c r="Z1816" s="106">
        <v>22.768456375838927</v>
      </c>
      <c r="AA1816" s="106">
        <v>34769.049931743248</v>
      </c>
      <c r="AB1816" s="106">
        <v>436.447313197852</v>
      </c>
      <c r="AC1816" s="106">
        <v>2.8761211536212432</v>
      </c>
      <c r="AD1816" s="106">
        <v>46.479898126250689</v>
      </c>
      <c r="AE1816" s="106">
        <v>79.663796477495112</v>
      </c>
      <c r="AF1816" s="106">
        <v>0.16454118609405549</v>
      </c>
      <c r="AG1816" s="106">
        <v>3390</v>
      </c>
      <c r="AH1816" s="106">
        <v>17593.88179808401</v>
      </c>
      <c r="AI1816" s="106">
        <v>17593.88179808401</v>
      </c>
      <c r="AJ1816" s="106">
        <v>19416.145762711865</v>
      </c>
      <c r="AK1816" s="104">
        <v>16840.271186440677</v>
      </c>
      <c r="AL1816" s="118">
        <v>54993272</v>
      </c>
      <c r="AM1816" s="118">
        <v>8859</v>
      </c>
      <c r="AN1816" s="118">
        <v>203541</v>
      </c>
      <c r="AO1816" s="118">
        <v>1254</v>
      </c>
      <c r="AP1816" s="118">
        <f t="shared" si="28"/>
        <v>270</v>
      </c>
    </row>
    <row r="1817" spans="1:42" ht="12.75">
      <c r="A1817" s="106">
        <v>2018</v>
      </c>
      <c r="B1817" s="106">
        <v>-172307</v>
      </c>
      <c r="C1817" s="106">
        <v>0</v>
      </c>
      <c r="D1817" s="106">
        <v>172307</v>
      </c>
      <c r="E1817" s="106" t="s">
        <v>2891</v>
      </c>
      <c r="F1817" s="106" t="s">
        <v>2892</v>
      </c>
      <c r="G1817" s="106" t="s">
        <v>74</v>
      </c>
      <c r="H1817" s="106">
        <v>4</v>
      </c>
      <c r="I1817" s="106" t="s">
        <v>24</v>
      </c>
      <c r="J1817" s="106">
        <v>5193</v>
      </c>
      <c r="K1817" s="106">
        <v>9078</v>
      </c>
      <c r="L1817" s="106">
        <v>8180</v>
      </c>
      <c r="M1817" s="106">
        <v>0.62</v>
      </c>
      <c r="N1817" s="106">
        <v>0.35</v>
      </c>
      <c r="O1817" s="106">
        <v>0.44</v>
      </c>
      <c r="P1817" s="106">
        <v>1970</v>
      </c>
      <c r="Q1817" s="106">
        <v>370.21073044602457</v>
      </c>
      <c r="R1817" s="106">
        <v>5.6844092632538465E-2</v>
      </c>
      <c r="S1817" s="106">
        <v>18179.493859082093</v>
      </c>
      <c r="T1817" s="106">
        <v>17000.1919844861</v>
      </c>
      <c r="U1817" s="106">
        <v>15193.004110246155</v>
      </c>
      <c r="V1817" s="106">
        <v>0.40429977339355588</v>
      </c>
      <c r="W1817" s="106">
        <v>75525.722123893807</v>
      </c>
      <c r="X1817" s="110">
        <v>0.54085137712996667</v>
      </c>
      <c r="Y1817" s="106">
        <v>543.8671875</v>
      </c>
      <c r="Z1817" s="106">
        <v>18.12890625</v>
      </c>
      <c r="AA1817" s="106">
        <v>50654.261548600865</v>
      </c>
      <c r="AB1817" s="106">
        <v>506.43347034153851</v>
      </c>
      <c r="AC1817" s="106">
        <v>1.9741675614805627</v>
      </c>
      <c r="AD1817" s="106">
        <v>31.564625850340132</v>
      </c>
      <c r="AE1817" s="106">
        <v>100.02155172413794</v>
      </c>
      <c r="AF1817" s="106">
        <v>5.5777501297698678E-2</v>
      </c>
      <c r="AG1817" s="106">
        <v>3658</v>
      </c>
      <c r="AH1817" s="106">
        <v>17422.745959922431</v>
      </c>
      <c r="AI1817" s="106">
        <v>17852.838396897219</v>
      </c>
      <c r="AJ1817" s="106">
        <v>18243.040077569491</v>
      </c>
      <c r="AK1817" s="104">
        <v>15600.57207498384</v>
      </c>
      <c r="AL1817" s="118">
        <v>12972409</v>
      </c>
      <c r="AM1817" s="118">
        <v>2330</v>
      </c>
      <c r="AN1817" s="118">
        <v>46410</v>
      </c>
      <c r="AO1817" s="118">
        <v>370</v>
      </c>
      <c r="AP1817" s="118">
        <f t="shared" si="28"/>
        <v>1535</v>
      </c>
    </row>
    <row r="1818" spans="1:42" ht="12.75">
      <c r="A1818" s="106">
        <v>2018</v>
      </c>
      <c r="B1818" s="106">
        <v>-207865</v>
      </c>
      <c r="C1818" s="106">
        <v>0</v>
      </c>
      <c r="D1818" s="106">
        <v>207865</v>
      </c>
      <c r="E1818" s="106" t="s">
        <v>2893</v>
      </c>
      <c r="F1818" s="106" t="s">
        <v>2894</v>
      </c>
      <c r="G1818" s="106" t="s">
        <v>271</v>
      </c>
      <c r="H1818" s="106">
        <v>2</v>
      </c>
      <c r="I1818" s="106" t="s">
        <v>25</v>
      </c>
      <c r="J1818" s="106">
        <v>7005</v>
      </c>
      <c r="K1818" s="106">
        <v>11996</v>
      </c>
      <c r="L1818" s="106">
        <v>9056</v>
      </c>
      <c r="M1818" s="106">
        <v>0.44</v>
      </c>
      <c r="N1818" s="106">
        <v>0.6</v>
      </c>
      <c r="O1818" s="106">
        <v>0.63</v>
      </c>
      <c r="P1818" s="106">
        <v>4270</v>
      </c>
      <c r="Q1818" s="106">
        <v>1993.0681676047529</v>
      </c>
      <c r="R1818" s="106">
        <v>0.21501584189691747</v>
      </c>
      <c r="S1818" s="106">
        <v>14380.709193245779</v>
      </c>
      <c r="T1818" s="106">
        <v>14175.030435688972</v>
      </c>
      <c r="U1818" s="106">
        <v>10746.142782630426</v>
      </c>
      <c r="V1818" s="106">
        <v>0.67711117193552139</v>
      </c>
      <c r="W1818" s="106">
        <v>83815.008306709278</v>
      </c>
      <c r="X1818" s="110">
        <v>0.64301508430714072</v>
      </c>
      <c r="Y1818" s="106">
        <v>555.89519650655018</v>
      </c>
      <c r="Z1818" s="106">
        <v>20.94759825327511</v>
      </c>
      <c r="AA1818" s="106">
        <v>41239.397542622522</v>
      </c>
      <c r="AB1818" s="106">
        <v>404.94302378851654</v>
      </c>
      <c r="AC1818" s="106">
        <v>2.4248656856988782</v>
      </c>
      <c r="AD1818" s="106">
        <v>26.743688489516476</v>
      </c>
      <c r="AE1818" s="106">
        <v>101.84</v>
      </c>
      <c r="AF1818" s="106">
        <v>5.0964878412485745E-2</v>
      </c>
      <c r="AG1818" s="106">
        <v>5610</v>
      </c>
      <c r="AH1818" s="106">
        <v>14515.745257452574</v>
      </c>
      <c r="AI1818" s="106">
        <v>14515.745257452574</v>
      </c>
      <c r="AJ1818" s="106">
        <v>14432.544090056284</v>
      </c>
      <c r="AK1818" s="104">
        <v>12203.066708359391</v>
      </c>
      <c r="AL1818" s="118">
        <v>18468756</v>
      </c>
      <c r="AM1818" s="118">
        <v>4623</v>
      </c>
      <c r="AN1818" s="118">
        <v>127300</v>
      </c>
      <c r="AO1818" s="118">
        <v>944</v>
      </c>
      <c r="AP1818" s="118">
        <f t="shared" si="28"/>
        <v>1395</v>
      </c>
    </row>
    <row r="1819" spans="1:42" ht="12.75">
      <c r="A1819" s="106">
        <v>2018</v>
      </c>
      <c r="B1819" s="106">
        <v>-210155</v>
      </c>
      <c r="C1819" s="106">
        <v>0</v>
      </c>
      <c r="D1819" s="106">
        <v>210155</v>
      </c>
      <c r="E1819" s="106" t="s">
        <v>2895</v>
      </c>
      <c r="F1819" s="106" t="s">
        <v>2896</v>
      </c>
      <c r="G1819" s="106" t="s">
        <v>405</v>
      </c>
      <c r="H1819" s="106">
        <v>4</v>
      </c>
      <c r="I1819" s="106" t="s">
        <v>24</v>
      </c>
      <c r="J1819" s="106">
        <v>5942</v>
      </c>
      <c r="K1819" s="106">
        <v>9391</v>
      </c>
      <c r="L1819" s="106">
        <v>8044</v>
      </c>
      <c r="M1819" s="106">
        <v>0.54</v>
      </c>
      <c r="N1819" s="106">
        <v>0.33</v>
      </c>
      <c r="O1819" s="106">
        <v>0.48</v>
      </c>
      <c r="P1819" s="106">
        <v>2570</v>
      </c>
      <c r="Q1819" s="106">
        <v>1253.9514487079091</v>
      </c>
      <c r="R1819" s="106">
        <v>0.35485146970215048</v>
      </c>
      <c r="S1819" s="106">
        <v>26333.137039937352</v>
      </c>
      <c r="T1819" s="106">
        <v>26284.08927173062</v>
      </c>
      <c r="U1819" s="106">
        <v>15268.940730287039</v>
      </c>
      <c r="V1819" s="106">
        <v>0.14930863193442753</v>
      </c>
      <c r="W1819" s="106">
        <v>71787.165100671133</v>
      </c>
      <c r="X1819" s="110">
        <v>0.53112652422411089</v>
      </c>
      <c r="Y1819" s="106">
        <v>481.58379888268155</v>
      </c>
      <c r="Z1819" s="106">
        <v>10.701117318435754</v>
      </c>
      <c r="AA1819" s="106">
        <v>28055.305485721652</v>
      </c>
      <c r="AB1819" s="106">
        <v>339.2861771142102</v>
      </c>
      <c r="AC1819" s="106">
        <v>3.5643882063908938</v>
      </c>
      <c r="AD1819" s="106">
        <v>45.276872964169378</v>
      </c>
      <c r="AE1819" s="106">
        <v>82.689208633093529</v>
      </c>
      <c r="AF1819" s="106">
        <v>0.68450241590093386</v>
      </c>
      <c r="AG1819" s="106">
        <v>4132</v>
      </c>
      <c r="AH1819" s="106">
        <v>23546.537979639779</v>
      </c>
      <c r="AI1819" s="106">
        <v>23581.866092404071</v>
      </c>
      <c r="AJ1819" s="106">
        <v>26466.88566953798</v>
      </c>
      <c r="AK1819" s="104">
        <v>22168.836335160533</v>
      </c>
      <c r="AL1819" s="118">
        <v>14067880</v>
      </c>
      <c r="AM1819" s="118">
        <v>2099</v>
      </c>
      <c r="AN1819" s="118">
        <v>57469</v>
      </c>
      <c r="AO1819" s="118">
        <v>452</v>
      </c>
      <c r="AP1819" s="118">
        <f t="shared" si="28"/>
        <v>1810</v>
      </c>
    </row>
    <row r="1820" spans="1:42" ht="12.75">
      <c r="A1820" s="106">
        <v>2018</v>
      </c>
      <c r="B1820" s="106">
        <v>-228343</v>
      </c>
      <c r="C1820" s="106">
        <v>0</v>
      </c>
      <c r="D1820" s="106">
        <v>228343</v>
      </c>
      <c r="E1820" s="106" t="s">
        <v>2897</v>
      </c>
      <c r="F1820" s="106" t="s">
        <v>1026</v>
      </c>
      <c r="G1820" s="106" t="s">
        <v>60</v>
      </c>
      <c r="H1820" s="106">
        <v>7</v>
      </c>
      <c r="I1820" s="106" t="s">
        <v>3641</v>
      </c>
      <c r="J1820" s="106">
        <v>40560</v>
      </c>
      <c r="K1820" s="106">
        <v>27762</v>
      </c>
      <c r="L1820" s="106">
        <v>21749</v>
      </c>
      <c r="M1820" s="106">
        <v>0.28999999999999998</v>
      </c>
      <c r="N1820" s="106">
        <v>0.55000000000000004</v>
      </c>
      <c r="O1820" s="106">
        <v>0.98</v>
      </c>
      <c r="P1820" s="106">
        <v>23871</v>
      </c>
      <c r="Q1820" s="106">
        <v>22123.105638829409</v>
      </c>
      <c r="R1820" s="106">
        <v>0.56796466996053319</v>
      </c>
      <c r="S1820" s="106">
        <v>46830.62526766595</v>
      </c>
      <c r="T1820" s="106">
        <v>36910.388294075659</v>
      </c>
      <c r="U1820" s="106">
        <v>30323.726429804989</v>
      </c>
      <c r="V1820" s="106">
        <v>0.55495972312811759</v>
      </c>
      <c r="W1820" s="106">
        <v>75005.227817745807</v>
      </c>
      <c r="X1820" s="110">
        <v>0.60484046725895579</v>
      </c>
      <c r="Y1820" s="106">
        <v>329.1853785900783</v>
      </c>
      <c r="Z1820" s="106">
        <v>10.973890339425587</v>
      </c>
      <c r="AA1820" s="106">
        <v>130317.60959557297</v>
      </c>
      <c r="AB1820" s="106">
        <v>1010.8870872354445</v>
      </c>
      <c r="AC1820" s="106">
        <v>0.76735600284826821</v>
      </c>
      <c r="AD1820" s="106">
        <v>23.657474600870827</v>
      </c>
      <c r="AE1820" s="106">
        <v>128.91411042944785</v>
      </c>
      <c r="AF1820" s="106">
        <v>8.6467324833877951E-2</v>
      </c>
      <c r="AG1820" s="106">
        <v>40560</v>
      </c>
      <c r="AH1820" s="106">
        <v>26266.476088508207</v>
      </c>
      <c r="AI1820" s="106">
        <v>46830.624553890077</v>
      </c>
      <c r="AJ1820" s="106">
        <v>61701.583868665242</v>
      </c>
      <c r="AK1820" s="104">
        <v>30963.408279800144</v>
      </c>
      <c r="AM1820" s="118">
        <v>1396</v>
      </c>
      <c r="AN1820" s="118">
        <v>42026</v>
      </c>
      <c r="AO1820" s="118">
        <v>326</v>
      </c>
      <c r="AP1820" s="118">
        <f t="shared" si="28"/>
        <v>0</v>
      </c>
    </row>
    <row r="1821" spans="1:42" ht="12.75">
      <c r="A1821" s="106">
        <v>2018</v>
      </c>
      <c r="B1821" s="106">
        <v>-157757</v>
      </c>
      <c r="C1821" s="106">
        <v>0</v>
      </c>
      <c r="D1821" s="106">
        <v>157757</v>
      </c>
      <c r="E1821" s="106" t="s">
        <v>2898</v>
      </c>
      <c r="F1821" s="106" t="s">
        <v>319</v>
      </c>
      <c r="G1821" s="106" t="s">
        <v>118</v>
      </c>
      <c r="H1821" s="106">
        <v>5</v>
      </c>
      <c r="I1821" s="106" t="s">
        <v>3639</v>
      </c>
      <c r="J1821" s="106">
        <v>24000</v>
      </c>
      <c r="K1821" s="106">
        <v>23552</v>
      </c>
      <c r="L1821" s="106">
        <v>21351</v>
      </c>
      <c r="M1821" s="106">
        <v>0.56999999999999995</v>
      </c>
      <c r="N1821" s="106">
        <v>0.68</v>
      </c>
      <c r="O1821" s="106">
        <v>0.65</v>
      </c>
      <c r="P1821" s="106">
        <v>5825</v>
      </c>
      <c r="Q1821" s="106">
        <v>3659.8333333333335</v>
      </c>
      <c r="R1821" s="106">
        <v>0.17672491775869484</v>
      </c>
      <c r="S1821" s="106">
        <v>20034.527960526317</v>
      </c>
      <c r="T1821" s="106">
        <v>18816.318530701756</v>
      </c>
      <c r="U1821" s="106">
        <v>17658.955112307514</v>
      </c>
      <c r="V1821" s="106">
        <v>0.96548045952099193</v>
      </c>
      <c r="W1821" s="106">
        <v>72076.660831509842</v>
      </c>
      <c r="X1821" s="110">
        <v>0.63982338491939261</v>
      </c>
      <c r="Y1821" s="106">
        <v>314.34810126582278</v>
      </c>
      <c r="Z1821" s="106">
        <v>11.544303797468354</v>
      </c>
      <c r="AA1821" s="106">
        <v>51045.854397541851</v>
      </c>
      <c r="AB1821" s="106">
        <v>648.51781111903085</v>
      </c>
      <c r="AC1821" s="106">
        <v>1.9590229447666092</v>
      </c>
      <c r="AD1821" s="106">
        <v>37.69414575866189</v>
      </c>
      <c r="AE1821" s="106">
        <v>78.711568938193338</v>
      </c>
      <c r="AF1821" s="106">
        <v>8.4867815137126046E-2</v>
      </c>
      <c r="AG1821" s="106">
        <v>24000</v>
      </c>
      <c r="AH1821" s="106">
        <v>18492.69572368421</v>
      </c>
      <c r="AI1821" s="106">
        <v>20034.527960526317</v>
      </c>
      <c r="AJ1821" s="106">
        <v>20184.452850877195</v>
      </c>
      <c r="AK1821" s="104">
        <v>17888.384320175439</v>
      </c>
      <c r="AM1821" s="118">
        <v>1250</v>
      </c>
      <c r="AN1821" s="118">
        <v>49667</v>
      </c>
      <c r="AO1821" s="118">
        <v>274</v>
      </c>
      <c r="AP1821" s="118">
        <f t="shared" si="28"/>
        <v>0</v>
      </c>
    </row>
    <row r="1822" spans="1:42" ht="12.75">
      <c r="A1822" s="106">
        <v>2018</v>
      </c>
      <c r="B1822" s="106">
        <v>-218830</v>
      </c>
      <c r="C1822" s="106">
        <v>0</v>
      </c>
      <c r="D1822" s="106">
        <v>218830</v>
      </c>
      <c r="E1822" s="106" t="s">
        <v>2899</v>
      </c>
      <c r="F1822" s="106" t="s">
        <v>935</v>
      </c>
      <c r="G1822" s="106" t="s">
        <v>79</v>
      </c>
      <c r="H1822" s="106">
        <v>4</v>
      </c>
      <c r="I1822" s="106" t="s">
        <v>24</v>
      </c>
      <c r="J1822" s="106">
        <v>4494</v>
      </c>
      <c r="K1822" s="106">
        <v>4599</v>
      </c>
      <c r="L1822" s="106">
        <v>3388</v>
      </c>
      <c r="M1822" s="106">
        <v>0.63</v>
      </c>
      <c r="N1822" s="106">
        <v>0.08</v>
      </c>
      <c r="O1822" s="106">
        <v>0.03</v>
      </c>
      <c r="P1822" s="106">
        <v>2676</v>
      </c>
      <c r="Q1822" s="106">
        <v>160.76581885856081</v>
      </c>
      <c r="R1822" s="106">
        <v>2.2702542982311599E-2</v>
      </c>
      <c r="S1822" s="106">
        <v>14372.542803970224</v>
      </c>
      <c r="T1822" s="106">
        <v>16074.175558312656</v>
      </c>
      <c r="U1822" s="106">
        <v>12447.252791563276</v>
      </c>
      <c r="V1822" s="106">
        <v>0.55599702695814945</v>
      </c>
      <c r="W1822" s="106">
        <v>66273.209807073945</v>
      </c>
      <c r="X1822" s="110">
        <v>0.53028994266692664</v>
      </c>
      <c r="Y1822" s="106">
        <v>537.31666666666672</v>
      </c>
      <c r="Z1822" s="106">
        <v>17.911111111111111</v>
      </c>
      <c r="AA1822" s="106">
        <v>53435.343541944072</v>
      </c>
      <c r="AB1822" s="106">
        <v>414.92129615269289</v>
      </c>
      <c r="AC1822" s="106">
        <v>1.8714205499868266</v>
      </c>
      <c r="AD1822" s="106">
        <v>25.692781388983921</v>
      </c>
      <c r="AE1822" s="106">
        <v>128.78428761651131</v>
      </c>
      <c r="AF1822" s="106">
        <v>-3.2825365377718817E-3</v>
      </c>
      <c r="AG1822" s="106">
        <v>4344</v>
      </c>
      <c r="AH1822" s="106">
        <v>14727.108870967742</v>
      </c>
      <c r="AI1822" s="106">
        <v>14727.108870967742</v>
      </c>
      <c r="AJ1822" s="106">
        <v>14376.39547146402</v>
      </c>
      <c r="AK1822" s="104">
        <v>14068.621277915632</v>
      </c>
      <c r="AL1822" s="119">
        <v>14965454</v>
      </c>
      <c r="AM1822" s="118">
        <v>4635</v>
      </c>
      <c r="AN1822" s="118">
        <v>96717</v>
      </c>
      <c r="AO1822" s="118">
        <v>583</v>
      </c>
      <c r="AP1822" s="118">
        <f t="shared" si="28"/>
        <v>150</v>
      </c>
    </row>
    <row r="1823" spans="1:42" ht="12.75">
      <c r="A1823" s="106">
        <v>2018</v>
      </c>
      <c r="B1823" s="106">
        <v>-141060</v>
      </c>
      <c r="C1823" s="106">
        <v>0</v>
      </c>
      <c r="D1823" s="106">
        <v>141060</v>
      </c>
      <c r="E1823" s="106" t="s">
        <v>2900</v>
      </c>
      <c r="F1823" s="106" t="s">
        <v>230</v>
      </c>
      <c r="G1823" s="106" t="s">
        <v>63</v>
      </c>
      <c r="H1823" s="106">
        <v>7</v>
      </c>
      <c r="I1823" s="106" t="s">
        <v>3641</v>
      </c>
      <c r="J1823" s="106">
        <v>28181</v>
      </c>
      <c r="K1823" s="106">
        <v>39822</v>
      </c>
      <c r="L1823" s="106">
        <v>37360</v>
      </c>
      <c r="M1823" s="106">
        <v>0.45</v>
      </c>
      <c r="N1823" s="106">
        <v>0.85</v>
      </c>
      <c r="O1823" s="106">
        <v>0.61</v>
      </c>
      <c r="P1823" s="106">
        <v>10792</v>
      </c>
      <c r="Q1823" s="106">
        <v>8507.8644986449872</v>
      </c>
      <c r="R1823" s="106">
        <v>0.32573289248874238</v>
      </c>
      <c r="S1823" s="106">
        <v>51714.995483288163</v>
      </c>
      <c r="T1823" s="106">
        <v>45012.909665763327</v>
      </c>
      <c r="U1823" s="106">
        <v>32875.703186337167</v>
      </c>
      <c r="V1823" s="106">
        <v>0.53569287739076499</v>
      </c>
      <c r="W1823" s="106">
        <v>90459.052023121389</v>
      </c>
      <c r="X1823" s="110">
        <v>0.52343429891466853</v>
      </c>
      <c r="Y1823" s="106">
        <v>339.49063032367974</v>
      </c>
      <c r="Z1823" s="106">
        <v>11.315161839863714</v>
      </c>
      <c r="AA1823" s="106">
        <v>163199.11850796072</v>
      </c>
      <c r="AB1823" s="106">
        <v>1095.7412927657501</v>
      </c>
      <c r="AC1823" s="106">
        <v>0.61274840767673677</v>
      </c>
      <c r="AD1823" s="106">
        <v>21.177587844254511</v>
      </c>
      <c r="AE1823" s="106">
        <v>148.93946188340809</v>
      </c>
      <c r="AF1823" s="106">
        <v>0.12215132477847047</v>
      </c>
      <c r="AG1823" s="106">
        <v>24382</v>
      </c>
      <c r="AH1823" s="106">
        <v>31951.675248419149</v>
      </c>
      <c r="AI1823" s="106">
        <v>52023.53432700994</v>
      </c>
      <c r="AJ1823" s="106">
        <v>70905.707317073175</v>
      </c>
      <c r="AK1823" s="104">
        <v>37430.231255645893</v>
      </c>
      <c r="AM1823" s="118">
        <v>2137</v>
      </c>
      <c r="AN1823" s="118">
        <v>66427</v>
      </c>
      <c r="AO1823" s="118">
        <v>446</v>
      </c>
      <c r="AP1823" s="118">
        <f t="shared" si="28"/>
        <v>3799</v>
      </c>
    </row>
    <row r="1824" spans="1:42" ht="12.75">
      <c r="A1824" s="106">
        <v>2018</v>
      </c>
      <c r="B1824" s="106">
        <v>-236692</v>
      </c>
      <c r="C1824" s="106">
        <v>0</v>
      </c>
      <c r="D1824" s="106">
        <v>236692</v>
      </c>
      <c r="E1824" s="106" t="s">
        <v>2901</v>
      </c>
      <c r="F1824" s="106" t="s">
        <v>1356</v>
      </c>
      <c r="G1824" s="106" t="s">
        <v>182</v>
      </c>
      <c r="H1824" s="106">
        <v>4</v>
      </c>
      <c r="I1824" s="106" t="s">
        <v>24</v>
      </c>
      <c r="J1824" s="106">
        <v>3460</v>
      </c>
      <c r="K1824" s="106">
        <v>5124</v>
      </c>
      <c r="L1824" s="106">
        <v>3661</v>
      </c>
      <c r="M1824" s="106">
        <v>0.5</v>
      </c>
      <c r="N1824" s="106">
        <v>0.31</v>
      </c>
      <c r="O1824" s="106">
        <v>0.12</v>
      </c>
      <c r="P1824" s="106">
        <v>1363</v>
      </c>
      <c r="Q1824" s="106">
        <v>160.64044072004967</v>
      </c>
      <c r="R1824" s="106">
        <v>4.2778730788319945E-2</v>
      </c>
      <c r="S1824" s="106">
        <v>17797.834885164495</v>
      </c>
      <c r="T1824" s="106">
        <v>19125.482619490998</v>
      </c>
      <c r="U1824" s="106">
        <v>12153.122905027933</v>
      </c>
      <c r="V1824" s="106">
        <v>0.29576817508799497</v>
      </c>
      <c r="W1824" s="106">
        <v>90753.352466367709</v>
      </c>
      <c r="X1824" s="110">
        <v>0.54736667185688692</v>
      </c>
      <c r="Y1824" s="106">
        <v>723.18204488778053</v>
      </c>
      <c r="Z1824" s="106">
        <v>16.069825436408976</v>
      </c>
      <c r="AA1824" s="106">
        <v>41634.622009569379</v>
      </c>
      <c r="AB1824" s="106">
        <v>270.0544973034111</v>
      </c>
      <c r="AC1824" s="106">
        <v>2.4018471928726965</v>
      </c>
      <c r="AD1824" s="106">
        <v>28.783473603672533</v>
      </c>
      <c r="AE1824" s="106">
        <v>154.1711855396066</v>
      </c>
      <c r="AF1824" s="106">
        <v>-5.3122587247395658E-2</v>
      </c>
      <c r="AG1824" s="106">
        <v>2747</v>
      </c>
      <c r="AH1824" s="106">
        <v>15913.977188081937</v>
      </c>
      <c r="AI1824" s="106">
        <v>15913.977188081937</v>
      </c>
      <c r="AJ1824" s="106">
        <v>17847.320763500931</v>
      </c>
      <c r="AK1824" s="104">
        <v>15338.643699565488</v>
      </c>
      <c r="AL1824" s="118">
        <v>39933738</v>
      </c>
      <c r="AM1824" s="118">
        <v>10014</v>
      </c>
      <c r="AN1824" s="118">
        <v>289996</v>
      </c>
      <c r="AO1824" s="118">
        <v>1110</v>
      </c>
      <c r="AP1824" s="118">
        <f t="shared" si="28"/>
        <v>713</v>
      </c>
    </row>
    <row r="1825" spans="1:42" ht="12.75">
      <c r="A1825" s="106">
        <v>2018</v>
      </c>
      <c r="B1825" s="106">
        <v>-236708</v>
      </c>
      <c r="C1825" s="106">
        <v>0</v>
      </c>
      <c r="D1825" s="106">
        <v>236708</v>
      </c>
      <c r="E1825" s="106" t="s">
        <v>2902</v>
      </c>
      <c r="F1825" s="106" t="s">
        <v>1356</v>
      </c>
      <c r="G1825" s="106" t="s">
        <v>182</v>
      </c>
      <c r="H1825" s="106">
        <v>4</v>
      </c>
      <c r="I1825" s="106" t="s">
        <v>24</v>
      </c>
      <c r="J1825" s="106">
        <v>3460</v>
      </c>
      <c r="K1825" s="106">
        <v>6017</v>
      </c>
      <c r="L1825" s="106">
        <v>5226</v>
      </c>
      <c r="M1825" s="106">
        <v>0.4</v>
      </c>
      <c r="N1825" s="106">
        <v>0.24</v>
      </c>
      <c r="O1825" s="106">
        <v>0.11</v>
      </c>
      <c r="P1825" s="106">
        <v>1698</v>
      </c>
      <c r="Q1825" s="107">
        <v>127.61428879775524</v>
      </c>
      <c r="R1825" s="106">
        <v>2.8352861311393151E-2</v>
      </c>
      <c r="S1825" s="106">
        <v>15913.576516296136</v>
      </c>
      <c r="T1825" s="106">
        <v>17736.101877832938</v>
      </c>
      <c r="U1825" s="106">
        <v>8938.6710554716174</v>
      </c>
      <c r="V1825" s="106">
        <v>0.48925810804242148</v>
      </c>
      <c r="W1825" s="106">
        <v>86600.57043879907</v>
      </c>
      <c r="X1825" s="110">
        <v>0.45633961759912456</v>
      </c>
      <c r="Y1825" s="106">
        <v>1022.0343137254902</v>
      </c>
      <c r="Z1825" s="106">
        <v>22.71078431372549</v>
      </c>
      <c r="AA1825" s="106">
        <v>31278.597432024169</v>
      </c>
      <c r="AB1825" s="106">
        <v>198.62760737667571</v>
      </c>
      <c r="AC1825" s="106">
        <v>3.1970743003206512</v>
      </c>
      <c r="AD1825" s="106">
        <v>28.757602085143354</v>
      </c>
      <c r="AE1825" s="106">
        <v>157.47356495468279</v>
      </c>
      <c r="AF1825" s="106">
        <v>-5.1292170617177779E-2</v>
      </c>
      <c r="AG1825" s="106">
        <v>2747</v>
      </c>
      <c r="AH1825" s="106">
        <v>14041.940643211741</v>
      </c>
      <c r="AI1825" s="106">
        <v>14041.940643211741</v>
      </c>
      <c r="AJ1825" s="106">
        <v>15990.696093244118</v>
      </c>
      <c r="AK1825" s="104">
        <v>12091.947766026333</v>
      </c>
      <c r="AL1825" s="119">
        <v>20571926</v>
      </c>
      <c r="AM1825" s="118">
        <v>5589</v>
      </c>
      <c r="AN1825" s="118">
        <v>208495</v>
      </c>
      <c r="AO1825" s="118">
        <v>1104</v>
      </c>
      <c r="AP1825" s="118">
        <f t="shared" si="28"/>
        <v>713</v>
      </c>
    </row>
    <row r="1826" spans="1:42" ht="12.75">
      <c r="A1826" s="106">
        <v>2018</v>
      </c>
      <c r="B1826" s="106">
        <v>-148991</v>
      </c>
      <c r="C1826" s="106">
        <v>0</v>
      </c>
      <c r="D1826" s="106">
        <v>148991</v>
      </c>
      <c r="E1826" s="106" t="s">
        <v>2903</v>
      </c>
      <c r="F1826" s="106" t="s">
        <v>969</v>
      </c>
      <c r="G1826" s="106" t="s">
        <v>243</v>
      </c>
      <c r="H1826" s="106">
        <v>4</v>
      </c>
      <c r="I1826" s="106" t="s">
        <v>24</v>
      </c>
      <c r="J1826" s="106">
        <v>4800</v>
      </c>
      <c r="K1826" s="106">
        <v>9346</v>
      </c>
      <c r="L1826" s="106">
        <v>8007</v>
      </c>
      <c r="M1826" s="106">
        <v>0.6</v>
      </c>
      <c r="N1826" s="106">
        <v>0.27</v>
      </c>
      <c r="O1826" s="106">
        <v>0.31</v>
      </c>
      <c r="P1826" s="106">
        <v>1545</v>
      </c>
      <c r="Q1826" s="106">
        <v>431.89848812095033</v>
      </c>
      <c r="R1826" s="106">
        <v>7.4523187291826803E-2</v>
      </c>
      <c r="S1826" s="106">
        <v>21340.218142548598</v>
      </c>
      <c r="T1826" s="106">
        <v>21248.647948164147</v>
      </c>
      <c r="U1826" s="106">
        <v>14415.859531807861</v>
      </c>
      <c r="V1826" s="106">
        <v>0.37206195445618068</v>
      </c>
      <c r="W1826" s="106">
        <v>103447.6805896806</v>
      </c>
      <c r="X1826" s="110">
        <v>0.71326616741159188</v>
      </c>
      <c r="Y1826" s="106">
        <v>520.875</v>
      </c>
      <c r="Z1826" s="106">
        <v>17.362500000000001</v>
      </c>
      <c r="AA1826" s="106">
        <v>29019.752014030604</v>
      </c>
      <c r="AB1826" s="106">
        <v>480.52865106026201</v>
      </c>
      <c r="AC1826" s="106">
        <v>3.4459288263956056</v>
      </c>
      <c r="AD1826" s="106">
        <v>48.677248677248677</v>
      </c>
      <c r="AE1826" s="106">
        <v>60.391304347826086</v>
      </c>
      <c r="AF1826" s="106">
        <v>0.13676685146111084</v>
      </c>
      <c r="AG1826" s="106">
        <v>4050</v>
      </c>
      <c r="AH1826" s="106">
        <v>19812.803455723541</v>
      </c>
      <c r="AI1826" s="106">
        <v>19812.803455723541</v>
      </c>
      <c r="AJ1826" s="106">
        <v>21434.883369330455</v>
      </c>
      <c r="AK1826" s="104">
        <v>17141.396328293737</v>
      </c>
      <c r="AL1826" s="119">
        <v>10480207</v>
      </c>
      <c r="AM1826" s="118">
        <v>1489</v>
      </c>
      <c r="AN1826" s="118">
        <v>27780</v>
      </c>
      <c r="AO1826" s="118">
        <v>202</v>
      </c>
      <c r="AP1826" s="118">
        <f t="shared" si="28"/>
        <v>750</v>
      </c>
    </row>
    <row r="1827" spans="1:42" ht="12.75">
      <c r="A1827" s="106">
        <v>2018</v>
      </c>
      <c r="B1827" s="106">
        <v>-172334</v>
      </c>
      <c r="C1827" s="106">
        <v>0</v>
      </c>
      <c r="D1827" s="106">
        <v>172334</v>
      </c>
      <c r="E1827" s="106" t="s">
        <v>2904</v>
      </c>
      <c r="F1827" s="106" t="s">
        <v>2905</v>
      </c>
      <c r="G1827" s="106" t="s">
        <v>74</v>
      </c>
      <c r="H1827" s="106">
        <v>6</v>
      </c>
      <c r="I1827" s="106" t="s">
        <v>3640</v>
      </c>
      <c r="J1827" s="106">
        <v>27750</v>
      </c>
      <c r="K1827" s="106">
        <v>20000</v>
      </c>
      <c r="L1827" s="106">
        <v>16974</v>
      </c>
      <c r="M1827" s="106">
        <v>0.35</v>
      </c>
      <c r="N1827" s="106">
        <v>0.73</v>
      </c>
      <c r="O1827" s="106">
        <v>1</v>
      </c>
      <c r="P1827" s="106">
        <v>16100</v>
      </c>
      <c r="Q1827" s="106">
        <v>5803.5482442265102</v>
      </c>
      <c r="R1827" s="106">
        <v>0.33219503440474601</v>
      </c>
      <c r="S1827" s="106">
        <v>17476.043657070546</v>
      </c>
      <c r="T1827" s="106">
        <v>16096.812401138881</v>
      </c>
      <c r="U1827" s="106">
        <v>13286.702942106927</v>
      </c>
      <c r="V1827" s="106">
        <v>0.87807756554233274</v>
      </c>
      <c r="W1827" s="106">
        <v>61314.886198547218</v>
      </c>
      <c r="X1827" s="110">
        <v>0.49768161738220162</v>
      </c>
      <c r="Y1827" s="106">
        <v>379.03156146179396</v>
      </c>
      <c r="Z1827" s="106">
        <v>15.752491694352157</v>
      </c>
      <c r="AA1827" s="106">
        <v>43886.382445141069</v>
      </c>
      <c r="AB1827" s="106">
        <v>552.19327101329236</v>
      </c>
      <c r="AC1827" s="106">
        <v>2.2786111415084664</v>
      </c>
      <c r="AD1827" s="106">
        <v>33.391486392184227</v>
      </c>
      <c r="AE1827" s="106">
        <v>79.476489028213166</v>
      </c>
      <c r="AF1827" s="106">
        <v>9.1178913180934365E-2</v>
      </c>
      <c r="AG1827" s="106">
        <v>27150</v>
      </c>
      <c r="AH1827" s="106">
        <v>16127.896868079722</v>
      </c>
      <c r="AI1827" s="106">
        <v>17476.043657070546</v>
      </c>
      <c r="AJ1827" s="106">
        <v>17935.359063587472</v>
      </c>
      <c r="AK1827" s="104">
        <v>13286.702942106927</v>
      </c>
      <c r="AM1827" s="118">
        <v>1957</v>
      </c>
      <c r="AN1827" s="118">
        <v>76059</v>
      </c>
      <c r="AO1827" s="118">
        <v>590</v>
      </c>
      <c r="AP1827" s="118">
        <f t="shared" si="28"/>
        <v>600</v>
      </c>
    </row>
    <row r="1828" spans="1:42" ht="12.75">
      <c r="A1828" s="106">
        <v>2018</v>
      </c>
      <c r="B1828" s="106">
        <v>-102234</v>
      </c>
      <c r="C1828" s="106">
        <v>0</v>
      </c>
      <c r="D1828" s="106">
        <v>102234</v>
      </c>
      <c r="E1828" s="106" t="s">
        <v>2906</v>
      </c>
      <c r="F1828" s="106" t="s">
        <v>379</v>
      </c>
      <c r="G1828" s="106" t="s">
        <v>85</v>
      </c>
      <c r="H1828" s="106">
        <v>7</v>
      </c>
      <c r="I1828" s="106" t="s">
        <v>3641</v>
      </c>
      <c r="J1828" s="106">
        <v>37584</v>
      </c>
      <c r="K1828" s="106">
        <v>19779</v>
      </c>
      <c r="L1828" s="106">
        <v>16022</v>
      </c>
      <c r="M1828" s="106">
        <v>0.43</v>
      </c>
      <c r="N1828" s="106">
        <v>0.91</v>
      </c>
      <c r="O1828" s="106">
        <v>1</v>
      </c>
      <c r="P1828" s="106">
        <v>29411</v>
      </c>
      <c r="Q1828" s="106">
        <v>24116.105657805045</v>
      </c>
      <c r="R1828" s="106">
        <v>0.68188125943063926</v>
      </c>
      <c r="S1828" s="106">
        <v>24499.927062031358</v>
      </c>
      <c r="T1828" s="106">
        <v>28866.732788002726</v>
      </c>
      <c r="U1828" s="106">
        <v>21045.105657805045</v>
      </c>
      <c r="V1828" s="106">
        <v>0.53460937117892326</v>
      </c>
      <c r="W1828" s="106">
        <v>54193.65140478668</v>
      </c>
      <c r="X1828" s="110">
        <v>0.40994236329953576</v>
      </c>
      <c r="Y1828" s="106">
        <v>420.44230769230768</v>
      </c>
      <c r="Z1828" s="106">
        <v>14.10576923076923</v>
      </c>
      <c r="AA1828" s="106">
        <v>99590.870967741939</v>
      </c>
      <c r="AB1828" s="106">
        <v>706.05978136577778</v>
      </c>
      <c r="AC1828" s="106">
        <v>1.0041080977431214</v>
      </c>
      <c r="AD1828" s="106">
        <v>21.939136588818116</v>
      </c>
      <c r="AE1828" s="106">
        <v>141.05161290322582</v>
      </c>
      <c r="AF1828" s="106">
        <v>-4.3120386801208714E-2</v>
      </c>
      <c r="AG1828" s="106">
        <v>35312</v>
      </c>
      <c r="AH1828" s="106">
        <v>21902.179959100205</v>
      </c>
      <c r="AI1828" s="106">
        <v>23393.927743694614</v>
      </c>
      <c r="AJ1828" s="106">
        <v>26303.845262440354</v>
      </c>
      <c r="AK1828" s="104">
        <v>22151.104976141785</v>
      </c>
      <c r="AM1828" s="118">
        <v>1377</v>
      </c>
      <c r="AN1828" s="118">
        <v>43726</v>
      </c>
      <c r="AO1828" s="118">
        <v>269</v>
      </c>
      <c r="AP1828" s="118">
        <f t="shared" si="28"/>
        <v>2272</v>
      </c>
    </row>
    <row r="1829" spans="1:42" ht="12.75">
      <c r="A1829" s="106">
        <v>2018</v>
      </c>
      <c r="B1829" s="106">
        <v>-167899</v>
      </c>
      <c r="C1829" s="106">
        <v>0</v>
      </c>
      <c r="D1829" s="106">
        <v>167899</v>
      </c>
      <c r="E1829" s="106" t="s">
        <v>2907</v>
      </c>
      <c r="F1829" s="106" t="s">
        <v>149</v>
      </c>
      <c r="G1829" s="106" t="s">
        <v>150</v>
      </c>
      <c r="H1829" s="106">
        <v>6</v>
      </c>
      <c r="I1829" s="106" t="s">
        <v>3640</v>
      </c>
      <c r="J1829" s="106">
        <v>36535</v>
      </c>
      <c r="K1829" s="106">
        <v>29032</v>
      </c>
      <c r="L1829" s="106">
        <v>21584</v>
      </c>
      <c r="M1829" s="106">
        <v>0.28999999999999998</v>
      </c>
      <c r="N1829" s="106">
        <v>0.83</v>
      </c>
      <c r="O1829" s="106">
        <v>0.98</v>
      </c>
      <c r="P1829" s="106">
        <v>20861</v>
      </c>
      <c r="Q1829" s="106">
        <v>13887.058805790108</v>
      </c>
      <c r="R1829" s="106">
        <v>0.44655007568453542</v>
      </c>
      <c r="S1829" s="106">
        <v>29019.385404101326</v>
      </c>
      <c r="T1829" s="106">
        <v>29899.395657418576</v>
      </c>
      <c r="U1829" s="106">
        <v>22260.019913383829</v>
      </c>
      <c r="V1829" s="106">
        <v>0.77320186185592243</v>
      </c>
      <c r="W1829" s="106">
        <v>81778.870010235405</v>
      </c>
      <c r="X1829" s="110">
        <v>0.53723893302183168</v>
      </c>
      <c r="Y1829" s="106">
        <v>354.23841059602648</v>
      </c>
      <c r="Z1829" s="106">
        <v>13.17615894039735</v>
      </c>
      <c r="AA1829" s="106">
        <v>76889.818784146642</v>
      </c>
      <c r="AB1829" s="106">
        <v>827.97785791116974</v>
      </c>
      <c r="AC1829" s="106">
        <v>1.3005623056640403</v>
      </c>
      <c r="AD1829" s="106">
        <v>31.057910061468778</v>
      </c>
      <c r="AE1829" s="106">
        <v>92.864583333333329</v>
      </c>
      <c r="AF1829" s="106">
        <v>2.011779408700428E-2</v>
      </c>
      <c r="AG1829" s="106">
        <v>36020</v>
      </c>
      <c r="AH1829" s="106">
        <v>26639.288299155611</v>
      </c>
      <c r="AI1829" s="106">
        <v>28293.708082026536</v>
      </c>
      <c r="AJ1829" s="106">
        <v>30896.801869722556</v>
      </c>
      <c r="AK1829" s="104">
        <v>22617.124246079613</v>
      </c>
      <c r="AL1829" s="118"/>
      <c r="AM1829" s="118">
        <v>2227</v>
      </c>
      <c r="AN1829" s="118">
        <v>89150</v>
      </c>
      <c r="AO1829" s="118">
        <v>499</v>
      </c>
      <c r="AP1829" s="118">
        <f t="shared" si="28"/>
        <v>515</v>
      </c>
    </row>
    <row r="1830" spans="1:42" ht="12.75">
      <c r="A1830" s="106">
        <v>2018</v>
      </c>
      <c r="B1830" s="106">
        <v>-167905</v>
      </c>
      <c r="C1830" s="106">
        <v>0</v>
      </c>
      <c r="D1830" s="106">
        <v>167905</v>
      </c>
      <c r="E1830" s="106" t="s">
        <v>2908</v>
      </c>
      <c r="F1830" s="106" t="s">
        <v>149</v>
      </c>
      <c r="G1830" s="106" t="s">
        <v>150</v>
      </c>
      <c r="H1830" s="106">
        <v>4</v>
      </c>
      <c r="I1830" s="106" t="s">
        <v>24</v>
      </c>
      <c r="J1830" s="106">
        <v>6066</v>
      </c>
      <c r="K1830" s="106">
        <v>7770</v>
      </c>
      <c r="L1830" s="106">
        <v>7076</v>
      </c>
      <c r="M1830" s="106">
        <v>0.68</v>
      </c>
      <c r="N1830" s="106">
        <v>0.17</v>
      </c>
      <c r="O1830" s="106">
        <v>0.37</v>
      </c>
      <c r="P1830" s="106">
        <v>558</v>
      </c>
      <c r="Q1830" s="106">
        <v>546.26444444444439</v>
      </c>
      <c r="R1830" s="106">
        <v>8.5062542997837914E-2</v>
      </c>
      <c r="S1830" s="106">
        <v>18123.345833333333</v>
      </c>
      <c r="T1830" s="106">
        <v>19375.703888888889</v>
      </c>
      <c r="U1830" s="106">
        <v>17574.775277777779</v>
      </c>
      <c r="V1830" s="106">
        <v>0.33432295665041772</v>
      </c>
      <c r="W1830" s="106">
        <v>80774.031354236169</v>
      </c>
      <c r="X1830" s="110">
        <v>0.57861827643422958</v>
      </c>
      <c r="Y1830" s="106">
        <v>503.95334370139972</v>
      </c>
      <c r="Z1830" s="106">
        <v>16.796267496111977</v>
      </c>
      <c r="AA1830" s="106">
        <v>63523.284136546186</v>
      </c>
      <c r="AB1830" s="106">
        <v>585.7499120484382</v>
      </c>
      <c r="AC1830" s="106">
        <v>1.5742259135255892</v>
      </c>
      <c r="AD1830" s="106">
        <v>30.063386658617571</v>
      </c>
      <c r="AE1830" s="106">
        <v>108.44779116465864</v>
      </c>
      <c r="AF1830" s="106">
        <v>0.42872860505643862</v>
      </c>
      <c r="AG1830" s="106">
        <v>750</v>
      </c>
      <c r="AH1830" s="106">
        <v>17582.397777777776</v>
      </c>
      <c r="AI1830" s="106">
        <v>17582.397777777776</v>
      </c>
      <c r="AJ1830" s="106">
        <v>18344.041666666668</v>
      </c>
      <c r="AK1830" s="104">
        <v>18872.68</v>
      </c>
      <c r="AL1830" s="119">
        <v>33635550</v>
      </c>
      <c r="AM1830" s="118">
        <v>5343</v>
      </c>
      <c r="AN1830" s="118">
        <v>108014</v>
      </c>
      <c r="AO1830" s="118">
        <v>839</v>
      </c>
      <c r="AP1830" s="118">
        <f t="shared" si="28"/>
        <v>5316</v>
      </c>
    </row>
    <row r="1831" spans="1:42" ht="12.75">
      <c r="A1831" s="106">
        <v>2018</v>
      </c>
      <c r="B1831" s="106">
        <v>-195164</v>
      </c>
      <c r="C1831" s="106">
        <v>0</v>
      </c>
      <c r="D1831" s="106">
        <v>195164</v>
      </c>
      <c r="E1831" s="106" t="s">
        <v>2910</v>
      </c>
      <c r="F1831" s="106" t="s">
        <v>2911</v>
      </c>
      <c r="G1831" s="106" t="s">
        <v>69</v>
      </c>
      <c r="H1831" s="106">
        <v>6</v>
      </c>
      <c r="I1831" s="106" t="s">
        <v>3640</v>
      </c>
      <c r="J1831" s="106">
        <v>33331</v>
      </c>
      <c r="K1831" s="106">
        <v>21613</v>
      </c>
      <c r="L1831" s="106">
        <v>11321</v>
      </c>
      <c r="M1831" s="106">
        <v>0.28000000000000003</v>
      </c>
      <c r="N1831" s="106">
        <v>1</v>
      </c>
      <c r="O1831" s="106">
        <v>1</v>
      </c>
      <c r="P1831" s="106">
        <v>22718</v>
      </c>
      <c r="Q1831" s="106">
        <v>15322.50123701138</v>
      </c>
      <c r="R1831" s="106">
        <v>0.52119778304445641</v>
      </c>
      <c r="S1831" s="106">
        <v>27253.432953983178</v>
      </c>
      <c r="T1831" s="106">
        <v>27068.870361207322</v>
      </c>
      <c r="U1831" s="106">
        <v>23719.831856724213</v>
      </c>
      <c r="V1831" s="106">
        <v>0.59343294353085008</v>
      </c>
      <c r="W1831" s="106">
        <v>74394.567328918318</v>
      </c>
      <c r="X1831" s="110">
        <v>0.61603158341121456</v>
      </c>
      <c r="Y1831" s="106">
        <v>395.90497737556558</v>
      </c>
      <c r="Z1831" s="106">
        <v>13.717194570135746</v>
      </c>
      <c r="AA1831" s="106">
        <v>83225.312816735473</v>
      </c>
      <c r="AB1831" s="106">
        <v>821.8374795549397</v>
      </c>
      <c r="AC1831" s="106">
        <v>1.2015575143610799</v>
      </c>
      <c r="AD1831" s="106">
        <v>30.443974630021142</v>
      </c>
      <c r="AE1831" s="106">
        <v>101.26736111111111</v>
      </c>
      <c r="AF1831" s="106">
        <v>3.6280122543680779E-2</v>
      </c>
      <c r="AG1831" s="106">
        <v>32366</v>
      </c>
      <c r="AH1831" s="106">
        <v>22204.924789708064</v>
      </c>
      <c r="AI1831" s="106">
        <v>27253.432953983178</v>
      </c>
      <c r="AJ1831" s="106">
        <v>29662.989114299853</v>
      </c>
      <c r="AK1831" s="104">
        <v>24391.427016328551</v>
      </c>
      <c r="AL1831" s="118">
        <v>153554</v>
      </c>
      <c r="AM1831" s="118">
        <v>1622</v>
      </c>
      <c r="AN1831" s="118">
        <v>58330</v>
      </c>
      <c r="AO1831" s="118">
        <v>367</v>
      </c>
      <c r="AP1831" s="118">
        <f t="shared" si="28"/>
        <v>965</v>
      </c>
    </row>
    <row r="1832" spans="1:42" ht="12.75">
      <c r="A1832" s="106">
        <v>2018</v>
      </c>
      <c r="B1832" s="106">
        <v>-175005</v>
      </c>
      <c r="C1832" s="106">
        <v>0</v>
      </c>
      <c r="D1832" s="106">
        <v>175005</v>
      </c>
      <c r="E1832" s="106" t="s">
        <v>2912</v>
      </c>
      <c r="F1832" s="106" t="s">
        <v>366</v>
      </c>
      <c r="G1832" s="106" t="s">
        <v>113</v>
      </c>
      <c r="H1832" s="106">
        <v>6</v>
      </c>
      <c r="I1832" s="106" t="s">
        <v>3640</v>
      </c>
      <c r="J1832" s="106">
        <v>32431</v>
      </c>
      <c r="K1832" s="106">
        <v>20157</v>
      </c>
      <c r="L1832" s="106">
        <v>17029</v>
      </c>
      <c r="M1832" s="106">
        <v>0.49</v>
      </c>
      <c r="N1832" s="106">
        <v>0.72</v>
      </c>
      <c r="O1832" s="106">
        <v>1</v>
      </c>
      <c r="P1832" s="106">
        <v>22790</v>
      </c>
      <c r="Q1832" s="106">
        <v>8617.9169110459425</v>
      </c>
      <c r="R1832" s="106">
        <v>0.32392244202863785</v>
      </c>
      <c r="S1832" s="106">
        <v>24263.129032258064</v>
      </c>
      <c r="T1832" s="106">
        <v>25630.77028347996</v>
      </c>
      <c r="U1832" s="106">
        <v>20749.814983313696</v>
      </c>
      <c r="V1832" s="106">
        <v>0.86684920657851505</v>
      </c>
      <c r="W1832" s="106">
        <v>79080.962073324903</v>
      </c>
      <c r="X1832" s="110">
        <v>0.59641855246538578</v>
      </c>
      <c r="Y1832" s="106">
        <v>299.04619565217394</v>
      </c>
      <c r="Z1832" s="106">
        <v>11.119565217391305</v>
      </c>
      <c r="AA1832" s="106">
        <v>54956.791528621136</v>
      </c>
      <c r="AB1832" s="106">
        <v>771.54942717988945</v>
      </c>
      <c r="AC1832" s="106">
        <v>1.8196113204301723</v>
      </c>
      <c r="AD1832" s="106">
        <v>43.435479336519542</v>
      </c>
      <c r="AE1832" s="106">
        <v>71.229126213592238</v>
      </c>
      <c r="AF1832" s="106">
        <v>2.1545773591398656E-2</v>
      </c>
      <c r="AG1832" s="106">
        <v>31851</v>
      </c>
      <c r="AH1832" s="106">
        <v>22039.481182795698</v>
      </c>
      <c r="AI1832" s="106">
        <v>24263.129032258064</v>
      </c>
      <c r="AJ1832" s="106">
        <v>26651.925219941349</v>
      </c>
      <c r="AK1832" s="104">
        <v>22701.647116324537</v>
      </c>
      <c r="AM1832" s="118">
        <v>3158</v>
      </c>
      <c r="AN1832" s="118">
        <v>110049</v>
      </c>
      <c r="AO1832" s="118">
        <v>834</v>
      </c>
      <c r="AP1832" s="118">
        <f t="shared" si="28"/>
        <v>580</v>
      </c>
    </row>
    <row r="1833" spans="1:42" ht="12.75">
      <c r="A1833" s="106">
        <v>2018</v>
      </c>
      <c r="B1833" s="106">
        <v>-262031</v>
      </c>
      <c r="C1833" s="106">
        <v>0</v>
      </c>
      <c r="D1833" s="106">
        <v>262031</v>
      </c>
      <c r="E1833" s="106" t="s">
        <v>2913</v>
      </c>
      <c r="F1833" s="106" t="s">
        <v>2914</v>
      </c>
      <c r="G1833" s="106" t="s">
        <v>264</v>
      </c>
      <c r="H1833" s="106">
        <v>4</v>
      </c>
      <c r="I1833" s="106" t="s">
        <v>24</v>
      </c>
      <c r="J1833" s="106">
        <v>3330</v>
      </c>
      <c r="K1833" s="106">
        <v>3668</v>
      </c>
      <c r="L1833" s="106">
        <v>1628</v>
      </c>
      <c r="M1833" s="106">
        <v>0.28000000000000003</v>
      </c>
      <c r="N1833" s="106">
        <v>0.06</v>
      </c>
      <c r="O1833" s="106">
        <v>0.03</v>
      </c>
      <c r="P1833" s="106">
        <v>2163</v>
      </c>
      <c r="Q1833" s="106">
        <v>82.29936305732484</v>
      </c>
      <c r="R1833" s="106">
        <v>1.9462286609489326E-2</v>
      </c>
      <c r="S1833" s="106">
        <v>12517.142323742588</v>
      </c>
      <c r="T1833" s="106">
        <v>12266.205139468482</v>
      </c>
      <c r="U1833" s="106">
        <v>10799.673572759661</v>
      </c>
      <c r="V1833" s="106">
        <v>0.3839337435481413</v>
      </c>
      <c r="W1833" s="106">
        <v>62075.559402985069</v>
      </c>
      <c r="X1833" s="110">
        <v>0.62059221710802626</v>
      </c>
      <c r="Y1833" s="106">
        <v>700.43076923076922</v>
      </c>
      <c r="Z1833" s="106">
        <v>23.348717948717947</v>
      </c>
      <c r="AA1833" s="106">
        <v>57175.481135784576</v>
      </c>
      <c r="AB1833" s="106">
        <v>360.00493305785989</v>
      </c>
      <c r="AC1833" s="106">
        <v>1.7490014603027579</v>
      </c>
      <c r="AD1833" s="106">
        <v>19.706691109074242</v>
      </c>
      <c r="AE1833" s="106">
        <v>158.81860465116279</v>
      </c>
      <c r="AF1833" s="106">
        <v>4.3782750825300656E-2</v>
      </c>
      <c r="AG1833" s="106">
        <v>3090</v>
      </c>
      <c r="AH1833" s="106">
        <v>11810.132659784756</v>
      </c>
      <c r="AI1833" s="106">
        <v>11810.132659784756</v>
      </c>
      <c r="AJ1833" s="106">
        <v>12570.62310564463</v>
      </c>
      <c r="AK1833" s="104">
        <v>11604.506918515264</v>
      </c>
      <c r="AL1833" s="118">
        <v>26843920</v>
      </c>
      <c r="AM1833" s="118">
        <v>6563</v>
      </c>
      <c r="AN1833" s="118">
        <v>136584</v>
      </c>
      <c r="AO1833" s="118">
        <v>788</v>
      </c>
      <c r="AP1833" s="118">
        <f t="shared" si="28"/>
        <v>240</v>
      </c>
    </row>
    <row r="1834" spans="1:42" ht="12.75">
      <c r="A1834" s="106">
        <v>2018</v>
      </c>
      <c r="B1834" s="106">
        <v>-172291</v>
      </c>
      <c r="C1834" s="106">
        <v>0</v>
      </c>
      <c r="D1834" s="106">
        <v>172291</v>
      </c>
      <c r="E1834" s="106" t="s">
        <v>2915</v>
      </c>
      <c r="F1834" s="106" t="s">
        <v>275</v>
      </c>
      <c r="G1834" s="106" t="s">
        <v>74</v>
      </c>
      <c r="H1834" s="106">
        <v>4</v>
      </c>
      <c r="I1834" s="106" t="s">
        <v>24</v>
      </c>
      <c r="J1834" s="106">
        <v>4328</v>
      </c>
      <c r="K1834" s="106">
        <v>4110</v>
      </c>
      <c r="L1834" s="106">
        <v>1680</v>
      </c>
      <c r="M1834" s="106">
        <v>0.49</v>
      </c>
      <c r="N1834" s="106">
        <v>0.19</v>
      </c>
      <c r="O1834" s="106">
        <v>0.2</v>
      </c>
      <c r="P1834" s="106">
        <v>1627</v>
      </c>
      <c r="Q1834" s="106">
        <v>54.785384292314156</v>
      </c>
      <c r="R1834" s="106">
        <v>9.189855004259442E-3</v>
      </c>
      <c r="S1834" s="106">
        <v>14795.998740025199</v>
      </c>
      <c r="T1834" s="106">
        <v>13985.197816043679</v>
      </c>
      <c r="U1834" s="106">
        <v>12507.988748977436</v>
      </c>
      <c r="V1834" s="106">
        <v>0.47223591770915052</v>
      </c>
      <c r="W1834" s="106">
        <v>83534.627118644072</v>
      </c>
      <c r="X1834" s="110">
        <v>0.59203929420066026</v>
      </c>
      <c r="Y1834" s="106">
        <v>624.75218658892118</v>
      </c>
      <c r="Z1834" s="106">
        <v>20.825072886297374</v>
      </c>
      <c r="AA1834" s="106">
        <v>35454.191918232471</v>
      </c>
      <c r="AB1834" s="106">
        <v>416.93295829924784</v>
      </c>
      <c r="AC1834" s="106">
        <v>2.8205409456413131</v>
      </c>
      <c r="AD1834" s="106">
        <v>39.923954372623577</v>
      </c>
      <c r="AE1834" s="106">
        <v>85.035714285714292</v>
      </c>
      <c r="AF1834" s="106">
        <v>7.8613869852979162E-2</v>
      </c>
      <c r="AG1834" s="106">
        <v>4154</v>
      </c>
      <c r="AH1834" s="106">
        <v>14094.752624947501</v>
      </c>
      <c r="AI1834" s="106">
        <v>14094.752624947501</v>
      </c>
      <c r="AJ1834" s="106">
        <v>14897.932381352373</v>
      </c>
      <c r="AK1834" s="104">
        <v>13550.608987820244</v>
      </c>
      <c r="AL1834" s="118">
        <v>17602472</v>
      </c>
      <c r="AM1834" s="118">
        <v>3601</v>
      </c>
      <c r="AN1834" s="118">
        <v>71430</v>
      </c>
      <c r="AO1834" s="118">
        <v>772</v>
      </c>
      <c r="AP1834" s="118">
        <f t="shared" si="28"/>
        <v>174</v>
      </c>
    </row>
    <row r="1835" spans="1:42" ht="12.75">
      <c r="A1835" s="106">
        <v>2018</v>
      </c>
      <c r="B1835" s="106">
        <v>-174756</v>
      </c>
      <c r="C1835" s="106">
        <v>0</v>
      </c>
      <c r="D1835" s="106">
        <v>174756</v>
      </c>
      <c r="E1835" s="106" t="s">
        <v>2916</v>
      </c>
      <c r="F1835" s="106" t="s">
        <v>2660</v>
      </c>
      <c r="G1835" s="106" t="s">
        <v>113</v>
      </c>
      <c r="H1835" s="106">
        <v>4</v>
      </c>
      <c r="I1835" s="106" t="s">
        <v>24</v>
      </c>
      <c r="J1835" s="106">
        <v>5359</v>
      </c>
      <c r="K1835" s="106">
        <v>8941</v>
      </c>
      <c r="L1835" s="106">
        <v>7532</v>
      </c>
      <c r="M1835" s="106">
        <v>0.5</v>
      </c>
      <c r="N1835" s="106">
        <v>0.48</v>
      </c>
      <c r="O1835" s="106">
        <v>0.06</v>
      </c>
      <c r="P1835" s="106">
        <v>910</v>
      </c>
      <c r="Q1835" s="106">
        <v>2.246469833119384</v>
      </c>
      <c r="R1835" s="106">
        <v>4.0371417036737988E-4</v>
      </c>
      <c r="S1835" s="106">
        <v>13186.456996148909</v>
      </c>
      <c r="T1835" s="106">
        <v>14468.870346598203</v>
      </c>
      <c r="U1835" s="106">
        <v>11546.455230728872</v>
      </c>
      <c r="V1835" s="106">
        <v>0.48172873801135202</v>
      </c>
      <c r="W1835" s="106">
        <v>129508.54700854702</v>
      </c>
      <c r="X1835" s="110">
        <v>0.67217478096928029</v>
      </c>
      <c r="Y1835" s="106">
        <v>768.33698630136996</v>
      </c>
      <c r="Z1835" s="106">
        <v>25.610958904109591</v>
      </c>
      <c r="AA1835" s="106">
        <v>33437.504181181379</v>
      </c>
      <c r="AB1835" s="106">
        <v>384.87772380431494</v>
      </c>
      <c r="AC1835" s="106">
        <v>2.9906538316421347</v>
      </c>
      <c r="AD1835" s="106">
        <v>37.596086652690424</v>
      </c>
      <c r="AE1835" s="106">
        <v>86.878252788104092</v>
      </c>
      <c r="AF1835" s="106">
        <v>-7.3396793587174353E-2</v>
      </c>
      <c r="AG1835" s="106">
        <v>4767</v>
      </c>
      <c r="AH1835" s="106">
        <v>13224.967907573813</v>
      </c>
      <c r="AI1835" s="106">
        <v>13491.976893453146</v>
      </c>
      <c r="AJ1835" s="106">
        <v>13302.310654685494</v>
      </c>
      <c r="AK1835" s="104">
        <v>12091.142490372273</v>
      </c>
      <c r="AL1835" s="119">
        <v>16396000</v>
      </c>
      <c r="AM1835" s="118">
        <v>4218</v>
      </c>
      <c r="AN1835" s="118">
        <v>93481</v>
      </c>
      <c r="AO1835" s="118">
        <v>781</v>
      </c>
      <c r="AP1835" s="118">
        <f t="shared" si="28"/>
        <v>592</v>
      </c>
    </row>
    <row r="1836" spans="1:42" ht="12.75">
      <c r="A1836" s="106">
        <v>2018</v>
      </c>
      <c r="B1836" s="106">
        <v>-195173</v>
      </c>
      <c r="C1836" s="106">
        <v>0</v>
      </c>
      <c r="D1836" s="106">
        <v>195173</v>
      </c>
      <c r="E1836" s="106" t="s">
        <v>2917</v>
      </c>
      <c r="F1836" s="106" t="s">
        <v>2918</v>
      </c>
      <c r="G1836" s="106" t="s">
        <v>69</v>
      </c>
      <c r="H1836" s="106">
        <v>7</v>
      </c>
      <c r="I1836" s="106" t="s">
        <v>3641</v>
      </c>
      <c r="J1836" s="106">
        <v>26188</v>
      </c>
      <c r="K1836" s="106">
        <v>14819</v>
      </c>
      <c r="L1836" s="106">
        <v>24730</v>
      </c>
      <c r="M1836" s="106">
        <v>0.46</v>
      </c>
      <c r="N1836" s="106">
        <v>0.44</v>
      </c>
      <c r="O1836" s="106">
        <v>0.91</v>
      </c>
      <c r="P1836" s="106">
        <v>13297</v>
      </c>
      <c r="Q1836" s="106">
        <v>10581.695475113122</v>
      </c>
      <c r="R1836" s="106">
        <v>0.39843662814742664</v>
      </c>
      <c r="S1836" s="106">
        <v>20714.630769230771</v>
      </c>
      <c r="T1836" s="106">
        <v>25322.443438914026</v>
      </c>
      <c r="U1836" s="106">
        <v>25322.443438914026</v>
      </c>
      <c r="V1836" s="106">
        <v>0.63091634412982955</v>
      </c>
      <c r="W1836" s="106">
        <v>81018.556179775274</v>
      </c>
      <c r="X1836" s="110">
        <v>0.5153907431034298</v>
      </c>
      <c r="Y1836" s="106">
        <v>366.06133828996286</v>
      </c>
      <c r="Z1836" s="106">
        <v>12.323420074349444</v>
      </c>
      <c r="AA1836" s="106">
        <v>101198.19168173599</v>
      </c>
      <c r="AB1836" s="106">
        <v>852.47764558928816</v>
      </c>
      <c r="AC1836" s="106">
        <v>0.98815994968067966</v>
      </c>
      <c r="AD1836" s="106">
        <v>24.787090990587181</v>
      </c>
      <c r="AE1836" s="106">
        <v>118.71066907775769</v>
      </c>
      <c r="AF1836" s="106">
        <v>-4.6965121902283066E-2</v>
      </c>
      <c r="AG1836" s="106">
        <v>25188</v>
      </c>
      <c r="AH1836" s="106">
        <v>17235.747963800906</v>
      </c>
      <c r="AI1836" s="106">
        <v>20714.630769230771</v>
      </c>
      <c r="AJ1836" s="106">
        <v>23230.047058823529</v>
      </c>
      <c r="AK1836" s="104">
        <v>25322.443438914026</v>
      </c>
      <c r="AL1836" s="118">
        <v>280046</v>
      </c>
      <c r="AM1836" s="118">
        <v>2288</v>
      </c>
      <c r="AN1836" s="118">
        <v>65647</v>
      </c>
      <c r="AO1836" s="118">
        <v>519</v>
      </c>
      <c r="AP1836" s="118">
        <f t="shared" si="28"/>
        <v>1000</v>
      </c>
    </row>
    <row r="1837" spans="1:42" ht="12.75">
      <c r="A1837" s="106">
        <v>2018</v>
      </c>
      <c r="B1837" s="106">
        <v>-195809</v>
      </c>
      <c r="C1837" s="106">
        <v>0</v>
      </c>
      <c r="D1837" s="106">
        <v>195809</v>
      </c>
      <c r="E1837" s="106" t="s">
        <v>2920</v>
      </c>
      <c r="F1837" s="106" t="s">
        <v>514</v>
      </c>
      <c r="G1837" s="106" t="s">
        <v>69</v>
      </c>
      <c r="H1837" s="106">
        <v>5</v>
      </c>
      <c r="I1837" s="106" t="s">
        <v>3639</v>
      </c>
      <c r="J1837" s="106">
        <v>40197</v>
      </c>
      <c r="K1837" s="106">
        <v>25816</v>
      </c>
      <c r="L1837" s="106">
        <v>23142</v>
      </c>
      <c r="M1837" s="106">
        <v>0.41</v>
      </c>
      <c r="N1837" s="106">
        <v>0.56999999999999995</v>
      </c>
      <c r="O1837" s="106">
        <v>1</v>
      </c>
      <c r="P1837" s="106">
        <v>23546</v>
      </c>
      <c r="Q1837" s="106">
        <v>15414.543336275376</v>
      </c>
      <c r="R1837" s="106">
        <v>0.42812621041652527</v>
      </c>
      <c r="S1837" s="106">
        <v>28424.536628420123</v>
      </c>
      <c r="T1837" s="106">
        <v>27590.820829655782</v>
      </c>
      <c r="U1837" s="106">
        <v>22031.319868423529</v>
      </c>
      <c r="V1837" s="106">
        <v>0.9345843893485094</v>
      </c>
      <c r="W1837" s="106">
        <v>128301.88215379656</v>
      </c>
      <c r="X1837" s="110">
        <v>0.5657541703454424</v>
      </c>
      <c r="Y1837" s="106">
        <v>501.7988295537674</v>
      </c>
      <c r="Z1837" s="106">
        <v>18.648500365764448</v>
      </c>
      <c r="AA1837" s="106">
        <v>91211.274339551252</v>
      </c>
      <c r="AB1837" s="106">
        <v>818.75654630347708</v>
      </c>
      <c r="AC1837" s="106">
        <v>1.0963556942284467</v>
      </c>
      <c r="AD1837" s="106">
        <v>24.1584274952919</v>
      </c>
      <c r="AE1837" s="106">
        <v>111.40219244823386</v>
      </c>
      <c r="AF1837" s="106">
        <v>9.2699165653330765E-2</v>
      </c>
      <c r="AG1837" s="106">
        <v>39367</v>
      </c>
      <c r="AH1837" s="106">
        <v>25732.698970285379</v>
      </c>
      <c r="AI1837" s="106">
        <v>28539.053780523682</v>
      </c>
      <c r="AJ1837" s="106">
        <v>32121.27096204766</v>
      </c>
      <c r="AK1837" s="104">
        <v>22760.017652250663</v>
      </c>
      <c r="AL1837" s="118">
        <v>1206874</v>
      </c>
      <c r="AM1837" s="118">
        <v>16761</v>
      </c>
      <c r="AN1837" s="118">
        <v>457306</v>
      </c>
      <c r="AO1837" s="118">
        <v>2172</v>
      </c>
      <c r="AP1837" s="118">
        <f t="shared" si="28"/>
        <v>830</v>
      </c>
    </row>
    <row r="1838" spans="1:42" ht="12.75">
      <c r="A1838" s="106">
        <v>2018</v>
      </c>
      <c r="B1838" s="106">
        <v>-195216</v>
      </c>
      <c r="C1838" s="106">
        <v>0</v>
      </c>
      <c r="D1838" s="106">
        <v>195216</v>
      </c>
      <c r="E1838" s="106" t="s">
        <v>2921</v>
      </c>
      <c r="F1838" s="106" t="s">
        <v>969</v>
      </c>
      <c r="G1838" s="106" t="s">
        <v>69</v>
      </c>
      <c r="H1838" s="106">
        <v>7</v>
      </c>
      <c r="I1838" s="106" t="s">
        <v>3641</v>
      </c>
      <c r="J1838" s="106">
        <v>52990</v>
      </c>
      <c r="K1838" s="106">
        <v>33580</v>
      </c>
      <c r="L1838" s="106">
        <v>11097</v>
      </c>
      <c r="M1838" s="106">
        <v>0.22</v>
      </c>
      <c r="N1838" s="106">
        <v>0.59</v>
      </c>
      <c r="O1838" s="106">
        <v>1</v>
      </c>
      <c r="P1838" s="106">
        <v>32825</v>
      </c>
      <c r="Q1838" s="106">
        <v>28963.87756745872</v>
      </c>
      <c r="R1838" s="106">
        <v>0.56441816456679605</v>
      </c>
      <c r="S1838" s="106">
        <v>51839.265807490941</v>
      </c>
      <c r="T1838" s="106">
        <v>52420.460732984291</v>
      </c>
      <c r="U1838" s="106">
        <v>40262.071542643782</v>
      </c>
      <c r="V1838" s="106">
        <v>0.55517431482890212</v>
      </c>
      <c r="W1838" s="106">
        <v>94965.832107312846</v>
      </c>
      <c r="X1838" s="110">
        <v>0.56204166988194004</v>
      </c>
      <c r="Y1838" s="106">
        <v>342.81355932203388</v>
      </c>
      <c r="Z1838" s="106">
        <v>11.477657935285054</v>
      </c>
      <c r="AA1838" s="106">
        <v>184447.82959480537</v>
      </c>
      <c r="AB1838" s="106">
        <v>1348.0046875810322</v>
      </c>
      <c r="AC1838" s="106">
        <v>0.54215872433782386</v>
      </c>
      <c r="AD1838" s="106">
        <v>22.231337161607875</v>
      </c>
      <c r="AE1838" s="106">
        <v>136.83025830258302</v>
      </c>
      <c r="AF1838" s="106">
        <v>4.6788371657014494E-2</v>
      </c>
      <c r="AG1838" s="106">
        <v>52610</v>
      </c>
      <c r="AH1838" s="106">
        <v>39363.161900926301</v>
      </c>
      <c r="AI1838" s="106">
        <v>51839.265807490941</v>
      </c>
      <c r="AJ1838" s="106">
        <v>60003.936367297625</v>
      </c>
      <c r="AK1838" s="104">
        <v>41804.761175996777</v>
      </c>
      <c r="AL1838" s="118"/>
      <c r="AM1838" s="118">
        <v>2414</v>
      </c>
      <c r="AN1838" s="118">
        <v>74162</v>
      </c>
      <c r="AO1838" s="118">
        <v>512</v>
      </c>
      <c r="AP1838" s="118">
        <f t="shared" si="28"/>
        <v>380</v>
      </c>
    </row>
    <row r="1839" spans="1:42" ht="12.75">
      <c r="A1839" s="106">
        <v>2018</v>
      </c>
      <c r="B1839" s="106">
        <v>-163912</v>
      </c>
      <c r="C1839" s="106">
        <v>0</v>
      </c>
      <c r="D1839" s="106">
        <v>163912</v>
      </c>
      <c r="E1839" s="106" t="s">
        <v>2922</v>
      </c>
      <c r="F1839" s="106" t="s">
        <v>2923</v>
      </c>
      <c r="G1839" s="106" t="s">
        <v>124</v>
      </c>
      <c r="H1839" s="106">
        <v>3</v>
      </c>
      <c r="I1839" s="104" t="s">
        <v>26</v>
      </c>
      <c r="J1839" s="106">
        <v>14496</v>
      </c>
      <c r="K1839" s="106">
        <v>20479</v>
      </c>
      <c r="L1839" s="106">
        <v>8882</v>
      </c>
      <c r="M1839" s="106">
        <v>0.2</v>
      </c>
      <c r="N1839" s="106">
        <v>0.84</v>
      </c>
      <c r="O1839" s="106">
        <v>0.88</v>
      </c>
      <c r="P1839" s="106">
        <v>7257</v>
      </c>
      <c r="Q1839" s="106">
        <v>4639.2404833836854</v>
      </c>
      <c r="R1839" s="106">
        <v>0.31853195588328698</v>
      </c>
      <c r="S1839" s="106">
        <v>40032.014501510574</v>
      </c>
      <c r="T1839" s="106">
        <v>40645.949244712989</v>
      </c>
      <c r="U1839" s="106">
        <v>32491.40970936247</v>
      </c>
      <c r="V1839" s="106">
        <v>0.30547158481887787</v>
      </c>
      <c r="W1839" s="106">
        <v>80548.029529130086</v>
      </c>
      <c r="X1839" s="110">
        <v>0.50011452518592281</v>
      </c>
      <c r="Y1839" s="106">
        <v>310.2138364779874</v>
      </c>
      <c r="Z1839" s="106">
        <v>10.408805031446541</v>
      </c>
      <c r="AA1839" s="106">
        <v>144551.83620697551</v>
      </c>
      <c r="AB1839" s="106">
        <v>1090.2052361729561</v>
      </c>
      <c r="AC1839" s="106">
        <v>0.69179335679150922</v>
      </c>
      <c r="AD1839" s="106">
        <v>23.754789272030653</v>
      </c>
      <c r="AE1839" s="106">
        <v>132.59139784946237</v>
      </c>
      <c r="AF1839" s="106">
        <v>2.0556774333899935E-2</v>
      </c>
      <c r="AG1839" s="106">
        <v>11646</v>
      </c>
      <c r="AH1839" s="106">
        <v>38616.748640483383</v>
      </c>
      <c r="AI1839" s="106">
        <v>38626.629003021146</v>
      </c>
      <c r="AJ1839" s="106">
        <v>40073.328700906342</v>
      </c>
      <c r="AK1839" s="104">
        <v>34417.870694864047</v>
      </c>
      <c r="AL1839" s="118">
        <v>24485644</v>
      </c>
      <c r="AM1839" s="118">
        <v>1545</v>
      </c>
      <c r="AN1839" s="118">
        <v>49324</v>
      </c>
      <c r="AO1839" s="118">
        <v>345</v>
      </c>
      <c r="AP1839" s="118">
        <f t="shared" si="28"/>
        <v>2850</v>
      </c>
    </row>
    <row r="1840" spans="1:42" ht="12.75">
      <c r="A1840" s="106">
        <v>2018</v>
      </c>
      <c r="B1840" s="106">
        <v>-174844</v>
      </c>
      <c r="C1840" s="106">
        <v>0</v>
      </c>
      <c r="D1840" s="106">
        <v>174844</v>
      </c>
      <c r="E1840" s="106" t="s">
        <v>2924</v>
      </c>
      <c r="F1840" s="106" t="s">
        <v>600</v>
      </c>
      <c r="G1840" s="106" t="s">
        <v>113</v>
      </c>
      <c r="H1840" s="106">
        <v>7</v>
      </c>
      <c r="I1840" s="106" t="s">
        <v>3641</v>
      </c>
      <c r="J1840" s="106">
        <v>46000</v>
      </c>
      <c r="K1840" s="106">
        <v>26894</v>
      </c>
      <c r="L1840" s="106">
        <v>10458</v>
      </c>
      <c r="M1840" s="106">
        <v>0.2</v>
      </c>
      <c r="N1840" s="106">
        <v>0.57999999999999996</v>
      </c>
      <c r="O1840" s="106">
        <v>0.97</v>
      </c>
      <c r="P1840" s="106">
        <v>29442</v>
      </c>
      <c r="Q1840" s="106">
        <v>25699.921698739217</v>
      </c>
      <c r="R1840" s="106">
        <v>0.54951931120055353</v>
      </c>
      <c r="S1840" s="106">
        <v>40260.02322495023</v>
      </c>
      <c r="T1840" s="106">
        <v>40572.555076310549</v>
      </c>
      <c r="U1840" s="106">
        <v>32857.336651005739</v>
      </c>
      <c r="V1840" s="106">
        <v>0.64119874261342324</v>
      </c>
      <c r="W1840" s="106">
        <v>86711.576070901036</v>
      </c>
      <c r="X1840" s="110">
        <v>0.48005405473433965</v>
      </c>
      <c r="Y1840" s="106">
        <v>359.41365461847391</v>
      </c>
      <c r="Z1840" s="106">
        <v>12.10441767068273</v>
      </c>
      <c r="AA1840" s="106">
        <v>145421.45765951733</v>
      </c>
      <c r="AB1840" s="106">
        <v>1106.5771187580319</v>
      </c>
      <c r="AC1840" s="106">
        <v>0.6876564271150073</v>
      </c>
      <c r="AD1840" s="106">
        <v>22.579575596816976</v>
      </c>
      <c r="AE1840" s="106">
        <v>131.41556534508075</v>
      </c>
      <c r="AF1840" s="106">
        <v>6.7754162337064661E-2</v>
      </c>
      <c r="AG1840" s="106">
        <v>46000</v>
      </c>
      <c r="AH1840" s="106">
        <v>33436.27571333776</v>
      </c>
      <c r="AI1840" s="106">
        <v>40372.124087591241</v>
      </c>
      <c r="AJ1840" s="106">
        <v>55323.79893828799</v>
      </c>
      <c r="AK1840" s="104">
        <v>33826.396151293964</v>
      </c>
      <c r="AL1840" s="118"/>
      <c r="AM1840" s="118">
        <v>3035</v>
      </c>
      <c r="AN1840" s="118">
        <v>89494</v>
      </c>
      <c r="AO1840" s="118">
        <v>681</v>
      </c>
      <c r="AP1840" s="118">
        <f t="shared" si="28"/>
        <v>0</v>
      </c>
    </row>
    <row r="1841" spans="1:42" ht="12.75">
      <c r="A1841" s="106">
        <v>2018</v>
      </c>
      <c r="B1841" s="106">
        <v>-137078</v>
      </c>
      <c r="C1841" s="106">
        <v>0</v>
      </c>
      <c r="D1841" s="106">
        <v>137078</v>
      </c>
      <c r="E1841" s="106" t="s">
        <v>2925</v>
      </c>
      <c r="F1841" s="106" t="s">
        <v>770</v>
      </c>
      <c r="G1841" s="106" t="s">
        <v>258</v>
      </c>
      <c r="H1841" s="106">
        <v>3</v>
      </c>
      <c r="I1841" s="104" t="s">
        <v>26</v>
      </c>
      <c r="J1841" s="106">
        <v>3352</v>
      </c>
      <c r="K1841" s="106">
        <v>3477</v>
      </c>
      <c r="L1841" s="106">
        <v>1640</v>
      </c>
      <c r="M1841" s="106">
        <v>0.54</v>
      </c>
      <c r="N1841" s="106">
        <v>0.24</v>
      </c>
      <c r="O1841" s="106">
        <v>0.22</v>
      </c>
      <c r="P1841" s="106">
        <v>2132</v>
      </c>
      <c r="Q1841" s="106">
        <v>425.07166640241002</v>
      </c>
      <c r="R1841" s="106">
        <v>0.11762985318990925</v>
      </c>
      <c r="S1841" s="106">
        <v>10291.147190951853</v>
      </c>
      <c r="T1841" s="106">
        <v>11575.344643517785</v>
      </c>
      <c r="U1841" s="106">
        <v>9327.2485908124563</v>
      </c>
      <c r="V1841" s="106">
        <v>0.34185493758848962</v>
      </c>
      <c r="W1841" s="106">
        <v>68402.106720762036</v>
      </c>
      <c r="X1841" s="110">
        <v>0.5901693674177837</v>
      </c>
      <c r="Y1841" s="106">
        <v>754.2523035952064</v>
      </c>
      <c r="Z1841" s="106">
        <v>25.194407456724367</v>
      </c>
      <c r="AA1841" s="106">
        <v>23851.989537337813</v>
      </c>
      <c r="AB1841" s="106">
        <v>311.55954092147465</v>
      </c>
      <c r="AC1841" s="106">
        <v>4.1925223823975086</v>
      </c>
      <c r="AD1841" s="106">
        <v>43.291791001111697</v>
      </c>
      <c r="AE1841" s="106">
        <v>76.556761724557376</v>
      </c>
      <c r="AF1841" s="106">
        <v>-1.8062244410986236E-2</v>
      </c>
      <c r="AG1841" s="106">
        <v>2428</v>
      </c>
      <c r="AH1841" s="106">
        <v>8753.9482056973739</v>
      </c>
      <c r="AI1841" s="106">
        <v>8952.7249616827867</v>
      </c>
      <c r="AJ1841" s="106">
        <v>10312.118122720787</v>
      </c>
      <c r="AK1841" s="104">
        <v>11358.246234342794</v>
      </c>
      <c r="AL1841" s="118">
        <v>72055542</v>
      </c>
      <c r="AM1841" s="118">
        <v>29548</v>
      </c>
      <c r="AN1841" s="118">
        <v>566443.48</v>
      </c>
      <c r="AO1841" s="118">
        <v>6020</v>
      </c>
      <c r="AP1841" s="118">
        <f t="shared" si="28"/>
        <v>924</v>
      </c>
    </row>
    <row r="1842" spans="1:42" ht="12.75">
      <c r="A1842" s="106">
        <v>2018</v>
      </c>
      <c r="B1842" s="106">
        <v>-227854</v>
      </c>
      <c r="C1842" s="106">
        <v>0</v>
      </c>
      <c r="D1842" s="106">
        <v>227854</v>
      </c>
      <c r="E1842" s="106" t="s">
        <v>4198</v>
      </c>
      <c r="F1842" s="106" t="s">
        <v>2291</v>
      </c>
      <c r="G1842" s="106" t="s">
        <v>60</v>
      </c>
      <c r="H1842" s="106">
        <v>4</v>
      </c>
      <c r="I1842" s="106" t="s">
        <v>24</v>
      </c>
      <c r="J1842" s="106">
        <v>2760</v>
      </c>
      <c r="K1842" s="106">
        <v>4745</v>
      </c>
      <c r="L1842" s="106">
        <v>3783</v>
      </c>
      <c r="M1842" s="106">
        <v>0.74</v>
      </c>
      <c r="N1842" s="106">
        <v>0.08</v>
      </c>
      <c r="O1842" s="106">
        <v>0.16</v>
      </c>
      <c r="P1842" s="106">
        <v>1696</v>
      </c>
      <c r="Q1842" s="106">
        <v>1504.7889453961457</v>
      </c>
      <c r="R1842" s="106">
        <v>0.42467815203272691</v>
      </c>
      <c r="S1842" s="106">
        <v>11250.231664882227</v>
      </c>
      <c r="T1842" s="106">
        <v>10811.980326552462</v>
      </c>
      <c r="U1842" s="106">
        <v>9533.1633955028028</v>
      </c>
      <c r="V1842" s="106">
        <v>0.2138402744952016</v>
      </c>
      <c r="W1842" s="106">
        <v>72481.803722504235</v>
      </c>
      <c r="X1842" s="110">
        <v>0.53024229098310316</v>
      </c>
      <c r="Y1842" s="106">
        <v>819.0840438489646</v>
      </c>
      <c r="Z1842" s="106">
        <v>27.303288672350789</v>
      </c>
      <c r="AA1842" s="106">
        <v>32600.364709929949</v>
      </c>
      <c r="AB1842" s="106">
        <v>317.77778373631281</v>
      </c>
      <c r="AC1842" s="106">
        <v>3.06745034571777</v>
      </c>
      <c r="AD1842" s="106">
        <v>42.767664905069488</v>
      </c>
      <c r="AE1842" s="106">
        <v>102.58855835240274</v>
      </c>
      <c r="AF1842" s="106"/>
      <c r="AG1842" s="106">
        <v>2580</v>
      </c>
      <c r="AH1842" s="106">
        <v>10230.907789079229</v>
      </c>
      <c r="AI1842" s="106">
        <v>10232.520476445396</v>
      </c>
      <c r="AJ1842" s="106">
        <v>11250.231664882227</v>
      </c>
      <c r="AK1842" s="104">
        <v>10753.126472162741</v>
      </c>
      <c r="AL1842" s="118">
        <v>54742457</v>
      </c>
      <c r="AM1842" s="118">
        <v>12050</v>
      </c>
      <c r="AN1842" s="118">
        <v>224156</v>
      </c>
      <c r="AO1842" s="118">
        <v>1242</v>
      </c>
      <c r="AP1842" s="118">
        <f t="shared" si="28"/>
        <v>180</v>
      </c>
    </row>
    <row r="1843" spans="1:42" ht="12.75">
      <c r="A1843" s="106">
        <v>2018</v>
      </c>
      <c r="B1843" s="106">
        <v>-137476</v>
      </c>
      <c r="C1843" s="106">
        <v>0</v>
      </c>
      <c r="D1843" s="106">
        <v>137476</v>
      </c>
      <c r="E1843" s="106" t="s">
        <v>2926</v>
      </c>
      <c r="F1843" s="106" t="s">
        <v>1253</v>
      </c>
      <c r="G1843" s="106" t="s">
        <v>258</v>
      </c>
      <c r="H1843" s="106">
        <v>6</v>
      </c>
      <c r="I1843" s="106" t="s">
        <v>3640</v>
      </c>
      <c r="J1843" s="106">
        <v>29730</v>
      </c>
      <c r="K1843" s="106">
        <v>19476</v>
      </c>
      <c r="L1843" s="106">
        <v>16008</v>
      </c>
      <c r="M1843" s="106">
        <v>0.55000000000000004</v>
      </c>
      <c r="N1843" s="106">
        <v>0.59</v>
      </c>
      <c r="O1843" s="106">
        <v>0.94</v>
      </c>
      <c r="P1843" s="106">
        <v>16944</v>
      </c>
      <c r="Q1843" s="106">
        <v>7686.6795520231217</v>
      </c>
      <c r="R1843" s="106">
        <v>0.34508577535137541</v>
      </c>
      <c r="S1843" s="106">
        <v>19208.515895953758</v>
      </c>
      <c r="T1843" s="106">
        <v>20118.049494219653</v>
      </c>
      <c r="U1843" s="106">
        <v>17204.565986410613</v>
      </c>
      <c r="V1843" s="106">
        <v>0.84791519979655372</v>
      </c>
      <c r="W1843" s="106">
        <v>62788.094027954263</v>
      </c>
      <c r="X1843" s="110">
        <v>0.59157364171351245</v>
      </c>
      <c r="Y1843" s="106">
        <v>276.92576419213975</v>
      </c>
      <c r="Z1843" s="106">
        <v>12.087336244541484</v>
      </c>
      <c r="AA1843" s="106">
        <v>53749.705023007424</v>
      </c>
      <c r="AB1843" s="106">
        <v>750.94989671982739</v>
      </c>
      <c r="AC1843" s="106">
        <v>1.8604753264635641</v>
      </c>
      <c r="AD1843" s="106">
        <v>29.741524001342732</v>
      </c>
      <c r="AE1843" s="106">
        <v>71.575620767494357</v>
      </c>
      <c r="AF1843" s="106">
        <v>-2.5141898674974602E-3</v>
      </c>
      <c r="AG1843" s="106">
        <v>28800</v>
      </c>
      <c r="AH1843" s="106">
        <v>17021.440390173411</v>
      </c>
      <c r="AI1843" s="106">
        <v>19208.515534682079</v>
      </c>
      <c r="AJ1843" s="106">
        <v>20075.893063583815</v>
      </c>
      <c r="AK1843" s="104">
        <v>18638.704841040464</v>
      </c>
      <c r="AL1843" s="118"/>
      <c r="AM1843" s="118">
        <v>2906</v>
      </c>
      <c r="AN1843" s="118">
        <v>63416</v>
      </c>
      <c r="AO1843" s="118">
        <v>166</v>
      </c>
      <c r="AP1843" s="118">
        <f t="shared" si="28"/>
        <v>930</v>
      </c>
    </row>
    <row r="1844" spans="1:42" ht="12.75">
      <c r="A1844" s="106">
        <v>2018</v>
      </c>
      <c r="B1844" s="106">
        <v>-199698</v>
      </c>
      <c r="C1844" s="106">
        <v>0</v>
      </c>
      <c r="D1844" s="106">
        <v>199698</v>
      </c>
      <c r="E1844" s="106" t="s">
        <v>4199</v>
      </c>
      <c r="F1844" s="106" t="s">
        <v>2909</v>
      </c>
      <c r="G1844" s="106" t="s">
        <v>90</v>
      </c>
      <c r="H1844" s="106">
        <v>7</v>
      </c>
      <c r="I1844" s="106" t="s">
        <v>3641</v>
      </c>
      <c r="J1844" s="106">
        <v>25874</v>
      </c>
      <c r="K1844" s="106">
        <v>25069</v>
      </c>
      <c r="L1844" s="106">
        <v>23268</v>
      </c>
      <c r="M1844" s="106">
        <v>0.54</v>
      </c>
      <c r="N1844" s="106">
        <v>0.73</v>
      </c>
      <c r="O1844" s="106">
        <v>0.93</v>
      </c>
      <c r="P1844" s="106">
        <v>13964</v>
      </c>
      <c r="Q1844" s="106">
        <v>9116.3286604361365</v>
      </c>
      <c r="R1844" s="106">
        <v>0.79291561365617436</v>
      </c>
      <c r="S1844" s="106">
        <v>26418.831775700935</v>
      </c>
      <c r="T1844" s="106">
        <v>24330.526479750777</v>
      </c>
      <c r="U1844" s="106">
        <v>21387.442367601245</v>
      </c>
      <c r="V1844" s="106">
        <v>0.11132212995397625</v>
      </c>
      <c r="W1844" s="106">
        <v>51121.935698447887</v>
      </c>
      <c r="X1844" s="110">
        <v>0.49201239318477269</v>
      </c>
      <c r="Y1844" s="106">
        <v>462.96774193548384</v>
      </c>
      <c r="Z1844" s="106">
        <v>15.532258064516128</v>
      </c>
      <c r="AA1844" s="106">
        <v>108116.04724409449</v>
      </c>
      <c r="AB1844" s="106">
        <v>717.53438545150505</v>
      </c>
      <c r="AC1844" s="106">
        <v>0.92493207575586978</v>
      </c>
      <c r="AD1844" s="106">
        <v>20.616883116883116</v>
      </c>
      <c r="AE1844" s="106">
        <v>150.6771653543307</v>
      </c>
      <c r="AF1844" s="106">
        <v>0.33172205082695583</v>
      </c>
      <c r="AG1844" s="106">
        <v>25874</v>
      </c>
      <c r="AH1844" s="106">
        <v>9404.0965732087225</v>
      </c>
      <c r="AI1844" s="106">
        <v>17675.394080996884</v>
      </c>
      <c r="AJ1844" s="106">
        <v>26702.573208722741</v>
      </c>
      <c r="AK1844" s="104">
        <v>21387.442367601245</v>
      </c>
      <c r="AL1844" s="118"/>
      <c r="AM1844" s="118">
        <v>638</v>
      </c>
      <c r="AN1844" s="118">
        <v>19136</v>
      </c>
      <c r="AO1844" s="118">
        <v>109</v>
      </c>
      <c r="AP1844" s="118">
        <f t="shared" si="28"/>
        <v>0</v>
      </c>
    </row>
    <row r="1845" spans="1:42" ht="12.75">
      <c r="A1845" s="106">
        <v>2018</v>
      </c>
      <c r="B1845" s="106">
        <v>-163976</v>
      </c>
      <c r="C1845" s="106">
        <v>0</v>
      </c>
      <c r="D1845" s="106">
        <v>163976</v>
      </c>
      <c r="E1845" s="106" t="s">
        <v>4253</v>
      </c>
      <c r="F1845" s="106" t="s">
        <v>2919</v>
      </c>
      <c r="G1845" s="106" t="s">
        <v>124</v>
      </c>
      <c r="H1845" s="106">
        <v>7</v>
      </c>
      <c r="I1845" s="106" t="s">
        <v>3641</v>
      </c>
      <c r="J1845" s="106">
        <v>51795</v>
      </c>
      <c r="K1845" s="106">
        <v>29434</v>
      </c>
      <c r="L1845" s="106">
        <v>14407</v>
      </c>
      <c r="M1845" s="106">
        <v>0.21</v>
      </c>
      <c r="N1845" s="106">
        <v>0.6</v>
      </c>
      <c r="O1845" s="106">
        <v>0.99</v>
      </c>
      <c r="P1845" s="106">
        <v>34374</v>
      </c>
      <c r="Q1845" s="106">
        <v>26544.248299319726</v>
      </c>
      <c r="R1845" s="106">
        <v>0.628935167005506</v>
      </c>
      <c r="S1845" s="106">
        <v>36419.489795918365</v>
      </c>
      <c r="T1845" s="106">
        <v>47346.248299319726</v>
      </c>
      <c r="U1845" s="106">
        <v>39361.372448979593</v>
      </c>
      <c r="V1845" s="106">
        <v>0.39787267697918732</v>
      </c>
      <c r="W1845" s="106">
        <v>97888.700404858304</v>
      </c>
      <c r="X1845" s="110">
        <v>0.57899572817046108</v>
      </c>
      <c r="Y1845" s="106">
        <v>291.79661016949154</v>
      </c>
      <c r="Z1845" s="106">
        <v>9.9661016949152543</v>
      </c>
      <c r="AA1845" s="106">
        <v>188166.56097560975</v>
      </c>
      <c r="AB1845" s="106">
        <v>1344.3591426579926</v>
      </c>
      <c r="AC1845" s="106">
        <v>0.53144405404189776</v>
      </c>
      <c r="AD1845" s="106">
        <v>24.404761904761905</v>
      </c>
      <c r="AE1845" s="106">
        <v>139.96747967479675</v>
      </c>
      <c r="AF1845" s="106">
        <v>1.3656470847052233E-2</v>
      </c>
      <c r="AG1845" s="106">
        <v>51200</v>
      </c>
      <c r="AH1845" s="106">
        <v>25548.386054421768</v>
      </c>
      <c r="AI1845" s="106">
        <v>36817.517006802722</v>
      </c>
      <c r="AJ1845" s="106">
        <v>46852.743197278913</v>
      </c>
      <c r="AK1845" s="104">
        <v>39361.372448979593</v>
      </c>
      <c r="AL1845" s="118">
        <v>631708</v>
      </c>
      <c r="AM1845" s="118">
        <v>458</v>
      </c>
      <c r="AN1845" s="118">
        <v>17216</v>
      </c>
      <c r="AO1845" s="118">
        <v>92</v>
      </c>
      <c r="AP1845" s="118">
        <f t="shared" si="28"/>
        <v>595</v>
      </c>
    </row>
    <row r="1846" spans="1:42" ht="12.75">
      <c r="A1846" s="106">
        <v>2018</v>
      </c>
      <c r="B1846" s="106">
        <v>-245652</v>
      </c>
      <c r="C1846" s="106">
        <v>0</v>
      </c>
      <c r="D1846" s="106">
        <v>245652</v>
      </c>
      <c r="E1846" s="106" t="s">
        <v>4254</v>
      </c>
      <c r="F1846" s="106" t="s">
        <v>2719</v>
      </c>
      <c r="G1846" s="106" t="s">
        <v>674</v>
      </c>
      <c r="H1846" s="106">
        <v>7</v>
      </c>
      <c r="I1846" s="106" t="s">
        <v>3641</v>
      </c>
      <c r="J1846" s="106">
        <v>52320</v>
      </c>
      <c r="K1846" s="106">
        <v>27821</v>
      </c>
      <c r="L1846" s="106">
        <v>28321</v>
      </c>
      <c r="M1846" s="106">
        <v>0.3</v>
      </c>
      <c r="N1846" s="106">
        <v>0.57999999999999996</v>
      </c>
      <c r="O1846" s="106">
        <v>0.97</v>
      </c>
      <c r="P1846" s="106">
        <v>36232</v>
      </c>
      <c r="Q1846" s="106">
        <v>25376.012738853504</v>
      </c>
      <c r="R1846" s="106">
        <v>0.64246347377444235</v>
      </c>
      <c r="S1846" s="106">
        <v>36967.269639065817</v>
      </c>
      <c r="T1846" s="106">
        <v>46221.384288747344</v>
      </c>
      <c r="U1846" s="106">
        <v>36167.430997876858</v>
      </c>
      <c r="V1846" s="106">
        <v>0.39046103108566788</v>
      </c>
      <c r="W1846" s="106">
        <v>105432.59268292684</v>
      </c>
      <c r="X1846" s="110">
        <v>0.66187142723802439</v>
      </c>
      <c r="Y1846" s="106">
        <v>303.53333333333336</v>
      </c>
      <c r="Z1846" s="106">
        <v>10.466666666666667</v>
      </c>
      <c r="AA1846" s="106">
        <v>168661.9801980198</v>
      </c>
      <c r="AB1846" s="106">
        <v>1247.1527930302366</v>
      </c>
      <c r="AC1846" s="106">
        <v>0.59290184950155156</v>
      </c>
      <c r="AD1846" s="106">
        <v>27.1505376344086</v>
      </c>
      <c r="AE1846" s="106">
        <v>135.23762376237624</v>
      </c>
      <c r="AF1846" s="106">
        <v>-1.7415686697820381E-2</v>
      </c>
      <c r="AG1846" s="106">
        <v>51200</v>
      </c>
      <c r="AH1846" s="106">
        <v>25972.766454352441</v>
      </c>
      <c r="AI1846" s="106">
        <v>37222.819532908703</v>
      </c>
      <c r="AJ1846" s="106">
        <v>42165.063694267519</v>
      </c>
      <c r="AK1846" s="104">
        <v>36167.430997876858</v>
      </c>
      <c r="AL1846" s="118"/>
      <c r="AM1846" s="118">
        <v>322</v>
      </c>
      <c r="AN1846" s="118">
        <v>13659</v>
      </c>
      <c r="AO1846" s="118">
        <v>62</v>
      </c>
      <c r="AP1846" s="118">
        <f t="shared" si="28"/>
        <v>1120</v>
      </c>
    </row>
    <row r="1847" spans="1:42" ht="12.75">
      <c r="A1847" s="106">
        <v>2018</v>
      </c>
      <c r="B1847" s="106">
        <v>-195544</v>
      </c>
      <c r="C1847" s="106">
        <v>0</v>
      </c>
      <c r="D1847" s="106">
        <v>195544</v>
      </c>
      <c r="E1847" s="106" t="s">
        <v>4200</v>
      </c>
      <c r="F1847" s="106" t="s">
        <v>501</v>
      </c>
      <c r="G1847" s="106" t="s">
        <v>69</v>
      </c>
      <c r="H1847" s="106">
        <v>6</v>
      </c>
      <c r="I1847" s="106" t="s">
        <v>3640</v>
      </c>
      <c r="J1847" s="106">
        <v>26550</v>
      </c>
      <c r="K1847" s="106">
        <v>16973</v>
      </c>
      <c r="L1847" s="106">
        <v>12399</v>
      </c>
      <c r="M1847" s="106">
        <v>0.44</v>
      </c>
      <c r="N1847" s="106">
        <v>0.59</v>
      </c>
      <c r="O1847" s="106">
        <v>0.96</v>
      </c>
      <c r="P1847" s="106">
        <v>12294</v>
      </c>
      <c r="Q1847" s="106">
        <v>7297.1086739780658</v>
      </c>
      <c r="R1847" s="106">
        <v>0.28634585289514869</v>
      </c>
      <c r="S1847" s="106">
        <v>20350.947158524428</v>
      </c>
      <c r="T1847" s="106">
        <v>19363.908275174475</v>
      </c>
      <c r="U1847" s="106">
        <v>19363.908275174475</v>
      </c>
      <c r="V1847" s="106">
        <v>0.9391926681083308</v>
      </c>
      <c r="W1847" s="106">
        <v>59122.41653418124</v>
      </c>
      <c r="X1847" s="110">
        <v>0.63824528884769849</v>
      </c>
      <c r="Y1847" s="106">
        <v>329.58270676691728</v>
      </c>
      <c r="Z1847" s="106">
        <v>11.31203007518797</v>
      </c>
      <c r="AA1847" s="106">
        <v>61657.142857142855</v>
      </c>
      <c r="AB1847" s="106">
        <v>664.6134893748075</v>
      </c>
      <c r="AC1847" s="106">
        <v>1.6218721037998147</v>
      </c>
      <c r="AD1847" s="106">
        <v>32.44078269824923</v>
      </c>
      <c r="AE1847" s="106">
        <v>92.771428571428572</v>
      </c>
      <c r="AF1847" s="106">
        <v>0.13741374137413742</v>
      </c>
      <c r="AG1847" s="106">
        <v>25930</v>
      </c>
      <c r="AH1847" s="106">
        <v>19852.442671984049</v>
      </c>
      <c r="AI1847" s="106">
        <v>20350.947158524428</v>
      </c>
      <c r="AJ1847" s="106">
        <v>21647.058823529413</v>
      </c>
      <c r="AK1847" s="104">
        <v>19363.908275174475</v>
      </c>
      <c r="AL1847" s="118">
        <v>84000</v>
      </c>
      <c r="AM1847" s="118">
        <v>929</v>
      </c>
      <c r="AN1847" s="118">
        <v>29223</v>
      </c>
      <c r="AO1847" s="118">
        <v>209</v>
      </c>
      <c r="AP1847" s="118">
        <f t="shared" si="28"/>
        <v>620</v>
      </c>
    </row>
    <row r="1848" spans="1:42" ht="12.75">
      <c r="A1848" s="106">
        <v>2018</v>
      </c>
      <c r="B1848" s="106">
        <v>-228149</v>
      </c>
      <c r="C1848" s="106">
        <v>0</v>
      </c>
      <c r="D1848" s="106">
        <v>228149</v>
      </c>
      <c r="E1848" s="106" t="s">
        <v>4201</v>
      </c>
      <c r="F1848" s="106" t="s">
        <v>2291</v>
      </c>
      <c r="G1848" s="106" t="s">
        <v>60</v>
      </c>
      <c r="H1848" s="106">
        <v>6</v>
      </c>
      <c r="I1848" s="106" t="s">
        <v>3640</v>
      </c>
      <c r="J1848" s="106">
        <v>29300</v>
      </c>
      <c r="K1848" s="106">
        <v>18113</v>
      </c>
      <c r="L1848" s="106">
        <v>15536</v>
      </c>
      <c r="M1848" s="106">
        <v>0.48</v>
      </c>
      <c r="N1848" s="106">
        <v>0.63</v>
      </c>
      <c r="O1848" s="106">
        <v>0.99</v>
      </c>
      <c r="P1848" s="106">
        <v>18200</v>
      </c>
      <c r="Q1848" s="106">
        <v>12020.540190146932</v>
      </c>
      <c r="R1848" s="106">
        <v>0.41263210206200862</v>
      </c>
      <c r="S1848" s="106">
        <v>27046.384327283205</v>
      </c>
      <c r="T1848" s="106">
        <v>29526.649380581966</v>
      </c>
      <c r="U1848" s="106">
        <v>24576.571999741205</v>
      </c>
      <c r="V1848" s="106">
        <v>0.69622541556108963</v>
      </c>
      <c r="W1848" s="106">
        <v>93288.985654789445</v>
      </c>
      <c r="X1848" s="110">
        <v>0.65568477953301396</v>
      </c>
      <c r="Y1848" s="106">
        <v>287.70473876063187</v>
      </c>
      <c r="Z1848" s="106">
        <v>12.652490886998786</v>
      </c>
      <c r="AA1848" s="106">
        <v>94155.939747352895</v>
      </c>
      <c r="AB1848" s="106">
        <v>1080.812414143471</v>
      </c>
      <c r="AC1848" s="106">
        <v>1.0620678872552105</v>
      </c>
      <c r="AD1848" s="106">
        <v>26.964285714285712</v>
      </c>
      <c r="AE1848" s="106">
        <v>87.115894039735096</v>
      </c>
      <c r="AF1848" s="106">
        <v>3.7267452083699665E-2</v>
      </c>
      <c r="AG1848" s="106">
        <v>28590</v>
      </c>
      <c r="AH1848" s="106">
        <v>25186.74186113512</v>
      </c>
      <c r="AI1848" s="106">
        <v>28284.120138288679</v>
      </c>
      <c r="AJ1848" s="106">
        <v>32579.660040334198</v>
      </c>
      <c r="AK1848" s="104">
        <v>25808.552866609047</v>
      </c>
      <c r="AL1848" s="118"/>
      <c r="AM1848" s="118">
        <v>2327</v>
      </c>
      <c r="AN1848" s="118">
        <v>78927</v>
      </c>
      <c r="AO1848" s="118">
        <v>463</v>
      </c>
      <c r="AP1848" s="118">
        <f t="shared" si="28"/>
        <v>710</v>
      </c>
    </row>
    <row r="1849" spans="1:42" ht="12.75">
      <c r="A1849" s="106">
        <v>2018</v>
      </c>
      <c r="B1849" s="106">
        <v>-195243</v>
      </c>
      <c r="C1849" s="106">
        <v>0</v>
      </c>
      <c r="D1849" s="106">
        <v>195243</v>
      </c>
      <c r="E1849" s="106" t="s">
        <v>2927</v>
      </c>
      <c r="F1849" s="106" t="s">
        <v>2928</v>
      </c>
      <c r="G1849" s="106" t="s">
        <v>69</v>
      </c>
      <c r="H1849" s="106">
        <v>6</v>
      </c>
      <c r="I1849" s="106" t="s">
        <v>3640</v>
      </c>
      <c r="J1849" s="106">
        <v>30750</v>
      </c>
      <c r="K1849" s="106">
        <v>20266</v>
      </c>
      <c r="L1849" s="106">
        <v>12767</v>
      </c>
      <c r="M1849" s="106">
        <v>0.37</v>
      </c>
      <c r="N1849" s="106">
        <v>0.71</v>
      </c>
      <c r="O1849" s="106">
        <v>0.97</v>
      </c>
      <c r="P1849" s="106">
        <v>20534</v>
      </c>
      <c r="Q1849" s="106">
        <v>25992.703296703297</v>
      </c>
      <c r="R1849" s="106">
        <v>0.52125473755866347</v>
      </c>
      <c r="S1849" s="106">
        <v>39819.836538461539</v>
      </c>
      <c r="T1849" s="106">
        <v>44294.309065934067</v>
      </c>
      <c r="U1849" s="106">
        <v>35217.301576919068</v>
      </c>
      <c r="V1849" s="106">
        <v>0.67787535856273362</v>
      </c>
      <c r="W1849" s="106">
        <v>85063.174114021574</v>
      </c>
      <c r="X1849" s="110">
        <v>0.5706708843758207</v>
      </c>
      <c r="Y1849" s="106">
        <v>250.94117647058823</v>
      </c>
      <c r="Z1849" s="106">
        <v>8.5647058823529409</v>
      </c>
      <c r="AA1849" s="106">
        <v>82703.85660644219</v>
      </c>
      <c r="AB1849" s="106">
        <v>1201.9782254100835</v>
      </c>
      <c r="AC1849" s="106">
        <v>1.2091334564464618</v>
      </c>
      <c r="AD1849" s="106">
        <v>21.423635107118173</v>
      </c>
      <c r="AE1849" s="106">
        <v>68.806451612903231</v>
      </c>
      <c r="AF1849" s="106">
        <v>3.8010662254331709E-3</v>
      </c>
      <c r="AG1849" s="106">
        <v>29950</v>
      </c>
      <c r="AH1849" s="106">
        <v>34769.104395604394</v>
      </c>
      <c r="AI1849" s="106">
        <v>37840.594780219777</v>
      </c>
      <c r="AJ1849" s="106">
        <v>44832.342032967033</v>
      </c>
      <c r="AK1849" s="104">
        <v>37237.708791208788</v>
      </c>
      <c r="AL1849" s="118">
        <v>100884</v>
      </c>
      <c r="AM1849" s="118">
        <v>1778</v>
      </c>
      <c r="AN1849" s="118">
        <v>21330</v>
      </c>
      <c r="AO1849" s="118">
        <v>246</v>
      </c>
      <c r="AP1849" s="118">
        <f t="shared" si="28"/>
        <v>800</v>
      </c>
    </row>
    <row r="1850" spans="1:42" ht="12.75">
      <c r="A1850" s="106">
        <v>2018</v>
      </c>
      <c r="B1850" s="106">
        <v>-243744</v>
      </c>
      <c r="C1850" s="106">
        <v>0</v>
      </c>
      <c r="D1850" s="106">
        <v>243744</v>
      </c>
      <c r="E1850" s="106" t="s">
        <v>2929</v>
      </c>
      <c r="F1850" s="106" t="s">
        <v>2930</v>
      </c>
      <c r="G1850" s="106" t="s">
        <v>121</v>
      </c>
      <c r="H1850" s="106">
        <v>5</v>
      </c>
      <c r="I1850" s="106" t="s">
        <v>3639</v>
      </c>
      <c r="J1850" s="106">
        <v>49617</v>
      </c>
      <c r="K1850" s="106">
        <v>17271</v>
      </c>
      <c r="L1850" s="106">
        <v>1226</v>
      </c>
      <c r="M1850" s="106">
        <v>0.16</v>
      </c>
      <c r="N1850" s="106">
        <v>0.08</v>
      </c>
      <c r="O1850" s="106">
        <v>0.54</v>
      </c>
      <c r="P1850" s="106">
        <v>49265</v>
      </c>
      <c r="Q1850" s="106">
        <v>24277.853184028954</v>
      </c>
      <c r="R1850" s="106">
        <v>0.57758137019182254</v>
      </c>
      <c r="S1850" s="106">
        <v>263969.63013233797</v>
      </c>
      <c r="T1850" s="106">
        <v>320662.19884628436</v>
      </c>
      <c r="U1850" s="106">
        <v>144476.76041878917</v>
      </c>
      <c r="V1850" s="106">
        <v>0.12289725215385014</v>
      </c>
      <c r="W1850" s="106">
        <v>223766.47958857045</v>
      </c>
      <c r="X1850" s="110">
        <v>0.61646180591747823</v>
      </c>
      <c r="Y1850" s="106">
        <v>108.94802416310094</v>
      </c>
      <c r="Z1850" s="106">
        <v>3.3379058645859554</v>
      </c>
      <c r="AA1850" s="106">
        <v>497301.55299299787</v>
      </c>
      <c r="AB1850" s="106">
        <v>4426.4210351929187</v>
      </c>
      <c r="AC1850" s="106">
        <v>0.20108523570488029</v>
      </c>
      <c r="AD1850" s="106">
        <v>30.754954199844342</v>
      </c>
      <c r="AE1850" s="106">
        <v>112.34845240412692</v>
      </c>
      <c r="AF1850" s="106">
        <v>6.3192331177523625E-2</v>
      </c>
      <c r="AG1850" s="106">
        <v>48987</v>
      </c>
      <c r="AH1850" s="106">
        <v>195951.30641330167</v>
      </c>
      <c r="AI1850" s="106">
        <v>256554.06628209478</v>
      </c>
      <c r="AJ1850" s="106">
        <v>435854.88066960749</v>
      </c>
      <c r="AK1850" s="104">
        <v>252464.48365569505</v>
      </c>
      <c r="AL1850" s="118"/>
      <c r="AM1850" s="118">
        <v>7064</v>
      </c>
      <c r="AN1850" s="118">
        <v>577134</v>
      </c>
      <c r="AO1850" s="118">
        <v>1697</v>
      </c>
      <c r="AP1850" s="118">
        <f t="shared" si="28"/>
        <v>630</v>
      </c>
    </row>
    <row r="1851" spans="1:42" ht="12.75">
      <c r="A1851" s="106">
        <v>2018</v>
      </c>
      <c r="B1851" s="106">
        <v>-199740</v>
      </c>
      <c r="C1851" s="106">
        <v>0</v>
      </c>
      <c r="D1851" s="106">
        <v>199740</v>
      </c>
      <c r="E1851" s="106" t="s">
        <v>2931</v>
      </c>
      <c r="F1851" s="106" t="s">
        <v>2932</v>
      </c>
      <c r="G1851" s="106" t="s">
        <v>90</v>
      </c>
      <c r="H1851" s="106">
        <v>4</v>
      </c>
      <c r="I1851" s="106" t="s">
        <v>24</v>
      </c>
      <c r="J1851" s="106">
        <v>2661</v>
      </c>
      <c r="K1851" s="106">
        <v>5453</v>
      </c>
      <c r="L1851" s="106">
        <v>4292</v>
      </c>
      <c r="M1851" s="106">
        <v>0.47</v>
      </c>
      <c r="N1851" s="106">
        <v>0</v>
      </c>
      <c r="O1851" s="106">
        <v>7.0000000000000007E-2</v>
      </c>
      <c r="P1851" s="106">
        <v>1510</v>
      </c>
      <c r="Q1851" s="106">
        <v>79.087941021590311</v>
      </c>
      <c r="R1851" s="106">
        <v>3.3678637964732826E-2</v>
      </c>
      <c r="S1851" s="106">
        <v>12728.719852553975</v>
      </c>
      <c r="T1851" s="106">
        <v>13761.946287519748</v>
      </c>
      <c r="U1851" s="106">
        <v>10622.783570300158</v>
      </c>
      <c r="V1851" s="106">
        <v>0.21361856682701236</v>
      </c>
      <c r="W1851" s="106">
        <v>58613.883369330448</v>
      </c>
      <c r="X1851" s="110">
        <v>0.6922857697363306</v>
      </c>
      <c r="Y1851" s="106">
        <v>411.88192771084346</v>
      </c>
      <c r="Z1851" s="106">
        <v>13.727710843373496</v>
      </c>
      <c r="AA1851" s="106">
        <v>18905.966260543581</v>
      </c>
      <c r="AB1851" s="106">
        <v>354.04928304403529</v>
      </c>
      <c r="AC1851" s="106">
        <v>5.2893355791445718</v>
      </c>
      <c r="AD1851" s="106">
        <v>74.615384615384613</v>
      </c>
      <c r="AE1851" s="106">
        <v>53.399250234301782</v>
      </c>
      <c r="AF1851" s="106">
        <v>-3.0491867581652989E-2</v>
      </c>
      <c r="AG1851" s="106">
        <v>2432</v>
      </c>
      <c r="AH1851" s="106">
        <v>11693.006845708267</v>
      </c>
      <c r="AI1851" s="106">
        <v>11726.752501316483</v>
      </c>
      <c r="AJ1851" s="106">
        <v>12728.897314375987</v>
      </c>
      <c r="AK1851" s="104">
        <v>11854.714586624539</v>
      </c>
      <c r="AL1851" s="118">
        <v>15152964</v>
      </c>
      <c r="AM1851" s="118">
        <v>2540</v>
      </c>
      <c r="AN1851" s="118">
        <v>56977</v>
      </c>
      <c r="AO1851" s="118">
        <v>383</v>
      </c>
      <c r="AP1851" s="118">
        <f t="shared" si="28"/>
        <v>229</v>
      </c>
    </row>
    <row r="1852" spans="1:42" ht="12.75">
      <c r="A1852" s="106">
        <v>2018</v>
      </c>
      <c r="B1852" s="106">
        <v>-205841</v>
      </c>
      <c r="C1852" s="106">
        <v>0</v>
      </c>
      <c r="D1852" s="106">
        <v>205841</v>
      </c>
      <c r="E1852" s="106" t="s">
        <v>2933</v>
      </c>
      <c r="F1852" s="106" t="s">
        <v>2934</v>
      </c>
      <c r="G1852" s="106" t="s">
        <v>82</v>
      </c>
      <c r="H1852" s="106">
        <v>4</v>
      </c>
      <c r="I1852" s="106" t="s">
        <v>24</v>
      </c>
      <c r="J1852" s="106">
        <v>3686</v>
      </c>
      <c r="K1852" s="106">
        <v>5373</v>
      </c>
      <c r="L1852" s="106">
        <v>4835</v>
      </c>
      <c r="M1852" s="106">
        <v>0.6</v>
      </c>
      <c r="N1852" s="106">
        <v>0.35</v>
      </c>
      <c r="O1852" s="106">
        <v>0.31</v>
      </c>
      <c r="P1852" s="106">
        <v>1066</v>
      </c>
      <c r="Q1852" s="106">
        <v>774.68670721112073</v>
      </c>
      <c r="R1852" s="106">
        <v>0.14142719360320694</v>
      </c>
      <c r="S1852" s="106">
        <v>12944.808861859252</v>
      </c>
      <c r="T1852" s="106">
        <v>8930.5209383145084</v>
      </c>
      <c r="U1852" s="106">
        <v>10388.209880747185</v>
      </c>
      <c r="V1852" s="106">
        <v>0.45271990932622647</v>
      </c>
      <c r="W1852" s="106">
        <v>37042.559772296016</v>
      </c>
      <c r="X1852" s="110">
        <v>0.3798301933092984</v>
      </c>
      <c r="Y1852" s="106">
        <v>609.31058823529418</v>
      </c>
      <c r="Z1852" s="106">
        <v>20.311764705882354</v>
      </c>
      <c r="AA1852" s="106">
        <v>32704.676074234161</v>
      </c>
      <c r="AB1852" s="106">
        <v>346.29773203871713</v>
      </c>
      <c r="AC1852" s="106">
        <v>3.057666731601826</v>
      </c>
      <c r="AD1852" s="106">
        <v>30.244870946393114</v>
      </c>
      <c r="AE1852" s="106">
        <v>94.440919037199123</v>
      </c>
      <c r="AF1852" s="106">
        <v>0.67306789285542468</v>
      </c>
      <c r="AG1852" s="106">
        <v>2796</v>
      </c>
      <c r="AH1852" s="106">
        <v>11675.503040834057</v>
      </c>
      <c r="AI1852" s="106">
        <v>11730.173066898349</v>
      </c>
      <c r="AJ1852" s="106">
        <v>12953.553431798437</v>
      </c>
      <c r="AK1852" s="104">
        <v>12132.360208514336</v>
      </c>
      <c r="AL1852" s="118">
        <v>29498845</v>
      </c>
      <c r="AM1852" s="118">
        <v>11613</v>
      </c>
      <c r="AN1852" s="118">
        <v>172638</v>
      </c>
      <c r="AO1852" s="118">
        <v>1211</v>
      </c>
      <c r="AP1852" s="118">
        <f t="shared" si="28"/>
        <v>890</v>
      </c>
    </row>
    <row r="1853" spans="1:42" ht="12.75">
      <c r="A1853" s="106">
        <v>2018</v>
      </c>
      <c r="B1853" s="106">
        <v>-135391</v>
      </c>
      <c r="C1853" s="106">
        <v>0</v>
      </c>
      <c r="D1853" s="106">
        <v>135391</v>
      </c>
      <c r="E1853" s="106" t="s">
        <v>2935</v>
      </c>
      <c r="F1853" s="106" t="s">
        <v>2936</v>
      </c>
      <c r="G1853" s="106" t="s">
        <v>258</v>
      </c>
      <c r="H1853" s="106">
        <v>4</v>
      </c>
      <c r="I1853" s="106" t="s">
        <v>24</v>
      </c>
      <c r="J1853" s="106">
        <v>3074</v>
      </c>
      <c r="K1853" s="106">
        <v>11739</v>
      </c>
      <c r="L1853" s="106">
        <v>12351</v>
      </c>
      <c r="M1853" s="106">
        <v>0.51</v>
      </c>
      <c r="N1853" s="106">
        <v>0.15</v>
      </c>
      <c r="O1853" s="106">
        <v>0.22</v>
      </c>
      <c r="P1853" s="106">
        <v>2458</v>
      </c>
      <c r="Q1853" s="106">
        <v>139.46094624860024</v>
      </c>
      <c r="R1853" s="106">
        <v>4.5592952197756761E-2</v>
      </c>
      <c r="S1853" s="106">
        <v>9218.0652295632699</v>
      </c>
      <c r="T1853" s="106">
        <v>10007.882138857784</v>
      </c>
      <c r="U1853" s="106">
        <v>7943.456047032475</v>
      </c>
      <c r="V1853" s="106">
        <v>0.36751835525625992</v>
      </c>
      <c r="W1853" s="106">
        <v>65841.2735042735</v>
      </c>
      <c r="X1853" s="110">
        <v>0.53872913161532388</v>
      </c>
      <c r="Y1853" s="106">
        <v>915.91880341880346</v>
      </c>
      <c r="Z1853" s="106">
        <v>30.529914529914532</v>
      </c>
      <c r="AA1853" s="106">
        <v>29962.0116156283</v>
      </c>
      <c r="AB1853" s="106">
        <v>264.77569112329405</v>
      </c>
      <c r="AC1853" s="106">
        <v>3.3375596165859442</v>
      </c>
      <c r="AD1853" s="106">
        <v>27.861135628125922</v>
      </c>
      <c r="AE1853" s="106">
        <v>113.15997888067582</v>
      </c>
      <c r="AF1853" s="106">
        <v>-8.3492834830137079E-3</v>
      </c>
      <c r="AG1853" s="106">
        <v>2365</v>
      </c>
      <c r="AH1853" s="106">
        <v>7964.8010918253076</v>
      </c>
      <c r="AI1853" s="106">
        <v>7964.8010918253076</v>
      </c>
      <c r="AJ1853" s="106">
        <v>9299.3492441209401</v>
      </c>
      <c r="AK1853" s="104">
        <v>9496.9395296752518</v>
      </c>
      <c r="AL1853" s="118">
        <v>26360869</v>
      </c>
      <c r="AM1853" s="118">
        <v>10886</v>
      </c>
      <c r="AN1853" s="118">
        <v>214325</v>
      </c>
      <c r="AO1853" s="118">
        <v>1775</v>
      </c>
      <c r="AP1853" s="118">
        <f t="shared" si="28"/>
        <v>709</v>
      </c>
    </row>
    <row r="1854" spans="1:42" ht="12.75">
      <c r="A1854" s="106">
        <v>2018</v>
      </c>
      <c r="B1854" s="106">
        <v>-179539</v>
      </c>
      <c r="C1854" s="106">
        <v>0</v>
      </c>
      <c r="D1854" s="106">
        <v>179539</v>
      </c>
      <c r="E1854" s="106" t="s">
        <v>2937</v>
      </c>
      <c r="F1854" s="106" t="s">
        <v>2938</v>
      </c>
      <c r="G1854" s="106" t="s">
        <v>264</v>
      </c>
      <c r="H1854" s="106">
        <v>4</v>
      </c>
      <c r="I1854" s="106" t="s">
        <v>24</v>
      </c>
      <c r="J1854" s="106">
        <v>2880</v>
      </c>
      <c r="K1854" s="106">
        <v>4351</v>
      </c>
      <c r="L1854" s="106">
        <v>4201</v>
      </c>
      <c r="M1854" s="106">
        <v>0.55000000000000004</v>
      </c>
      <c r="N1854" s="106">
        <v>0.16</v>
      </c>
      <c r="O1854" s="106">
        <v>0.12</v>
      </c>
      <c r="P1854" s="106">
        <v>3199</v>
      </c>
      <c r="Q1854" s="106">
        <v>525.54449571522741</v>
      </c>
      <c r="R1854" s="106">
        <v>9.1276313749012031E-2</v>
      </c>
      <c r="S1854" s="106">
        <v>13287.65524060646</v>
      </c>
      <c r="T1854" s="106">
        <v>13661.003295978906</v>
      </c>
      <c r="U1854" s="106">
        <v>10288.184562037664</v>
      </c>
      <c r="V1854" s="106">
        <v>0.5085626964071176</v>
      </c>
      <c r="W1854" s="106">
        <v>59547.220456802381</v>
      </c>
      <c r="X1854" s="110">
        <v>0.48224922410248111</v>
      </c>
      <c r="Y1854" s="106">
        <v>554.95121951219517</v>
      </c>
      <c r="Z1854" s="106">
        <v>18.5</v>
      </c>
      <c r="AA1854" s="106">
        <v>32650.995775337109</v>
      </c>
      <c r="AB1854" s="106">
        <v>342.96962995233901</v>
      </c>
      <c r="AC1854" s="106">
        <v>3.0626937287938669</v>
      </c>
      <c r="AD1854" s="106">
        <v>30.543130990415335</v>
      </c>
      <c r="AE1854" s="106">
        <v>95.20083682008368</v>
      </c>
      <c r="AF1854" s="106">
        <v>-3.5765977892241403E-2</v>
      </c>
      <c r="AG1854" s="106">
        <v>2520</v>
      </c>
      <c r="AH1854" s="106">
        <v>11993.734673698089</v>
      </c>
      <c r="AI1854" s="106">
        <v>12497.905735003296</v>
      </c>
      <c r="AJ1854" s="106">
        <v>13396.758734344101</v>
      </c>
      <c r="AK1854" s="104">
        <v>12334.79960448253</v>
      </c>
      <c r="AL1854" s="118">
        <v>9558951</v>
      </c>
      <c r="AM1854" s="118">
        <v>4742</v>
      </c>
      <c r="AN1854" s="118">
        <v>91012</v>
      </c>
      <c r="AO1854" s="118">
        <v>766</v>
      </c>
      <c r="AP1854" s="118">
        <f t="shared" si="28"/>
        <v>360</v>
      </c>
    </row>
    <row r="1855" spans="1:42" ht="12.75">
      <c r="A1855" s="106">
        <v>2018</v>
      </c>
      <c r="B1855" s="106">
        <v>-177977</v>
      </c>
      <c r="C1855" s="106">
        <v>0</v>
      </c>
      <c r="D1855" s="106">
        <v>177977</v>
      </c>
      <c r="E1855" s="106" t="s">
        <v>2939</v>
      </c>
      <c r="F1855" s="106" t="s">
        <v>2940</v>
      </c>
      <c r="G1855" s="106" t="s">
        <v>264</v>
      </c>
      <c r="H1855" s="106">
        <v>4</v>
      </c>
      <c r="I1855" s="106" t="s">
        <v>24</v>
      </c>
      <c r="J1855" s="106">
        <v>6060</v>
      </c>
      <c r="K1855" s="106">
        <v>7611</v>
      </c>
      <c r="L1855" s="106">
        <v>7427</v>
      </c>
      <c r="M1855" s="106">
        <v>0.43</v>
      </c>
      <c r="N1855" s="106">
        <v>0.55000000000000004</v>
      </c>
      <c r="O1855" s="106">
        <v>0.06</v>
      </c>
      <c r="P1855" s="106">
        <v>2708</v>
      </c>
      <c r="Q1855" s="106">
        <v>245.25379939209728</v>
      </c>
      <c r="R1855" s="106">
        <v>3.2860460788054845E-2</v>
      </c>
      <c r="S1855" s="106">
        <v>16274.622340425532</v>
      </c>
      <c r="T1855" s="106">
        <v>19458.357142857141</v>
      </c>
      <c r="U1855" s="106">
        <v>14844.136018237083</v>
      </c>
      <c r="V1855" s="106">
        <v>0.48626869175515408</v>
      </c>
      <c r="W1855" s="106">
        <v>81016.649737302971</v>
      </c>
      <c r="X1855" s="110">
        <v>0.60218103519174571</v>
      </c>
      <c r="Y1855" s="106">
        <v>401.50169491525423</v>
      </c>
      <c r="Z1855" s="106">
        <v>13.383050847457628</v>
      </c>
      <c r="AA1855" s="106">
        <v>35582.664845173043</v>
      </c>
      <c r="AB1855" s="106">
        <v>494.79200121577469</v>
      </c>
      <c r="AC1855" s="106">
        <v>2.8103572465727078</v>
      </c>
      <c r="AD1855" s="106">
        <v>49.326145552560646</v>
      </c>
      <c r="AE1855" s="106">
        <v>71.9143897996357</v>
      </c>
      <c r="AF1855" s="106">
        <v>-0.10044748153532977</v>
      </c>
      <c r="AG1855" s="106">
        <v>4980</v>
      </c>
      <c r="AH1855" s="106">
        <v>16100.743161094226</v>
      </c>
      <c r="AI1855" s="106">
        <v>16100.743161094226</v>
      </c>
      <c r="AJ1855" s="106">
        <v>16340.203647416414</v>
      </c>
      <c r="AK1855" s="104">
        <v>15391.469604863221</v>
      </c>
      <c r="AL1855" s="118">
        <v>5594194</v>
      </c>
      <c r="AM1855" s="118">
        <v>1256</v>
      </c>
      <c r="AN1855" s="118">
        <v>39481</v>
      </c>
      <c r="AO1855" s="118">
        <v>405</v>
      </c>
      <c r="AP1855" s="118">
        <f t="shared" si="28"/>
        <v>1080</v>
      </c>
    </row>
    <row r="1856" spans="1:42" ht="12.75">
      <c r="A1856" s="106">
        <v>2018</v>
      </c>
      <c r="B1856" s="106">
        <v>-196176</v>
      </c>
      <c r="C1856" s="106">
        <v>0</v>
      </c>
      <c r="D1856" s="106">
        <v>196176</v>
      </c>
      <c r="E1856" s="106" t="s">
        <v>2941</v>
      </c>
      <c r="F1856" s="106" t="s">
        <v>2942</v>
      </c>
      <c r="G1856" s="106" t="s">
        <v>69</v>
      </c>
      <c r="H1856" s="106">
        <v>2</v>
      </c>
      <c r="I1856" s="106" t="s">
        <v>25</v>
      </c>
      <c r="J1856" s="106">
        <v>7775</v>
      </c>
      <c r="K1856" s="106">
        <v>14882</v>
      </c>
      <c r="L1856" s="106">
        <v>11297</v>
      </c>
      <c r="M1856" s="106">
        <v>0.39</v>
      </c>
      <c r="N1856" s="106">
        <v>0.62</v>
      </c>
      <c r="O1856" s="106">
        <v>0.61</v>
      </c>
      <c r="P1856" s="106">
        <v>2268</v>
      </c>
      <c r="Q1856" s="106">
        <v>908.62941415234741</v>
      </c>
      <c r="R1856" s="106">
        <v>0.11155555504614519</v>
      </c>
      <c r="S1856" s="106">
        <v>25263.485049384388</v>
      </c>
      <c r="T1856" s="106">
        <v>26513.445135976188</v>
      </c>
      <c r="U1856" s="106">
        <v>18353.544785654121</v>
      </c>
      <c r="V1856" s="106">
        <v>0.39428105564162075</v>
      </c>
      <c r="W1856" s="106">
        <v>103666.07404103479</v>
      </c>
      <c r="X1856" s="110">
        <v>0.59302485859001042</v>
      </c>
      <c r="Y1856" s="106">
        <v>492.74717832957111</v>
      </c>
      <c r="Z1856" s="106">
        <v>16.683972911963881</v>
      </c>
      <c r="AA1856" s="106">
        <v>60155.676057990953</v>
      </c>
      <c r="AB1856" s="106">
        <v>621.43439376036872</v>
      </c>
      <c r="AC1856" s="106">
        <v>1.6623535226102111</v>
      </c>
      <c r="AD1856" s="106">
        <v>32.241921647126112</v>
      </c>
      <c r="AE1856" s="106">
        <v>96.801330376940129</v>
      </c>
      <c r="AF1856" s="106">
        <v>0.15187627112097782</v>
      </c>
      <c r="AG1856" s="106">
        <v>6470</v>
      </c>
      <c r="AH1856" s="106">
        <v>25607.810986334731</v>
      </c>
      <c r="AI1856" s="106">
        <v>25607.810986334731</v>
      </c>
      <c r="AJ1856" s="106">
        <v>25348.25260451901</v>
      </c>
      <c r="AK1856" s="104">
        <v>20507.797050466783</v>
      </c>
      <c r="AL1856" s="118">
        <v>85935762</v>
      </c>
      <c r="AM1856" s="118">
        <v>6733</v>
      </c>
      <c r="AN1856" s="118">
        <v>218287</v>
      </c>
      <c r="AO1856" s="118">
        <v>1838</v>
      </c>
      <c r="AP1856" s="118">
        <f t="shared" si="28"/>
        <v>1305</v>
      </c>
    </row>
    <row r="1857" spans="1:42" ht="12.75">
      <c r="A1857" s="106">
        <v>2018</v>
      </c>
      <c r="B1857" s="106">
        <v>-228431</v>
      </c>
      <c r="C1857" s="106">
        <v>0</v>
      </c>
      <c r="D1857" s="106">
        <v>228431</v>
      </c>
      <c r="E1857" s="106" t="s">
        <v>2943</v>
      </c>
      <c r="F1857" s="106" t="s">
        <v>2944</v>
      </c>
      <c r="G1857" s="106" t="s">
        <v>60</v>
      </c>
      <c r="H1857" s="106">
        <v>2</v>
      </c>
      <c r="I1857" s="106" t="s">
        <v>25</v>
      </c>
      <c r="J1857" s="106">
        <v>7716</v>
      </c>
      <c r="K1857" s="106">
        <v>11759</v>
      </c>
      <c r="L1857" s="106">
        <v>8186</v>
      </c>
      <c r="M1857" s="106">
        <v>0.43</v>
      </c>
      <c r="N1857" s="106">
        <v>0.57999999999999996</v>
      </c>
      <c r="O1857" s="106">
        <v>0.52</v>
      </c>
      <c r="P1857" s="106">
        <v>4000</v>
      </c>
      <c r="Q1857" s="106">
        <v>1914.5397321428572</v>
      </c>
      <c r="R1857" s="106">
        <v>0.20086637423128922</v>
      </c>
      <c r="S1857" s="106">
        <v>19337.782410714284</v>
      </c>
      <c r="T1857" s="106">
        <v>18932.509553571428</v>
      </c>
      <c r="U1857" s="106">
        <v>12790.125056146311</v>
      </c>
      <c r="V1857" s="106">
        <v>0.59552741320738045</v>
      </c>
      <c r="W1857" s="106">
        <v>75749.984764848748</v>
      </c>
      <c r="X1857" s="110">
        <v>0.53930867788747372</v>
      </c>
      <c r="Y1857" s="106">
        <v>558.78526912181303</v>
      </c>
      <c r="Z1857" s="106">
        <v>19.036827195467421</v>
      </c>
      <c r="AA1857" s="106">
        <v>50564.560758502892</v>
      </c>
      <c r="AB1857" s="106">
        <v>435.73697081337508</v>
      </c>
      <c r="AC1857" s="106">
        <v>1.9776697058163231</v>
      </c>
      <c r="AD1857" s="106">
        <v>25.557059088858818</v>
      </c>
      <c r="AE1857" s="106">
        <v>116.04376985527709</v>
      </c>
      <c r="AF1857" s="106">
        <v>0.16158565989732607</v>
      </c>
      <c r="AG1857" s="106">
        <v>5808</v>
      </c>
      <c r="AH1857" s="106">
        <v>18197.249732142856</v>
      </c>
      <c r="AI1857" s="106">
        <v>18643.832142857143</v>
      </c>
      <c r="AJ1857" s="106">
        <v>19899.412053571428</v>
      </c>
      <c r="AK1857" s="104">
        <v>15141.342857142858</v>
      </c>
      <c r="AL1857" s="118">
        <v>51722043</v>
      </c>
      <c r="AM1857" s="118">
        <v>10985</v>
      </c>
      <c r="AN1857" s="118">
        <v>328752</v>
      </c>
      <c r="AO1857" s="118">
        <v>2237</v>
      </c>
      <c r="AP1857" s="118">
        <f t="shared" si="28"/>
        <v>1908</v>
      </c>
    </row>
    <row r="1858" spans="1:42" ht="12.75">
      <c r="A1858" s="106">
        <v>2018</v>
      </c>
      <c r="B1858" s="106">
        <v>-179548</v>
      </c>
      <c r="C1858" s="106">
        <v>0</v>
      </c>
      <c r="D1858" s="106">
        <v>179548</v>
      </c>
      <c r="E1858" s="106" t="s">
        <v>2945</v>
      </c>
      <c r="F1858" s="106" t="s">
        <v>131</v>
      </c>
      <c r="G1858" s="106" t="s">
        <v>264</v>
      </c>
      <c r="H1858" s="106">
        <v>6</v>
      </c>
      <c r="I1858" s="106" t="s">
        <v>3640</v>
      </c>
      <c r="J1858" s="106">
        <v>30344</v>
      </c>
      <c r="K1858" s="106">
        <v>23418</v>
      </c>
      <c r="L1858" s="106">
        <v>21423</v>
      </c>
      <c r="M1858" s="106">
        <v>0.69</v>
      </c>
      <c r="N1858" s="106">
        <v>0.97</v>
      </c>
      <c r="O1858" s="106">
        <v>1</v>
      </c>
      <c r="P1858" s="106">
        <v>17256</v>
      </c>
      <c r="Q1858" s="106">
        <v>11845.894255874673</v>
      </c>
      <c r="R1858" s="106">
        <v>0.45957698043764467</v>
      </c>
      <c r="S1858" s="106">
        <v>35549.550913838117</v>
      </c>
      <c r="T1858" s="106">
        <v>31142.403394255874</v>
      </c>
      <c r="U1858" s="106">
        <v>22928.331592689294</v>
      </c>
      <c r="V1858" s="106">
        <v>0.60753453461694862</v>
      </c>
      <c r="W1858" s="106">
        <v>56649.739059967585</v>
      </c>
      <c r="X1858" s="110">
        <v>0.48840592911841296</v>
      </c>
      <c r="Y1858" s="106">
        <v>331.48499999999996</v>
      </c>
      <c r="Z1858" s="106">
        <v>11.489999999999998</v>
      </c>
      <c r="AA1858" s="106">
        <v>76030.744588744594</v>
      </c>
      <c r="AB1858" s="106">
        <v>794.74645911579705</v>
      </c>
      <c r="AC1858" s="106">
        <v>1.3152574072621113</v>
      </c>
      <c r="AD1858" s="106">
        <v>30.758988015978694</v>
      </c>
      <c r="AE1858" s="106">
        <v>95.666666666666671</v>
      </c>
      <c r="AF1858" s="106">
        <v>0.12955336936685297</v>
      </c>
      <c r="AG1858" s="106">
        <v>30144</v>
      </c>
      <c r="AH1858" s="106">
        <v>21674.174934725848</v>
      </c>
      <c r="AI1858" s="106">
        <v>35549.550913838117</v>
      </c>
      <c r="AJ1858" s="106">
        <v>41348.742819843341</v>
      </c>
      <c r="AK1858" s="104">
        <v>22928.331592689294</v>
      </c>
      <c r="AL1858" s="118"/>
      <c r="AM1858" s="118">
        <v>653</v>
      </c>
      <c r="AN1858" s="118">
        <v>22099</v>
      </c>
      <c r="AO1858" s="118">
        <v>174</v>
      </c>
      <c r="AP1858" s="118">
        <f t="shared" si="28"/>
        <v>200</v>
      </c>
    </row>
    <row r="1859" spans="1:42" ht="12.75">
      <c r="A1859" s="106">
        <v>2018</v>
      </c>
      <c r="B1859" s="106">
        <v>-155937</v>
      </c>
      <c r="C1859" s="106">
        <v>0</v>
      </c>
      <c r="D1859" s="106">
        <v>155937</v>
      </c>
      <c r="E1859" s="106" t="s">
        <v>3944</v>
      </c>
      <c r="F1859" s="106" t="s">
        <v>2245</v>
      </c>
      <c r="G1859" s="106" t="s">
        <v>129</v>
      </c>
      <c r="H1859" s="106">
        <v>7</v>
      </c>
      <c r="I1859" s="106" t="s">
        <v>3641</v>
      </c>
      <c r="J1859" s="106">
        <v>24985</v>
      </c>
      <c r="K1859" s="106">
        <v>20061</v>
      </c>
      <c r="L1859" s="106">
        <v>17681</v>
      </c>
      <c r="M1859" s="106">
        <v>0.51</v>
      </c>
      <c r="N1859" s="106">
        <v>0.86</v>
      </c>
      <c r="O1859" s="106">
        <v>1</v>
      </c>
      <c r="P1859" s="106">
        <v>12987</v>
      </c>
      <c r="Q1859" s="106">
        <v>12700.974910394265</v>
      </c>
      <c r="R1859" s="106">
        <v>0.5409660692854531</v>
      </c>
      <c r="S1859" s="106">
        <v>26736.025089605733</v>
      </c>
      <c r="T1859" s="106">
        <v>26653.193548387098</v>
      </c>
      <c r="U1859" s="106">
        <v>20177.10035842294</v>
      </c>
      <c r="V1859" s="106">
        <v>0.53413749680028688</v>
      </c>
      <c r="W1859" s="106">
        <v>49401.309417040364</v>
      </c>
      <c r="X1859" s="110">
        <v>0.49381992864405549</v>
      </c>
      <c r="Y1859" s="106">
        <v>300.50299401197606</v>
      </c>
      <c r="Z1859" s="106">
        <v>10.023952095808383</v>
      </c>
      <c r="AA1859" s="106">
        <v>97058.81034482758</v>
      </c>
      <c r="AB1859" s="106">
        <v>673.05248684839785</v>
      </c>
      <c r="AC1859" s="106">
        <v>1.0303031702606187</v>
      </c>
      <c r="AD1859" s="106">
        <v>18.210361067503925</v>
      </c>
      <c r="AE1859" s="106">
        <v>144.20689655172413</v>
      </c>
      <c r="AF1859" s="106">
        <v>0.26491176728073135</v>
      </c>
      <c r="AG1859" s="106">
        <v>23985</v>
      </c>
      <c r="AH1859" s="106">
        <v>20070.629032258064</v>
      </c>
      <c r="AI1859" s="106">
        <v>26574.734767025089</v>
      </c>
      <c r="AJ1859" s="106">
        <v>27962.043010752688</v>
      </c>
      <c r="AK1859" s="104">
        <v>20177.10035842294</v>
      </c>
      <c r="AL1859" s="118"/>
      <c r="AM1859" s="118">
        <v>697</v>
      </c>
      <c r="AN1859" s="118">
        <v>16728</v>
      </c>
      <c r="AO1859" s="118">
        <v>116</v>
      </c>
      <c r="AP1859" s="118">
        <f t="shared" si="28"/>
        <v>1000</v>
      </c>
    </row>
    <row r="1860" spans="1:42" ht="12.75">
      <c r="A1860" s="106">
        <v>2018</v>
      </c>
      <c r="B1860" s="106">
        <v>-231095</v>
      </c>
      <c r="C1860" s="106">
        <v>0</v>
      </c>
      <c r="D1860" s="106">
        <v>231095</v>
      </c>
      <c r="E1860" s="106" t="s">
        <v>3945</v>
      </c>
      <c r="F1860" s="106" t="s">
        <v>2946</v>
      </c>
      <c r="G1860" s="106" t="s">
        <v>345</v>
      </c>
      <c r="H1860" s="106">
        <v>7</v>
      </c>
      <c r="I1860" s="106" t="s">
        <v>3641</v>
      </c>
      <c r="J1860" s="106">
        <v>37588</v>
      </c>
      <c r="K1860" s="106">
        <v>23841</v>
      </c>
      <c r="L1860" s="106">
        <v>21209</v>
      </c>
      <c r="M1860" s="106">
        <v>0.46</v>
      </c>
      <c r="N1860" s="106">
        <v>0.54</v>
      </c>
      <c r="O1860" s="106">
        <v>1</v>
      </c>
      <c r="P1860" s="106">
        <v>23118</v>
      </c>
      <c r="Q1860" s="106">
        <v>24590.900709219859</v>
      </c>
      <c r="R1860" s="106">
        <v>0.64162165363000301</v>
      </c>
      <c r="S1860" s="106">
        <v>36799.482269503547</v>
      </c>
      <c r="T1860" s="106">
        <v>37244.687943262412</v>
      </c>
      <c r="U1860" s="106">
        <v>34083.971631205677</v>
      </c>
      <c r="V1860" s="106">
        <v>0.40298324538478186</v>
      </c>
      <c r="W1860" s="106">
        <v>41818.651515151512</v>
      </c>
      <c r="X1860" s="110">
        <v>0.52556992753119536</v>
      </c>
      <c r="Y1860" s="106">
        <v>184.43478260869566</v>
      </c>
      <c r="Z1860" s="106">
        <v>6.1304347826086953</v>
      </c>
      <c r="AA1860" s="106">
        <v>184840</v>
      </c>
      <c r="AB1860" s="106">
        <v>1132.9184347006128</v>
      </c>
      <c r="AC1860" s="106">
        <v>0.5410084397316598</v>
      </c>
      <c r="AD1860" s="106">
        <v>19.548872180451127</v>
      </c>
      <c r="AE1860" s="106">
        <v>163.15384615384616</v>
      </c>
      <c r="AF1860" s="106">
        <v>1.7428222286584028E-3</v>
      </c>
      <c r="AG1860" s="106">
        <v>33570</v>
      </c>
      <c r="AH1860" s="106">
        <v>23560.106382978724</v>
      </c>
      <c r="AI1860" s="106">
        <v>36164.75886524823</v>
      </c>
      <c r="AJ1860" s="106">
        <v>37283.822695035458</v>
      </c>
      <c r="AK1860" s="104">
        <v>34083.971631205677</v>
      </c>
      <c r="AL1860" s="118"/>
      <c r="AM1860" s="118">
        <v>154</v>
      </c>
      <c r="AN1860" s="118">
        <v>4242</v>
      </c>
      <c r="AO1860" s="118">
        <v>26</v>
      </c>
      <c r="AP1860" s="118">
        <f t="shared" si="28"/>
        <v>4018</v>
      </c>
    </row>
    <row r="1861" spans="1:42" ht="12.75">
      <c r="A1861" s="106">
        <v>2018</v>
      </c>
      <c r="B1861" s="106">
        <v>-137546</v>
      </c>
      <c r="C1861" s="106">
        <v>0</v>
      </c>
      <c r="D1861" s="106">
        <v>137546</v>
      </c>
      <c r="E1861" s="106" t="s">
        <v>2947</v>
      </c>
      <c r="F1861" s="106" t="s">
        <v>2948</v>
      </c>
      <c r="G1861" s="106" t="s">
        <v>258</v>
      </c>
      <c r="H1861" s="106">
        <v>6</v>
      </c>
      <c r="I1861" s="106" t="s">
        <v>3640</v>
      </c>
      <c r="J1861" s="106">
        <v>44490</v>
      </c>
      <c r="K1861" s="106">
        <v>25721</v>
      </c>
      <c r="L1861" s="106">
        <v>23380</v>
      </c>
      <c r="M1861" s="106">
        <v>0.34</v>
      </c>
      <c r="N1861" s="106">
        <v>0.61</v>
      </c>
      <c r="O1861" s="106">
        <v>1</v>
      </c>
      <c r="P1861" s="106">
        <v>27997</v>
      </c>
      <c r="Q1861" s="106">
        <v>18993.835529205095</v>
      </c>
      <c r="R1861" s="106">
        <v>0.49828911356960243</v>
      </c>
      <c r="S1861" s="106">
        <v>33905.027228809835</v>
      </c>
      <c r="T1861" s="106">
        <v>30118.415898111551</v>
      </c>
      <c r="U1861" s="106">
        <v>25258.696633231546</v>
      </c>
      <c r="V1861" s="106">
        <v>0.75713593997741557</v>
      </c>
      <c r="W1861" s="106">
        <v>83278.049120234602</v>
      </c>
      <c r="X1861" s="110">
        <v>0.55211367199938211</v>
      </c>
      <c r="Y1861" s="106">
        <v>339.827807486631</v>
      </c>
      <c r="Z1861" s="106">
        <v>14.611764705882353</v>
      </c>
      <c r="AA1861" s="106">
        <v>112772.65143895731</v>
      </c>
      <c r="AB1861" s="106">
        <v>1086.0621875287873</v>
      </c>
      <c r="AC1861" s="106">
        <v>0.8867398143434535</v>
      </c>
      <c r="AD1861" s="106">
        <v>24.649589173513775</v>
      </c>
      <c r="AE1861" s="106">
        <v>103.83627450980393</v>
      </c>
      <c r="AF1861" s="106">
        <v>0.11223909085199905</v>
      </c>
      <c r="AG1861" s="106">
        <v>44130</v>
      </c>
      <c r="AH1861" s="106">
        <v>27502.186209925341</v>
      </c>
      <c r="AI1861" s="106">
        <v>33993.752305665352</v>
      </c>
      <c r="AJ1861" s="106">
        <v>38408.714975845411</v>
      </c>
      <c r="AK1861" s="104">
        <v>25856.801273605623</v>
      </c>
      <c r="AL1861" s="118"/>
      <c r="AM1861" s="118">
        <v>3065</v>
      </c>
      <c r="AN1861" s="118">
        <v>105913</v>
      </c>
      <c r="AO1861" s="118">
        <v>613</v>
      </c>
      <c r="AP1861" s="118">
        <f t="shared" si="28"/>
        <v>360</v>
      </c>
    </row>
    <row r="1862" spans="1:42" ht="12.75">
      <c r="A1862" s="106">
        <v>2018</v>
      </c>
      <c r="B1862" s="106">
        <v>-186867</v>
      </c>
      <c r="C1862" s="106">
        <v>0</v>
      </c>
      <c r="D1862" s="106">
        <v>186867</v>
      </c>
      <c r="E1862" s="106" t="s">
        <v>2949</v>
      </c>
      <c r="F1862" s="106" t="s">
        <v>2950</v>
      </c>
      <c r="G1862" s="106" t="s">
        <v>234</v>
      </c>
      <c r="H1862" s="106">
        <v>5</v>
      </c>
      <c r="I1862" s="106" t="s">
        <v>3639</v>
      </c>
      <c r="J1862" s="106">
        <v>50554</v>
      </c>
      <c r="K1862" s="106">
        <v>39862</v>
      </c>
      <c r="L1862" s="106">
        <v>25148</v>
      </c>
      <c r="M1862" s="106">
        <v>0.18</v>
      </c>
      <c r="N1862" s="106">
        <v>0.67</v>
      </c>
      <c r="O1862" s="106">
        <v>0.99</v>
      </c>
      <c r="P1862" s="106">
        <v>24603</v>
      </c>
      <c r="Q1862" s="106">
        <v>11019.264247194287</v>
      </c>
      <c r="R1862" s="106">
        <v>0.30019226905196317</v>
      </c>
      <c r="S1862" s="106">
        <v>39985.133362483604</v>
      </c>
      <c r="T1862" s="106">
        <v>32876.548608074627</v>
      </c>
      <c r="U1862" s="106">
        <v>23064.288238483368</v>
      </c>
      <c r="V1862" s="106">
        <v>1.1137604023687158</v>
      </c>
      <c r="W1862" s="106">
        <v>145331.35474860336</v>
      </c>
      <c r="X1862" s="110">
        <v>0.61508826684872719</v>
      </c>
      <c r="Y1862" s="106">
        <v>436.53580901856765</v>
      </c>
      <c r="Z1862" s="106">
        <v>18.198938992042439</v>
      </c>
      <c r="AA1862" s="106">
        <v>53842.831440705821</v>
      </c>
      <c r="AB1862" s="106">
        <v>961.53755516809701</v>
      </c>
      <c r="AC1862" s="106">
        <v>1.8572574532995088</v>
      </c>
      <c r="AD1862" s="106">
        <v>48.085732984293195</v>
      </c>
      <c r="AE1862" s="106">
        <v>55.996597482136778</v>
      </c>
      <c r="AF1862" s="106">
        <v>0.18670789899958329</v>
      </c>
      <c r="AG1862" s="106">
        <v>48784</v>
      </c>
      <c r="AH1862" s="106">
        <v>35734.731380265264</v>
      </c>
      <c r="AI1862" s="106">
        <v>40056.2588543944</v>
      </c>
      <c r="AJ1862" s="106">
        <v>41529.951902055094</v>
      </c>
      <c r="AK1862" s="104">
        <v>29181.023174464364</v>
      </c>
      <c r="AL1862" s="119">
        <v>82000</v>
      </c>
      <c r="AM1862" s="118">
        <v>3123</v>
      </c>
      <c r="AN1862" s="118">
        <v>164574</v>
      </c>
      <c r="AO1862" s="118">
        <v>689</v>
      </c>
      <c r="AP1862" s="118">
        <f t="shared" ref="AP1862:AP1925" si="29">J1862-AG1862</f>
        <v>1770</v>
      </c>
    </row>
    <row r="1863" spans="1:42">
      <c r="A1863" s="106">
        <v>2018</v>
      </c>
      <c r="B1863" s="106">
        <v>-460899</v>
      </c>
      <c r="C1863" s="106">
        <v>0</v>
      </c>
      <c r="D1863" s="106">
        <v>460899</v>
      </c>
      <c r="E1863" s="106" t="s">
        <v>4255</v>
      </c>
      <c r="F1863" s="106" t="s">
        <v>417</v>
      </c>
      <c r="G1863" s="106" t="s">
        <v>418</v>
      </c>
      <c r="H1863" s="106">
        <v>7</v>
      </c>
      <c r="I1863" s="106" t="s">
        <v>3641</v>
      </c>
      <c r="J1863" s="107">
        <v>18021</v>
      </c>
      <c r="K1863" s="107">
        <v>27164</v>
      </c>
      <c r="L1863" s="107">
        <v>26664</v>
      </c>
      <c r="M1863" s="107">
        <v>0.67</v>
      </c>
      <c r="N1863" s="107">
        <v>0.95</v>
      </c>
      <c r="O1863" s="107">
        <v>0.6</v>
      </c>
      <c r="P1863" s="107">
        <v>2687</v>
      </c>
      <c r="Q1863" s="108">
        <v>1439.9696202531645</v>
      </c>
      <c r="R1863" s="107">
        <v>0.11469134814176134</v>
      </c>
      <c r="S1863" s="107">
        <v>11115.202531645569</v>
      </c>
      <c r="T1863" s="107">
        <v>14019.486075949368</v>
      </c>
      <c r="U1863" s="107">
        <v>14019.486075949368</v>
      </c>
      <c r="V1863" s="107">
        <v>0.79283951433240207</v>
      </c>
      <c r="W1863" s="107">
        <v>32436.047619047618</v>
      </c>
      <c r="X1863" s="111">
        <v>0.24600732037162742</v>
      </c>
      <c r="Y1863" s="107">
        <v>612.41379310344826</v>
      </c>
      <c r="Z1863" s="107">
        <v>20.431034482758619</v>
      </c>
      <c r="AA1863" s="107">
        <v>87899.952380952382</v>
      </c>
      <c r="AB1863" s="107">
        <v>467.71089527027027</v>
      </c>
      <c r="AC1863" s="107">
        <v>1.1376570440744591</v>
      </c>
      <c r="AD1863" s="107">
        <v>24.324324324324326</v>
      </c>
      <c r="AE1863" s="107">
        <v>187.93650793650792</v>
      </c>
      <c r="AF1863" s="107">
        <v>-0.35298449751554661</v>
      </c>
      <c r="AG1863" s="107">
        <v>18021</v>
      </c>
      <c r="AH1863" s="107">
        <v>11115.202531645569</v>
      </c>
      <c r="AI1863" s="107">
        <v>11115.202531645569</v>
      </c>
      <c r="AJ1863" s="107">
        <v>11115.202531645569</v>
      </c>
      <c r="AK1863" s="104">
        <v>14019.486075949368</v>
      </c>
      <c r="AL1863" s="118"/>
      <c r="AM1863" s="118">
        <v>259</v>
      </c>
      <c r="AN1863" s="118">
        <v>11840</v>
      </c>
      <c r="AO1863" s="118">
        <v>63</v>
      </c>
      <c r="AP1863" s="118">
        <f t="shared" si="29"/>
        <v>0</v>
      </c>
    </row>
    <row r="1864" spans="1:42" ht="12.75">
      <c r="A1864" s="106">
        <v>2018</v>
      </c>
      <c r="B1864" s="106">
        <v>-446677</v>
      </c>
      <c r="C1864" s="106">
        <v>0</v>
      </c>
      <c r="D1864" s="106">
        <v>446677</v>
      </c>
      <c r="E1864" s="106" t="s">
        <v>4256</v>
      </c>
      <c r="F1864" s="106" t="s">
        <v>2952</v>
      </c>
      <c r="G1864" s="106" t="s">
        <v>458</v>
      </c>
      <c r="H1864" s="106">
        <v>7</v>
      </c>
      <c r="I1864" s="106" t="s">
        <v>3641</v>
      </c>
      <c r="J1864" s="106">
        <v>18021</v>
      </c>
      <c r="K1864" s="106">
        <v>28337</v>
      </c>
      <c r="L1864" s="106">
        <v>27947</v>
      </c>
      <c r="M1864" s="106">
        <v>0.63</v>
      </c>
      <c r="N1864" s="106">
        <v>1</v>
      </c>
      <c r="O1864" s="106">
        <v>0.38</v>
      </c>
      <c r="P1864" s="106">
        <v>4852</v>
      </c>
      <c r="Q1864" s="106">
        <v>2258.5</v>
      </c>
      <c r="R1864" s="106">
        <v>0.20030580226087913</v>
      </c>
      <c r="S1864" s="106">
        <v>9016.76</v>
      </c>
      <c r="T1864" s="106">
        <v>20977.95</v>
      </c>
      <c r="U1864" s="106">
        <v>20977.95</v>
      </c>
      <c r="V1864" s="106">
        <v>0.42982083568699514</v>
      </c>
      <c r="W1864" s="106">
        <v>42839.086956521744</v>
      </c>
      <c r="X1864" s="110">
        <v>0.31312211155046132</v>
      </c>
      <c r="Y1864" s="106">
        <v>333.88888888888891</v>
      </c>
      <c r="Z1864" s="106">
        <v>11.111111111111111</v>
      </c>
      <c r="AA1864" s="106">
        <v>23838.579545454544</v>
      </c>
      <c r="AB1864" s="106">
        <v>698.10149750415974</v>
      </c>
      <c r="AC1864" s="106">
        <v>4.1948808153322892</v>
      </c>
      <c r="AD1864" s="106">
        <v>122.22222222222223</v>
      </c>
      <c r="AE1864" s="106">
        <v>34.147727272727273</v>
      </c>
      <c r="AF1864" s="106">
        <v>3.2696785384979492</v>
      </c>
      <c r="AG1864" s="106">
        <v>18021</v>
      </c>
      <c r="AH1864" s="106">
        <v>9016.76</v>
      </c>
      <c r="AI1864" s="106">
        <v>9016.76</v>
      </c>
      <c r="AJ1864" s="106">
        <v>9016.76</v>
      </c>
      <c r="AK1864" s="104">
        <v>20977.95</v>
      </c>
      <c r="AM1864" s="118">
        <v>72</v>
      </c>
      <c r="AN1864" s="118">
        <v>3005</v>
      </c>
      <c r="AO1864" s="118">
        <v>88</v>
      </c>
      <c r="AP1864" s="118">
        <f t="shared" si="29"/>
        <v>0</v>
      </c>
    </row>
    <row r="1865" spans="1:42" ht="12.75">
      <c r="A1865" s="106">
        <v>2018</v>
      </c>
      <c r="B1865" s="106">
        <v>-438151</v>
      </c>
      <c r="C1865" s="106">
        <v>0</v>
      </c>
      <c r="D1865" s="106">
        <v>438151</v>
      </c>
      <c r="E1865" s="106" t="s">
        <v>4257</v>
      </c>
      <c r="F1865" s="106" t="s">
        <v>2121</v>
      </c>
      <c r="G1865" s="106" t="s">
        <v>458</v>
      </c>
      <c r="H1865" s="106">
        <v>6</v>
      </c>
      <c r="I1865" s="106" t="s">
        <v>3640</v>
      </c>
      <c r="J1865" s="106">
        <v>18021</v>
      </c>
      <c r="K1865" s="106">
        <v>27696</v>
      </c>
      <c r="L1865" s="106">
        <v>27973</v>
      </c>
      <c r="M1865" s="106">
        <v>0.62</v>
      </c>
      <c r="N1865" s="106">
        <v>0.93</v>
      </c>
      <c r="O1865" s="106">
        <v>0.38</v>
      </c>
      <c r="P1865" s="106">
        <v>2362</v>
      </c>
      <c r="Q1865" s="106">
        <v>1012.4490049751244</v>
      </c>
      <c r="R1865" s="106">
        <v>0.11680415875604659</v>
      </c>
      <c r="S1865" s="106">
        <v>7655.4776119402986</v>
      </c>
      <c r="T1865" s="106">
        <v>9017.2686567164183</v>
      </c>
      <c r="U1865" s="106">
        <v>9017.2686567164183</v>
      </c>
      <c r="V1865" s="106">
        <v>0.84897882504051103</v>
      </c>
      <c r="W1865" s="106">
        <v>35500.779661016946</v>
      </c>
      <c r="X1865" s="110">
        <v>0.28890751907202927</v>
      </c>
      <c r="Y1865" s="106">
        <v>831.85714285714289</v>
      </c>
      <c r="Z1865" s="106">
        <v>28.714285714285715</v>
      </c>
      <c r="AA1865" s="106">
        <v>33564.277777777781</v>
      </c>
      <c r="AB1865" s="106">
        <v>311.26069036579082</v>
      </c>
      <c r="AC1865" s="106">
        <v>2.9793580145558192</v>
      </c>
      <c r="AD1865" s="106">
        <v>33.179723502304149</v>
      </c>
      <c r="AE1865" s="106">
        <v>107.83333333333333</v>
      </c>
      <c r="AF1865" s="106">
        <v>-0.2673687648570916</v>
      </c>
      <c r="AG1865" s="106">
        <v>18021</v>
      </c>
      <c r="AH1865" s="106">
        <v>7655.4701492537315</v>
      </c>
      <c r="AI1865" s="106">
        <v>7655.4701492537315</v>
      </c>
      <c r="AJ1865" s="106">
        <v>7655.4776119402986</v>
      </c>
      <c r="AK1865" s="104">
        <v>9017.2686567164183</v>
      </c>
      <c r="AM1865" s="118">
        <v>563</v>
      </c>
      <c r="AN1865" s="118">
        <v>23292</v>
      </c>
      <c r="AO1865" s="118">
        <v>149</v>
      </c>
      <c r="AP1865" s="118">
        <f t="shared" si="29"/>
        <v>0</v>
      </c>
    </row>
    <row r="1866" spans="1:42" ht="12.75">
      <c r="A1866" s="106">
        <v>2018</v>
      </c>
      <c r="B1866" s="106">
        <v>-230630</v>
      </c>
      <c r="C1866" s="106">
        <v>0</v>
      </c>
      <c r="D1866" s="106">
        <v>230630</v>
      </c>
      <c r="E1866" s="106" t="s">
        <v>4258</v>
      </c>
      <c r="F1866" s="106" t="s">
        <v>2951</v>
      </c>
      <c r="G1866" s="106" t="s">
        <v>458</v>
      </c>
      <c r="H1866" s="106">
        <v>7</v>
      </c>
      <c r="I1866" s="106" t="s">
        <v>3641</v>
      </c>
      <c r="J1866" s="106">
        <v>18021</v>
      </c>
      <c r="K1866" s="106">
        <v>25196</v>
      </c>
      <c r="L1866" s="106">
        <v>24391</v>
      </c>
      <c r="M1866" s="106">
        <v>0.7</v>
      </c>
      <c r="N1866" s="106">
        <v>1</v>
      </c>
      <c r="O1866" s="106">
        <v>0.65</v>
      </c>
      <c r="P1866" s="106">
        <v>3914</v>
      </c>
      <c r="Q1866" s="106">
        <v>2186.862244897959</v>
      </c>
      <c r="R1866" s="106">
        <v>0.14609109813129503</v>
      </c>
      <c r="S1866" s="106">
        <v>12782.306122448979</v>
      </c>
      <c r="T1866" s="106">
        <v>18917.34693877551</v>
      </c>
      <c r="U1866" s="106">
        <v>18917.34693877551</v>
      </c>
      <c r="V1866" s="106">
        <v>0.67569232428933601</v>
      </c>
      <c r="W1866" s="106">
        <v>49715.772727272728</v>
      </c>
      <c r="X1866" s="110">
        <v>0.29498543610766492</v>
      </c>
      <c r="Y1866" s="106">
        <v>535.4545454545455</v>
      </c>
      <c r="Z1866" s="106">
        <v>17.818181818181817</v>
      </c>
      <c r="AA1866" s="106">
        <v>88280.952380952382</v>
      </c>
      <c r="AB1866" s="106">
        <v>629.50764006791167</v>
      </c>
      <c r="AC1866" s="106">
        <v>1.1327471816171313</v>
      </c>
      <c r="AD1866" s="106">
        <v>29.37062937062937</v>
      </c>
      <c r="AE1866" s="106">
        <v>140.23809523809524</v>
      </c>
      <c r="AF1866" s="106">
        <v>0.98944293392349036</v>
      </c>
      <c r="AG1866" s="106">
        <v>18021</v>
      </c>
      <c r="AH1866" s="106">
        <v>12782.306122448979</v>
      </c>
      <c r="AI1866" s="106">
        <v>12782.306122448979</v>
      </c>
      <c r="AJ1866" s="106">
        <v>12782.306122448979</v>
      </c>
      <c r="AK1866" s="104">
        <v>18917.34693877551</v>
      </c>
      <c r="AL1866" s="118"/>
      <c r="AM1866" s="118">
        <v>143</v>
      </c>
      <c r="AN1866" s="118">
        <v>5890</v>
      </c>
      <c r="AO1866" s="118">
        <v>42</v>
      </c>
      <c r="AP1866" s="118">
        <f t="shared" si="29"/>
        <v>0</v>
      </c>
    </row>
    <row r="1867" spans="1:42" ht="12.75">
      <c r="A1867" s="106">
        <v>2018</v>
      </c>
      <c r="B1867" s="106">
        <v>-164173</v>
      </c>
      <c r="C1867" s="106">
        <v>0</v>
      </c>
      <c r="D1867" s="106">
        <v>164173</v>
      </c>
      <c r="E1867" s="106" t="s">
        <v>2953</v>
      </c>
      <c r="F1867" s="106" t="s">
        <v>2954</v>
      </c>
      <c r="G1867" s="106" t="s">
        <v>124</v>
      </c>
      <c r="H1867" s="106">
        <v>6</v>
      </c>
      <c r="I1867" s="106" t="s">
        <v>3640</v>
      </c>
      <c r="J1867" s="106">
        <v>35490</v>
      </c>
      <c r="K1867" s="107">
        <v>26663</v>
      </c>
      <c r="L1867" s="107">
        <v>16835</v>
      </c>
      <c r="M1867" s="107">
        <v>0.36</v>
      </c>
      <c r="N1867" s="107">
        <v>0.61</v>
      </c>
      <c r="O1867" s="107">
        <v>0.97</v>
      </c>
      <c r="P1867" s="107">
        <v>19300</v>
      </c>
      <c r="Q1867" s="107">
        <v>16027.029941860465</v>
      </c>
      <c r="R1867" s="106">
        <v>0.53540961256378039</v>
      </c>
      <c r="S1867" s="106">
        <v>27755.411918604652</v>
      </c>
      <c r="T1867" s="106">
        <v>26673.977616279069</v>
      </c>
      <c r="U1867" s="106">
        <v>22651.708720930234</v>
      </c>
      <c r="V1867" s="106">
        <v>0.61395442753574292</v>
      </c>
      <c r="W1867" s="106">
        <v>82573.611290322588</v>
      </c>
      <c r="X1867" s="110">
        <v>0.55793903000772149</v>
      </c>
      <c r="Y1867" s="106">
        <v>417.53305785123968</v>
      </c>
      <c r="Z1867" s="106">
        <v>14.214876033057852</v>
      </c>
      <c r="AA1867" s="106">
        <v>75141.637415621983</v>
      </c>
      <c r="AB1867" s="106">
        <v>771.17542036558689</v>
      </c>
      <c r="AC1867" s="106">
        <v>1.330820081107388</v>
      </c>
      <c r="AD1867" s="106">
        <v>31.029323758228607</v>
      </c>
      <c r="AE1867" s="106">
        <v>97.437801350048218</v>
      </c>
      <c r="AF1867" s="106">
        <v>0.12826658286033413</v>
      </c>
      <c r="AG1867" s="106">
        <v>33046</v>
      </c>
      <c r="AH1867" s="106">
        <v>23338.463662790698</v>
      </c>
      <c r="AI1867" s="106">
        <v>23758.554941860464</v>
      </c>
      <c r="AJ1867" s="106">
        <v>31202.038372093022</v>
      </c>
      <c r="AK1867" s="104">
        <v>22651.708720930234</v>
      </c>
      <c r="AL1867" s="119">
        <v>4146197</v>
      </c>
      <c r="AM1867" s="118">
        <v>3397</v>
      </c>
      <c r="AN1867" s="118">
        <v>101043</v>
      </c>
      <c r="AO1867" s="118">
        <v>837</v>
      </c>
      <c r="AP1867" s="118">
        <f t="shared" si="29"/>
        <v>2444</v>
      </c>
    </row>
    <row r="1868" spans="1:42" ht="12.75">
      <c r="A1868" s="106">
        <v>2018</v>
      </c>
      <c r="B1868" s="106">
        <v>-102270</v>
      </c>
      <c r="C1868" s="106">
        <v>0</v>
      </c>
      <c r="D1868" s="106">
        <v>102270</v>
      </c>
      <c r="E1868" s="106" t="s">
        <v>2955</v>
      </c>
      <c r="F1868" s="106" t="s">
        <v>2755</v>
      </c>
      <c r="G1868" s="106" t="s">
        <v>85</v>
      </c>
      <c r="H1868" s="106">
        <v>7</v>
      </c>
      <c r="I1868" s="106" t="s">
        <v>3641</v>
      </c>
      <c r="J1868" s="106">
        <v>10792</v>
      </c>
      <c r="K1868" s="106">
        <v>13918</v>
      </c>
      <c r="L1868" s="106">
        <v>13821</v>
      </c>
      <c r="M1868" s="106">
        <v>0.78</v>
      </c>
      <c r="N1868" s="106">
        <v>0.82</v>
      </c>
      <c r="O1868" s="106">
        <v>0.31</v>
      </c>
      <c r="P1868" s="106">
        <v>7767</v>
      </c>
      <c r="Q1868" s="106">
        <v>2176.3558823529411</v>
      </c>
      <c r="R1868" s="106">
        <v>0.22345261852710088</v>
      </c>
      <c r="S1868" s="106">
        <v>19974.025000000001</v>
      </c>
      <c r="T1868" s="106">
        <v>20893.016176470588</v>
      </c>
      <c r="U1868" s="106">
        <v>17734.213235294119</v>
      </c>
      <c r="V1868" s="106">
        <v>0.4264817963615527</v>
      </c>
      <c r="W1868" s="106">
        <v>71989.423469387766</v>
      </c>
      <c r="X1868" s="110">
        <v>0.66209979678686603</v>
      </c>
      <c r="Y1868" s="106">
        <v>546.72321428571422</v>
      </c>
      <c r="Z1868" s="106">
        <v>18.214285714285712</v>
      </c>
      <c r="AA1868" s="106">
        <v>167489.79166666666</v>
      </c>
      <c r="AB1868" s="106">
        <v>590.82186076135417</v>
      </c>
      <c r="AC1868" s="106">
        <v>0.59705131282876689</v>
      </c>
      <c r="AD1868" s="106">
        <v>11.980033277870216</v>
      </c>
      <c r="AE1868" s="106">
        <v>283.48611111111109</v>
      </c>
      <c r="AF1868" s="106">
        <v>9.7150035408482011E-3</v>
      </c>
      <c r="AG1868" s="106">
        <v>9548</v>
      </c>
      <c r="AH1868" s="106">
        <v>18419.148529411767</v>
      </c>
      <c r="AI1868" s="106">
        <v>19974.025000000001</v>
      </c>
      <c r="AJ1868" s="106">
        <v>21185.098529411764</v>
      </c>
      <c r="AK1868" s="104">
        <v>17734.213235294119</v>
      </c>
      <c r="AL1868" s="118"/>
      <c r="AM1868" s="118">
        <v>677</v>
      </c>
      <c r="AN1868" s="118">
        <v>20411</v>
      </c>
      <c r="AO1868" s="118">
        <v>72</v>
      </c>
      <c r="AP1868" s="118">
        <f t="shared" si="29"/>
        <v>1244</v>
      </c>
    </row>
    <row r="1869" spans="1:42" ht="12.75">
      <c r="A1869" s="106">
        <v>2018</v>
      </c>
      <c r="B1869" s="106">
        <v>-186876</v>
      </c>
      <c r="C1869" s="106">
        <v>0</v>
      </c>
      <c r="D1869" s="106">
        <v>186876</v>
      </c>
      <c r="E1869" s="106" t="s">
        <v>2956</v>
      </c>
      <c r="F1869" s="106" t="s">
        <v>2957</v>
      </c>
      <c r="G1869" s="106" t="s">
        <v>234</v>
      </c>
      <c r="H1869" s="106">
        <v>2</v>
      </c>
      <c r="I1869" s="106" t="s">
        <v>25</v>
      </c>
      <c r="J1869" s="106">
        <v>13404</v>
      </c>
      <c r="K1869" s="106">
        <v>18577</v>
      </c>
      <c r="L1869" s="106">
        <v>13797</v>
      </c>
      <c r="M1869" s="106">
        <v>0.39</v>
      </c>
      <c r="N1869" s="106">
        <v>0.72</v>
      </c>
      <c r="O1869" s="106">
        <v>0.56999999999999995</v>
      </c>
      <c r="P1869" s="106">
        <v>5562</v>
      </c>
      <c r="Q1869" s="106">
        <v>1765.2077215319848</v>
      </c>
      <c r="R1869" s="106">
        <v>0.13846881296777608</v>
      </c>
      <c r="S1869" s="106">
        <v>24452.09528699045</v>
      </c>
      <c r="T1869" s="106">
        <v>27338.31348187699</v>
      </c>
      <c r="U1869" s="106">
        <v>16259.105496729891</v>
      </c>
      <c r="V1869" s="106">
        <v>0.67548887947676739</v>
      </c>
      <c r="W1869" s="106">
        <v>130138.08955613576</v>
      </c>
      <c r="X1869" s="110">
        <v>0.62401619528662078</v>
      </c>
      <c r="Y1869" s="106">
        <v>653.09815950920245</v>
      </c>
      <c r="Z1869" s="106">
        <v>22.405674846625764</v>
      </c>
      <c r="AA1869" s="106">
        <v>68459.761535950034</v>
      </c>
      <c r="AB1869" s="106">
        <v>557.7970566177695</v>
      </c>
      <c r="AC1869" s="106">
        <v>1.4607120702208021</v>
      </c>
      <c r="AD1869" s="106">
        <v>26.986349317465873</v>
      </c>
      <c r="AE1869" s="106">
        <v>122.73238218763511</v>
      </c>
      <c r="AF1869" s="106">
        <v>-2.0583818625903021E-2</v>
      </c>
      <c r="AG1869" s="106">
        <v>8646</v>
      </c>
      <c r="AH1869" s="106">
        <v>24953.35311633638</v>
      </c>
      <c r="AI1869" s="106">
        <v>24959.800390183798</v>
      </c>
      <c r="AJ1869" s="106">
        <v>24946.610637642469</v>
      </c>
      <c r="AK1869" s="104">
        <v>19707.870109867545</v>
      </c>
      <c r="AL1869" s="118">
        <v>48890683</v>
      </c>
      <c r="AM1869" s="118">
        <v>8275</v>
      </c>
      <c r="AN1869" s="118">
        <v>283880</v>
      </c>
      <c r="AO1869" s="118">
        <v>2033</v>
      </c>
      <c r="AP1869" s="118">
        <f t="shared" si="29"/>
        <v>4758</v>
      </c>
    </row>
    <row r="1870" spans="1:42" ht="12.75">
      <c r="A1870" s="106">
        <v>2018</v>
      </c>
      <c r="B1870" s="106">
        <v>-167996</v>
      </c>
      <c r="C1870" s="106">
        <v>0</v>
      </c>
      <c r="D1870" s="106">
        <v>167996</v>
      </c>
      <c r="E1870" s="106" t="s">
        <v>2958</v>
      </c>
      <c r="F1870" s="106" t="s">
        <v>1710</v>
      </c>
      <c r="G1870" s="106" t="s">
        <v>150</v>
      </c>
      <c r="H1870" s="106">
        <v>7</v>
      </c>
      <c r="I1870" s="106" t="s">
        <v>3641</v>
      </c>
      <c r="J1870" s="106">
        <v>41300</v>
      </c>
      <c r="K1870" s="106">
        <v>35271</v>
      </c>
      <c r="L1870" s="106">
        <v>24901</v>
      </c>
      <c r="M1870" s="106">
        <v>0.14000000000000001</v>
      </c>
      <c r="N1870" s="106">
        <v>0.68</v>
      </c>
      <c r="O1870" s="106">
        <v>0.99</v>
      </c>
      <c r="P1870" s="106">
        <v>22146</v>
      </c>
      <c r="Q1870" s="106">
        <v>20808.56388888889</v>
      </c>
      <c r="R1870" s="106">
        <v>0.512970621265329</v>
      </c>
      <c r="S1870" s="106">
        <v>38081.791269841269</v>
      </c>
      <c r="T1870" s="106">
        <v>38509.668253968252</v>
      </c>
      <c r="U1870" s="106">
        <v>29904.339577251911</v>
      </c>
      <c r="V1870" s="106">
        <v>0.66064866116589982</v>
      </c>
      <c r="W1870" s="106">
        <v>84326.763200870977</v>
      </c>
      <c r="X1870" s="110">
        <v>0.53208744816958153</v>
      </c>
      <c r="Y1870" s="106">
        <v>364.5385852090032</v>
      </c>
      <c r="Z1870" s="106">
        <v>12.154340836012862</v>
      </c>
      <c r="AA1870" s="106">
        <v>138273.27657738497</v>
      </c>
      <c r="AB1870" s="106">
        <v>997.06190358257777</v>
      </c>
      <c r="AC1870" s="106">
        <v>0.72320554249710545</v>
      </c>
      <c r="AD1870" s="106">
        <v>21.905144694533764</v>
      </c>
      <c r="AE1870" s="106">
        <v>138.68073394495414</v>
      </c>
      <c r="AF1870" s="106">
        <v>6.6772624561928978E-2</v>
      </c>
      <c r="AG1870" s="106">
        <v>41300</v>
      </c>
      <c r="AH1870" s="106">
        <v>34653.05158730159</v>
      </c>
      <c r="AI1870" s="106">
        <v>38163.581349206346</v>
      </c>
      <c r="AJ1870" s="106">
        <v>45815.18015873016</v>
      </c>
      <c r="AK1870" s="104">
        <v>30357.400793650795</v>
      </c>
      <c r="AL1870" s="118"/>
      <c r="AM1870" s="118">
        <v>2498</v>
      </c>
      <c r="AN1870" s="118">
        <v>75581</v>
      </c>
      <c r="AO1870" s="118">
        <v>545</v>
      </c>
      <c r="AP1870" s="118">
        <f t="shared" si="29"/>
        <v>0</v>
      </c>
    </row>
    <row r="1871" spans="1:42" ht="12.75">
      <c r="A1871" s="106">
        <v>2018</v>
      </c>
      <c r="B1871" s="106">
        <v>-196097</v>
      </c>
      <c r="C1871" s="106">
        <v>0</v>
      </c>
      <c r="D1871" s="106">
        <v>196097</v>
      </c>
      <c r="E1871" s="106" t="s">
        <v>2959</v>
      </c>
      <c r="F1871" s="106" t="s">
        <v>2960</v>
      </c>
      <c r="G1871" s="106" t="s">
        <v>69</v>
      </c>
      <c r="H1871" s="106">
        <v>1</v>
      </c>
      <c r="I1871" s="106" t="s">
        <v>23</v>
      </c>
      <c r="J1871" s="106">
        <v>9257</v>
      </c>
      <c r="K1871" s="106">
        <v>14874</v>
      </c>
      <c r="L1871" s="106">
        <v>10382</v>
      </c>
      <c r="M1871" s="106">
        <v>0.36</v>
      </c>
      <c r="N1871" s="106">
        <v>0.42</v>
      </c>
      <c r="O1871" s="106">
        <v>0.68</v>
      </c>
      <c r="P1871" s="106">
        <v>4632</v>
      </c>
      <c r="Q1871" s="106">
        <v>2975.4594120927268</v>
      </c>
      <c r="R1871" s="106">
        <v>0.21902220574075268</v>
      </c>
      <c r="S1871" s="106">
        <v>112543.62825619374</v>
      </c>
      <c r="T1871" s="106">
        <v>111258.51923842906</v>
      </c>
      <c r="U1871" s="106">
        <v>30244.24468229284</v>
      </c>
      <c r="V1871" s="106">
        <v>0.35080180946253586</v>
      </c>
      <c r="W1871" s="106">
        <v>368150.815720524</v>
      </c>
      <c r="X1871" s="110">
        <v>0.60364338399378381</v>
      </c>
      <c r="Y1871" s="106">
        <v>312.45096536929202</v>
      </c>
      <c r="Z1871" s="106">
        <v>11.54121973643886</v>
      </c>
      <c r="AA1871" s="106">
        <v>104415.84254588065</v>
      </c>
      <c r="AB1871" s="106">
        <v>1117.1528090124748</v>
      </c>
      <c r="AC1871" s="106">
        <v>0.9577090751919155</v>
      </c>
      <c r="AD1871" s="106">
        <v>31.151473612063057</v>
      </c>
      <c r="AE1871" s="106">
        <v>93.466034103410337</v>
      </c>
      <c r="AF1871" s="106">
        <v>-0.13383866874707556</v>
      </c>
      <c r="AG1871" s="106">
        <v>6670</v>
      </c>
      <c r="AH1871" s="106">
        <v>112334.90289173902</v>
      </c>
      <c r="AI1871" s="106">
        <v>112517.2498605911</v>
      </c>
      <c r="AJ1871" s="106">
        <v>112837.88209989644</v>
      </c>
      <c r="AK1871" s="104">
        <v>39992.480084441966</v>
      </c>
      <c r="AL1871" s="118">
        <v>541480519</v>
      </c>
      <c r="AM1871" s="118">
        <v>17364</v>
      </c>
      <c r="AN1871" s="118">
        <v>679685</v>
      </c>
      <c r="AO1871" s="118">
        <v>4435</v>
      </c>
      <c r="AP1871" s="118">
        <f t="shared" si="29"/>
        <v>2587</v>
      </c>
    </row>
    <row r="1872" spans="1:42" ht="12.75">
      <c r="A1872" s="106">
        <v>2018</v>
      </c>
      <c r="B1872" s="106">
        <v>-366395</v>
      </c>
      <c r="C1872" s="106">
        <v>0</v>
      </c>
      <c r="D1872" s="106">
        <v>366395</v>
      </c>
      <c r="E1872" s="106" t="s">
        <v>2961</v>
      </c>
      <c r="F1872" s="106" t="s">
        <v>2962</v>
      </c>
      <c r="G1872" s="106" t="s">
        <v>69</v>
      </c>
      <c r="H1872" s="106">
        <v>4</v>
      </c>
      <c r="I1872" s="106" t="s">
        <v>24</v>
      </c>
      <c r="J1872" s="106">
        <v>5600</v>
      </c>
      <c r="K1872" s="106">
        <v>5125</v>
      </c>
      <c r="L1872" s="106">
        <v>2704</v>
      </c>
      <c r="M1872" s="106">
        <v>0.46</v>
      </c>
      <c r="N1872" s="106">
        <v>0.17</v>
      </c>
      <c r="O1872" s="106">
        <v>0.01</v>
      </c>
      <c r="P1872" s="106">
        <v>1982</v>
      </c>
      <c r="Q1872" s="106">
        <v>44.408556759840273</v>
      </c>
      <c r="R1872" s="106">
        <v>7.2033657567854318E-3</v>
      </c>
      <c r="S1872" s="106">
        <v>14200.316486023959</v>
      </c>
      <c r="T1872" s="106">
        <v>15385.92424415288</v>
      </c>
      <c r="U1872" s="106">
        <v>13918.810781517399</v>
      </c>
      <c r="V1872" s="106">
        <v>0.43973330251652981</v>
      </c>
      <c r="W1872" s="106">
        <v>124790.26937033083</v>
      </c>
      <c r="X1872" s="110">
        <v>0.72254276521225425</v>
      </c>
      <c r="Y1872" s="106">
        <v>705.28162717925784</v>
      </c>
      <c r="Z1872" s="106">
        <v>23.509164059007595</v>
      </c>
      <c r="AA1872" s="106">
        <v>62918.193140794225</v>
      </c>
      <c r="AB1872" s="106">
        <v>463.95594831766192</v>
      </c>
      <c r="AC1872" s="106">
        <v>1.5893654125798962</v>
      </c>
      <c r="AD1872" s="106">
        <v>21.31471913817742</v>
      </c>
      <c r="AE1872" s="106">
        <v>135.61242908715832</v>
      </c>
      <c r="AF1872" s="106">
        <v>4.452267018318716E-2</v>
      </c>
      <c r="AG1872" s="106">
        <v>4870</v>
      </c>
      <c r="AH1872" s="106">
        <v>14206.611580148317</v>
      </c>
      <c r="AI1872" s="106">
        <v>14206.611580148317</v>
      </c>
      <c r="AJ1872" s="106">
        <v>14354.042783799201</v>
      </c>
      <c r="AK1872" s="104">
        <v>14898.544951511694</v>
      </c>
      <c r="AL1872" s="118">
        <v>104226225</v>
      </c>
      <c r="AM1872" s="118">
        <v>26756</v>
      </c>
      <c r="AN1872" s="118">
        <v>525905</v>
      </c>
      <c r="AO1872" s="118">
        <v>3784</v>
      </c>
      <c r="AP1872" s="118">
        <f t="shared" si="29"/>
        <v>730</v>
      </c>
    </row>
    <row r="1873" spans="1:42" ht="12.75">
      <c r="A1873" s="106">
        <v>2018</v>
      </c>
      <c r="B1873" s="106">
        <v>-168005</v>
      </c>
      <c r="C1873" s="106">
        <v>0</v>
      </c>
      <c r="D1873" s="106">
        <v>168005</v>
      </c>
      <c r="E1873" s="106" t="s">
        <v>2963</v>
      </c>
      <c r="F1873" s="106" t="s">
        <v>425</v>
      </c>
      <c r="G1873" s="106" t="s">
        <v>150</v>
      </c>
      <c r="H1873" s="106">
        <v>5</v>
      </c>
      <c r="I1873" s="106" t="s">
        <v>3639</v>
      </c>
      <c r="J1873" s="106">
        <v>37270</v>
      </c>
      <c r="K1873" s="106">
        <v>33197</v>
      </c>
      <c r="L1873" s="106">
        <v>25715</v>
      </c>
      <c r="M1873" s="106">
        <v>0.3</v>
      </c>
      <c r="N1873" s="106">
        <v>0.61</v>
      </c>
      <c r="O1873" s="106">
        <v>0.97</v>
      </c>
      <c r="P1873" s="106">
        <v>17626</v>
      </c>
      <c r="Q1873" s="106">
        <v>12352.779475072906</v>
      </c>
      <c r="R1873" s="106">
        <v>0.33764270500406363</v>
      </c>
      <c r="S1873" s="106">
        <v>30201.198028051658</v>
      </c>
      <c r="T1873" s="106">
        <v>29745.809054298014</v>
      </c>
      <c r="U1873" s="106">
        <v>25757.173536921011</v>
      </c>
      <c r="V1873" s="106">
        <v>0.94080894358893863</v>
      </c>
      <c r="W1873" s="106">
        <v>107629.96132075472</v>
      </c>
      <c r="X1873" s="110">
        <v>0.53262365777567311</v>
      </c>
      <c r="Y1873" s="106">
        <v>389.33526430123101</v>
      </c>
      <c r="Z1873" s="106">
        <v>15.643012309920348</v>
      </c>
      <c r="AA1873" s="106">
        <v>91639.034900873623</v>
      </c>
      <c r="AB1873" s="106">
        <v>1034.8915694291402</v>
      </c>
      <c r="AC1873" s="106">
        <v>1.0912380309130327</v>
      </c>
      <c r="AD1873" s="106">
        <v>31.709227635907883</v>
      </c>
      <c r="AE1873" s="106">
        <v>88.549407114624501</v>
      </c>
      <c r="AF1873" s="106">
        <v>6.3288706609647777E-2</v>
      </c>
      <c r="AG1873" s="106">
        <v>37128</v>
      </c>
      <c r="AH1873" s="106">
        <v>28285.123038466878</v>
      </c>
      <c r="AI1873" s="106">
        <v>30458.839050131926</v>
      </c>
      <c r="AJ1873" s="106">
        <v>32571.059297319818</v>
      </c>
      <c r="AK1873" s="104">
        <v>27062.278155811691</v>
      </c>
      <c r="AL1873" s="118"/>
      <c r="AM1873" s="118">
        <v>5030</v>
      </c>
      <c r="AN1873" s="118">
        <v>179224</v>
      </c>
      <c r="AO1873" s="118">
        <v>1145</v>
      </c>
      <c r="AP1873" s="118">
        <f t="shared" si="29"/>
        <v>142</v>
      </c>
    </row>
    <row r="1874" spans="1:42" ht="12.75">
      <c r="A1874" s="106">
        <v>2018</v>
      </c>
      <c r="B1874" s="106">
        <v>-228501</v>
      </c>
      <c r="C1874" s="106">
        <v>0</v>
      </c>
      <c r="D1874" s="106">
        <v>228501</v>
      </c>
      <c r="E1874" s="106" t="s">
        <v>2964</v>
      </c>
      <c r="F1874" s="106" t="s">
        <v>2965</v>
      </c>
      <c r="G1874" s="106" t="s">
        <v>60</v>
      </c>
      <c r="H1874" s="106">
        <v>2</v>
      </c>
      <c r="I1874" s="106" t="s">
        <v>25</v>
      </c>
      <c r="J1874" s="106">
        <v>5899</v>
      </c>
      <c r="K1874" s="106">
        <v>14951</v>
      </c>
      <c r="L1874" s="106">
        <v>14361</v>
      </c>
      <c r="M1874" s="106">
        <v>0.64</v>
      </c>
      <c r="N1874" s="106">
        <v>0.66</v>
      </c>
      <c r="O1874" s="106">
        <v>0.36</v>
      </c>
      <c r="P1874" s="106">
        <v>1887</v>
      </c>
      <c r="Q1874" s="106">
        <v>2155.6340482573728</v>
      </c>
      <c r="R1874" s="106">
        <v>0.28420606518400016</v>
      </c>
      <c r="S1874" s="106">
        <v>22550.860142984809</v>
      </c>
      <c r="T1874" s="106">
        <v>25062.530831099197</v>
      </c>
      <c r="U1874" s="106">
        <v>11900.305823598788</v>
      </c>
      <c r="V1874" s="106">
        <v>0.45621712625490779</v>
      </c>
      <c r="W1874" s="106">
        <v>74157.95970991136</v>
      </c>
      <c r="X1874" s="110">
        <v>0.54691935509866085</v>
      </c>
      <c r="Y1874" s="106">
        <v>473.52088452088458</v>
      </c>
      <c r="Z1874" s="106">
        <v>16.496314496314497</v>
      </c>
      <c r="AA1874" s="106">
        <v>39809.991678944825</v>
      </c>
      <c r="AB1874" s="106">
        <v>414.57767521075459</v>
      </c>
      <c r="AC1874" s="106">
        <v>2.5119322005005382</v>
      </c>
      <c r="AD1874" s="106">
        <v>32.209918151179586</v>
      </c>
      <c r="AE1874" s="106">
        <v>96.025411061285496</v>
      </c>
      <c r="AF1874" s="106">
        <v>-7.6434952283765782E-3</v>
      </c>
      <c r="AG1874" s="106">
        <v>4315</v>
      </c>
      <c r="AH1874" s="106">
        <v>20330.167560321715</v>
      </c>
      <c r="AI1874" s="106">
        <v>21426.877122430742</v>
      </c>
      <c r="AJ1874" s="106">
        <v>23561.673369079534</v>
      </c>
      <c r="AK1874" s="104">
        <v>15956.444146559428</v>
      </c>
      <c r="AL1874" s="119">
        <v>21073239</v>
      </c>
      <c r="AM1874" s="118">
        <v>2294</v>
      </c>
      <c r="AN1874" s="118">
        <v>64241</v>
      </c>
      <c r="AO1874" s="118">
        <v>430</v>
      </c>
      <c r="AP1874" s="118">
        <f t="shared" si="29"/>
        <v>1584</v>
      </c>
    </row>
    <row r="1875" spans="1:42" ht="12.75">
      <c r="A1875" s="106">
        <v>2018</v>
      </c>
      <c r="B1875" s="106">
        <v>-195988</v>
      </c>
      <c r="C1875" s="106">
        <v>0</v>
      </c>
      <c r="D1875" s="106">
        <v>195988</v>
      </c>
      <c r="E1875" s="106" t="s">
        <v>2966</v>
      </c>
      <c r="F1875" s="106" t="s">
        <v>2967</v>
      </c>
      <c r="G1875" s="106" t="s">
        <v>69</v>
      </c>
      <c r="H1875" s="106">
        <v>4</v>
      </c>
      <c r="I1875" s="106" t="s">
        <v>24</v>
      </c>
      <c r="J1875" s="106">
        <v>5690</v>
      </c>
      <c r="K1875" s="106">
        <v>8231</v>
      </c>
      <c r="L1875" s="106">
        <v>6522</v>
      </c>
      <c r="M1875" s="106">
        <v>0.68</v>
      </c>
      <c r="N1875" s="106">
        <v>0.42</v>
      </c>
      <c r="O1875" s="106">
        <v>0.1</v>
      </c>
      <c r="P1875" s="106">
        <v>3017</v>
      </c>
      <c r="Q1875" s="106">
        <v>25.654614652711704</v>
      </c>
      <c r="R1875" s="106">
        <v>5.32143538037122E-3</v>
      </c>
      <c r="S1875" s="106">
        <v>17472.379638439583</v>
      </c>
      <c r="T1875" s="106">
        <v>20699.63653663178</v>
      </c>
      <c r="U1875" s="106">
        <v>18317.824906746464</v>
      </c>
      <c r="V1875" s="106">
        <v>0.26178548230402798</v>
      </c>
      <c r="W1875" s="106">
        <v>92682.314102564109</v>
      </c>
      <c r="X1875" s="110">
        <v>0.66459341113745152</v>
      </c>
      <c r="Y1875" s="106">
        <v>519.82417582417577</v>
      </c>
      <c r="Z1875" s="106">
        <v>17.324175824175821</v>
      </c>
      <c r="AA1875" s="106">
        <v>83704.49555213275</v>
      </c>
      <c r="AB1875" s="106">
        <v>610.47799267473783</v>
      </c>
      <c r="AC1875" s="106">
        <v>1.1946789636611346</v>
      </c>
      <c r="AD1875" s="106">
        <v>21.178637200736645</v>
      </c>
      <c r="AE1875" s="106">
        <v>137.11304347826086</v>
      </c>
      <c r="AF1875" s="106">
        <v>0.32539869734621429</v>
      </c>
      <c r="AG1875" s="106">
        <v>4814</v>
      </c>
      <c r="AH1875" s="106">
        <v>16729.078972407231</v>
      </c>
      <c r="AI1875" s="106">
        <v>16729.078972407231</v>
      </c>
      <c r="AJ1875" s="106">
        <v>17473.146527117031</v>
      </c>
      <c r="AK1875" s="104">
        <v>20699.635585156993</v>
      </c>
      <c r="AL1875" s="118">
        <v>9961108</v>
      </c>
      <c r="AM1875" s="119">
        <v>1565</v>
      </c>
      <c r="AN1875" s="118">
        <v>31536</v>
      </c>
      <c r="AO1875" s="119">
        <v>230</v>
      </c>
      <c r="AP1875" s="118">
        <f t="shared" si="29"/>
        <v>876</v>
      </c>
    </row>
    <row r="1876" spans="1:42" ht="12.75">
      <c r="A1876" s="106">
        <v>2018</v>
      </c>
      <c r="B1876" s="106">
        <v>-196060</v>
      </c>
      <c r="C1876" s="106">
        <v>0</v>
      </c>
      <c r="D1876" s="106">
        <v>196060</v>
      </c>
      <c r="E1876" s="106" t="s">
        <v>2647</v>
      </c>
      <c r="F1876" s="106" t="s">
        <v>95</v>
      </c>
      <c r="G1876" s="106" t="s">
        <v>69</v>
      </c>
      <c r="H1876" s="106">
        <v>1</v>
      </c>
      <c r="I1876" s="106" t="s">
        <v>23</v>
      </c>
      <c r="J1876" s="106">
        <v>9490</v>
      </c>
      <c r="K1876" s="106">
        <v>15844</v>
      </c>
      <c r="L1876" s="106">
        <v>12158</v>
      </c>
      <c r="M1876" s="106">
        <v>0.44</v>
      </c>
      <c r="N1876" s="106">
        <v>0.59</v>
      </c>
      <c r="O1876" s="106">
        <v>0.64</v>
      </c>
      <c r="P1876" s="106">
        <v>3290</v>
      </c>
      <c r="Q1876" s="106">
        <v>2295.4346583850934</v>
      </c>
      <c r="R1876" s="106">
        <v>0.22178575152570923</v>
      </c>
      <c r="S1876" s="106">
        <v>35480.477204968942</v>
      </c>
      <c r="T1876" s="106">
        <v>36308.669068322983</v>
      </c>
      <c r="U1876" s="106">
        <v>21593.463803436112</v>
      </c>
      <c r="V1876" s="106">
        <v>0.37299942132599967</v>
      </c>
      <c r="W1876" s="106">
        <v>136058.3595381403</v>
      </c>
      <c r="X1876" s="110">
        <v>0.63160494949607127</v>
      </c>
      <c r="Y1876" s="106">
        <v>559.17032309533306</v>
      </c>
      <c r="Z1876" s="106">
        <v>19.26605504587156</v>
      </c>
      <c r="AA1876" s="106">
        <v>75857.466121606238</v>
      </c>
      <c r="AB1876" s="106">
        <v>743.9966770144697</v>
      </c>
      <c r="AC1876" s="106">
        <v>1.3182618022027146</v>
      </c>
      <c r="AD1876" s="106">
        <v>28.773229532898043</v>
      </c>
      <c r="AE1876" s="106">
        <v>101.95941523019856</v>
      </c>
      <c r="AF1876" s="106">
        <v>6.84800324661341E-2</v>
      </c>
      <c r="AG1876" s="106">
        <v>6670</v>
      </c>
      <c r="AH1876" s="106">
        <v>35550.686521739131</v>
      </c>
      <c r="AI1876" s="106">
        <v>35676.006708074536</v>
      </c>
      <c r="AJ1876" s="106">
        <v>35628.116770186338</v>
      </c>
      <c r="AK1876" s="104">
        <v>29521.90602484472</v>
      </c>
      <c r="AL1876" s="118">
        <v>214321478</v>
      </c>
      <c r="AM1876" s="118">
        <v>13508</v>
      </c>
      <c r="AN1876" s="118">
        <v>467280</v>
      </c>
      <c r="AO1876" s="118">
        <v>3066</v>
      </c>
      <c r="AP1876" s="118">
        <f t="shared" si="29"/>
        <v>2820</v>
      </c>
    </row>
    <row r="1877" spans="1:42" ht="12.75">
      <c r="A1877" s="106">
        <v>2018</v>
      </c>
      <c r="B1877" s="106">
        <v>-196158</v>
      </c>
      <c r="C1877" s="106">
        <v>0</v>
      </c>
      <c r="D1877" s="106">
        <v>196158</v>
      </c>
      <c r="E1877" s="106" t="s">
        <v>2649</v>
      </c>
      <c r="F1877" s="106" t="s">
        <v>2650</v>
      </c>
      <c r="G1877" s="106" t="s">
        <v>69</v>
      </c>
      <c r="H1877" s="106">
        <v>2</v>
      </c>
      <c r="I1877" s="106" t="s">
        <v>25</v>
      </c>
      <c r="J1877" s="106">
        <v>8286</v>
      </c>
      <c r="K1877" s="106">
        <v>14775</v>
      </c>
      <c r="L1877" s="106">
        <v>10126</v>
      </c>
      <c r="M1877" s="106">
        <v>0.5</v>
      </c>
      <c r="N1877" s="106">
        <v>0.79</v>
      </c>
      <c r="O1877" s="106">
        <v>0.89</v>
      </c>
      <c r="P1877" s="106">
        <v>2744</v>
      </c>
      <c r="Q1877" s="106">
        <v>1387.0741915028534</v>
      </c>
      <c r="R1877" s="106">
        <v>0.18462062008914909</v>
      </c>
      <c r="S1877" s="106">
        <v>25181.377087296554</v>
      </c>
      <c r="T1877" s="106">
        <v>29234.482561826251</v>
      </c>
      <c r="U1877" s="106">
        <v>18841.798630410787</v>
      </c>
      <c r="V1877" s="106">
        <v>0.32512985640019471</v>
      </c>
      <c r="W1877" s="106">
        <v>103931.61071744908</v>
      </c>
      <c r="X1877" s="110">
        <v>0.56559033747907761</v>
      </c>
      <c r="Y1877" s="106">
        <v>447.70233050847457</v>
      </c>
      <c r="Z1877" s="106">
        <v>15.034957627118644</v>
      </c>
      <c r="AA1877" s="106">
        <v>79660.901984337295</v>
      </c>
      <c r="AB1877" s="106">
        <v>632.75445474047172</v>
      </c>
      <c r="AC1877" s="106">
        <v>1.2553209605844247</v>
      </c>
      <c r="AD1877" s="106">
        <v>24.811529933481154</v>
      </c>
      <c r="AE1877" s="106">
        <v>125.89544235924933</v>
      </c>
      <c r="AF1877" s="106">
        <v>1.7270214350357205</v>
      </c>
      <c r="AG1877" s="106">
        <v>6670</v>
      </c>
      <c r="AH1877" s="106">
        <v>25335.832382160221</v>
      </c>
      <c r="AI1877" s="106">
        <v>25543.160642570281</v>
      </c>
      <c r="AJ1877" s="106">
        <v>25289.993024730502</v>
      </c>
      <c r="AK1877" s="104">
        <v>22142.815683787783</v>
      </c>
      <c r="AL1877" s="118">
        <v>55564219</v>
      </c>
      <c r="AM1877" s="118">
        <v>4393</v>
      </c>
      <c r="AN1877" s="118">
        <v>140877</v>
      </c>
      <c r="AO1877" s="118">
        <v>1015</v>
      </c>
      <c r="AP1877" s="118">
        <f t="shared" si="29"/>
        <v>1616</v>
      </c>
    </row>
    <row r="1878" spans="1:42" ht="12.75">
      <c r="A1878" s="106">
        <v>2018</v>
      </c>
      <c r="B1878" s="106">
        <v>-196219</v>
      </c>
      <c r="C1878" s="106">
        <v>0</v>
      </c>
      <c r="D1878" s="106">
        <v>196219</v>
      </c>
      <c r="E1878" s="106" t="s">
        <v>2651</v>
      </c>
      <c r="F1878" s="106" t="s">
        <v>1878</v>
      </c>
      <c r="G1878" s="106" t="s">
        <v>69</v>
      </c>
      <c r="H1878" s="106">
        <v>3</v>
      </c>
      <c r="I1878" s="104" t="s">
        <v>26</v>
      </c>
      <c r="J1878" s="106">
        <v>8498</v>
      </c>
      <c r="K1878" s="106">
        <v>17308</v>
      </c>
      <c r="L1878" s="106">
        <v>13270</v>
      </c>
      <c r="M1878" s="106">
        <v>0.42</v>
      </c>
      <c r="N1878" s="106">
        <v>0.56999999999999995</v>
      </c>
      <c r="O1878" s="106">
        <v>0.57999999999999996</v>
      </c>
      <c r="P1878" s="106">
        <v>2362</v>
      </c>
      <c r="Q1878" s="106">
        <v>1112.7634638196917</v>
      </c>
      <c r="R1878" s="106">
        <v>0.1224162865434421</v>
      </c>
      <c r="S1878" s="106">
        <v>33723.92265717675</v>
      </c>
      <c r="T1878" s="106">
        <v>34503.162752075921</v>
      </c>
      <c r="U1878" s="106">
        <v>24670.19766244532</v>
      </c>
      <c r="V1878" s="106">
        <v>0.32335500105721976</v>
      </c>
      <c r="W1878" s="106">
        <v>105146.59159663865</v>
      </c>
      <c r="X1878" s="110">
        <v>0.57358054978039696</v>
      </c>
      <c r="Y1878" s="106">
        <v>468.38337468982627</v>
      </c>
      <c r="Z1878" s="106">
        <v>15.688585607940446</v>
      </c>
      <c r="AA1878" s="106">
        <v>101054.30820914191</v>
      </c>
      <c r="AB1878" s="106">
        <v>826.3327199612761</v>
      </c>
      <c r="AC1878" s="106">
        <v>0.98956691478249581</v>
      </c>
      <c r="AD1878" s="106">
        <v>26.030862635972678</v>
      </c>
      <c r="AE1878" s="106">
        <v>122.29251700680273</v>
      </c>
      <c r="AF1878" s="106">
        <v>3.8022180230328766E-2</v>
      </c>
      <c r="AG1878" s="106">
        <v>6670</v>
      </c>
      <c r="AH1878" s="106">
        <v>33440.061209964413</v>
      </c>
      <c r="AI1878" s="106">
        <v>33902.34306049822</v>
      </c>
      <c r="AJ1878" s="106">
        <v>33900.244128113882</v>
      </c>
      <c r="AK1878" s="104">
        <v>27346.077817319099</v>
      </c>
      <c r="AL1878" s="118">
        <v>61872564</v>
      </c>
      <c r="AM1878" s="118">
        <v>4063</v>
      </c>
      <c r="AN1878" s="118">
        <v>125839</v>
      </c>
      <c r="AO1878" s="118">
        <v>969</v>
      </c>
      <c r="AP1878" s="118">
        <f t="shared" si="29"/>
        <v>1828</v>
      </c>
    </row>
    <row r="1879" spans="1:42" ht="12.75">
      <c r="A1879" s="106">
        <v>2018</v>
      </c>
      <c r="B1879" s="106">
        <v>-189547</v>
      </c>
      <c r="C1879" s="106">
        <v>0</v>
      </c>
      <c r="D1879" s="106">
        <v>189547</v>
      </c>
      <c r="E1879" s="106" t="s">
        <v>2619</v>
      </c>
      <c r="F1879" s="106" t="s">
        <v>2620</v>
      </c>
      <c r="G1879" s="106" t="s">
        <v>69</v>
      </c>
      <c r="H1879" s="106">
        <v>4</v>
      </c>
      <c r="I1879" s="106" t="s">
        <v>24</v>
      </c>
      <c r="J1879" s="106">
        <v>5175</v>
      </c>
      <c r="K1879" s="106">
        <v>7370</v>
      </c>
      <c r="L1879" s="106">
        <v>4470</v>
      </c>
      <c r="M1879" s="106">
        <v>0.6</v>
      </c>
      <c r="N1879" s="106">
        <v>0.51</v>
      </c>
      <c r="O1879" s="106">
        <v>0.17</v>
      </c>
      <c r="P1879" s="106">
        <v>1214</v>
      </c>
      <c r="Q1879" s="106">
        <v>256.42871649065802</v>
      </c>
      <c r="R1879" s="106">
        <v>4.305672665894935E-2</v>
      </c>
      <c r="S1879" s="106">
        <v>13261.123070674248</v>
      </c>
      <c r="T1879" s="106">
        <v>13184.813769293258</v>
      </c>
      <c r="U1879" s="106">
        <v>12335.259951259139</v>
      </c>
      <c r="V1879" s="106">
        <v>0.46202293689604113</v>
      </c>
      <c r="W1879" s="106">
        <v>83826.079287031345</v>
      </c>
      <c r="X1879" s="110">
        <v>0.70025046816547909</v>
      </c>
      <c r="Y1879" s="106">
        <v>578.56135770234994</v>
      </c>
      <c r="Z1879" s="106">
        <v>19.284595300261099</v>
      </c>
      <c r="AA1879" s="106">
        <v>47415.160031225605</v>
      </c>
      <c r="AB1879" s="106">
        <v>411.1586315205177</v>
      </c>
      <c r="AC1879" s="106">
        <v>2.1090301062812875</v>
      </c>
      <c r="AD1879" s="106">
        <v>27.878128400435255</v>
      </c>
      <c r="AE1879" s="106">
        <v>115.32084309133489</v>
      </c>
      <c r="AF1879" s="106">
        <v>0.38624896857466146</v>
      </c>
      <c r="AG1879" s="106">
        <v>4592</v>
      </c>
      <c r="AH1879" s="106">
        <v>13653.760560519902</v>
      </c>
      <c r="AI1879" s="106">
        <v>13675.979082047115</v>
      </c>
      <c r="AJ1879" s="106">
        <v>13262.096060113729</v>
      </c>
      <c r="AK1879" s="104">
        <v>13178.419780666125</v>
      </c>
      <c r="AL1879" s="118">
        <v>26488188</v>
      </c>
      <c r="AM1879" s="118">
        <v>5624</v>
      </c>
      <c r="AN1879" s="118">
        <v>147726</v>
      </c>
      <c r="AO1879" s="118">
        <v>1178</v>
      </c>
      <c r="AP1879" s="118">
        <f t="shared" si="29"/>
        <v>583</v>
      </c>
    </row>
    <row r="1880" spans="1:42" ht="12.75">
      <c r="A1880" s="106">
        <v>2018</v>
      </c>
      <c r="B1880" s="106">
        <v>-196130</v>
      </c>
      <c r="C1880" s="106">
        <v>0</v>
      </c>
      <c r="D1880" s="106">
        <v>196130</v>
      </c>
      <c r="E1880" s="106" t="s">
        <v>2621</v>
      </c>
      <c r="F1880" s="106" t="s">
        <v>585</v>
      </c>
      <c r="G1880" s="106" t="s">
        <v>69</v>
      </c>
      <c r="H1880" s="106">
        <v>2</v>
      </c>
      <c r="I1880" s="106" t="s">
        <v>25</v>
      </c>
      <c r="J1880" s="106">
        <v>7976</v>
      </c>
      <c r="K1880" s="106">
        <v>12024</v>
      </c>
      <c r="L1880" s="106">
        <v>9124</v>
      </c>
      <c r="M1880" s="106">
        <v>0.66</v>
      </c>
      <c r="N1880" s="106">
        <v>0.68</v>
      </c>
      <c r="O1880" s="106">
        <v>0.83</v>
      </c>
      <c r="P1880" s="106">
        <v>1649</v>
      </c>
      <c r="Q1880" s="106">
        <v>1195.218369037756</v>
      </c>
      <c r="R1880" s="106">
        <v>0.15166410443881231</v>
      </c>
      <c r="S1880" s="106">
        <v>27933.109598769086</v>
      </c>
      <c r="T1880" s="106">
        <v>30912.52739969227</v>
      </c>
      <c r="U1880" s="106">
        <v>19790.271190083542</v>
      </c>
      <c r="V1880" s="106">
        <v>0.33781626217585731</v>
      </c>
      <c r="W1880" s="106">
        <v>106096.21269095183</v>
      </c>
      <c r="X1880" s="110">
        <v>0.57615371492690115</v>
      </c>
      <c r="Y1880" s="106">
        <v>475.84263959390859</v>
      </c>
      <c r="Z1880" s="106">
        <v>16.083121827411166</v>
      </c>
      <c r="AA1880" s="106">
        <v>68866.557366151508</v>
      </c>
      <c r="AB1880" s="106">
        <v>668.8962191771044</v>
      </c>
      <c r="AC1880" s="106">
        <v>1.4520836212026311</v>
      </c>
      <c r="AD1880" s="106">
        <v>28.193218764514633</v>
      </c>
      <c r="AE1880" s="106">
        <v>102.95551894563427</v>
      </c>
      <c r="AF1880" s="106">
        <v>0.31494114170712234</v>
      </c>
      <c r="AG1880" s="106">
        <v>6670</v>
      </c>
      <c r="AH1880" s="106">
        <v>28708.817374837257</v>
      </c>
      <c r="AI1880" s="106">
        <v>28904.638300390579</v>
      </c>
      <c r="AJ1880" s="106">
        <v>28052.447982009704</v>
      </c>
      <c r="AK1880" s="104">
        <v>25091.82210912534</v>
      </c>
      <c r="AL1880" s="118">
        <v>97576024</v>
      </c>
      <c r="AM1880" s="118">
        <v>8527</v>
      </c>
      <c r="AN1880" s="118">
        <v>249976</v>
      </c>
      <c r="AO1880" s="118">
        <v>1708</v>
      </c>
      <c r="AP1880" s="118">
        <f t="shared" si="29"/>
        <v>1306</v>
      </c>
    </row>
    <row r="1881" spans="1:42" ht="12.75">
      <c r="A1881" s="106">
        <v>2018</v>
      </c>
      <c r="B1881" s="106">
        <v>-196121</v>
      </c>
      <c r="C1881" s="106">
        <v>0</v>
      </c>
      <c r="D1881" s="106">
        <v>196121</v>
      </c>
      <c r="E1881" s="106" t="s">
        <v>2622</v>
      </c>
      <c r="F1881" s="106" t="s">
        <v>2623</v>
      </c>
      <c r="G1881" s="106" t="s">
        <v>69</v>
      </c>
      <c r="H1881" s="106">
        <v>2</v>
      </c>
      <c r="I1881" s="106" t="s">
        <v>25</v>
      </c>
      <c r="J1881" s="106">
        <v>8154</v>
      </c>
      <c r="K1881" s="106">
        <v>14723</v>
      </c>
      <c r="L1881" s="106">
        <v>10996</v>
      </c>
      <c r="M1881" s="106">
        <v>0.42</v>
      </c>
      <c r="N1881" s="106">
        <v>0.71</v>
      </c>
      <c r="O1881" s="106">
        <v>0.72</v>
      </c>
      <c r="P1881" s="106">
        <v>2125</v>
      </c>
      <c r="Q1881" s="106">
        <v>982.58553067444018</v>
      </c>
      <c r="R1881" s="106">
        <v>0.12202857663751136</v>
      </c>
      <c r="S1881" s="106">
        <v>24795.006625149064</v>
      </c>
      <c r="T1881" s="106">
        <v>25133.560090102026</v>
      </c>
      <c r="U1881" s="106">
        <v>17189.317353058781</v>
      </c>
      <c r="V1881" s="106">
        <v>0.41127335098478213</v>
      </c>
      <c r="W1881" s="106">
        <v>104357.50412465628</v>
      </c>
      <c r="X1881" s="110">
        <v>0.60023328503414786</v>
      </c>
      <c r="Y1881" s="106">
        <v>520.42511700468026</v>
      </c>
      <c r="Z1881" s="106">
        <v>17.660686427457097</v>
      </c>
      <c r="AA1881" s="106">
        <v>58199.990158606837</v>
      </c>
      <c r="AB1881" s="106">
        <v>583.32146884387976</v>
      </c>
      <c r="AC1881" s="106">
        <v>1.7182133489624247</v>
      </c>
      <c r="AD1881" s="106">
        <v>30.281211791876107</v>
      </c>
      <c r="AE1881" s="106">
        <v>99.773441004934952</v>
      </c>
      <c r="AF1881" s="106">
        <v>1.3709669630339726E-2</v>
      </c>
      <c r="AG1881" s="106">
        <v>6670</v>
      </c>
      <c r="AH1881" s="106">
        <v>25509.194116867631</v>
      </c>
      <c r="AI1881" s="106">
        <v>25572.568967801777</v>
      </c>
      <c r="AJ1881" s="106">
        <v>24877.590698290711</v>
      </c>
      <c r="AK1881" s="104">
        <v>19125.881144825758</v>
      </c>
      <c r="AL1881" s="119">
        <v>85462847</v>
      </c>
      <c r="AM1881" s="118">
        <v>7180</v>
      </c>
      <c r="AN1881" s="118">
        <v>222395</v>
      </c>
      <c r="AO1881" s="118">
        <v>1796</v>
      </c>
      <c r="AP1881" s="118">
        <f t="shared" si="29"/>
        <v>1484</v>
      </c>
    </row>
    <row r="1882" spans="1:42" ht="12.75">
      <c r="A1882" s="106">
        <v>2018</v>
      </c>
      <c r="B1882" s="106">
        <v>-196167</v>
      </c>
      <c r="C1882" s="106">
        <v>0</v>
      </c>
      <c r="D1882" s="106">
        <v>196167</v>
      </c>
      <c r="E1882" s="106" t="s">
        <v>2625</v>
      </c>
      <c r="F1882" s="106" t="s">
        <v>2626</v>
      </c>
      <c r="G1882" s="106" t="s">
        <v>69</v>
      </c>
      <c r="H1882" s="106">
        <v>2</v>
      </c>
      <c r="I1882" s="106" t="s">
        <v>25</v>
      </c>
      <c r="J1882" s="106">
        <v>8408</v>
      </c>
      <c r="K1882" s="106">
        <v>17673</v>
      </c>
      <c r="L1882" s="106">
        <v>11841</v>
      </c>
      <c r="M1882" s="106">
        <v>0.28000000000000003</v>
      </c>
      <c r="N1882" s="106">
        <v>0.6</v>
      </c>
      <c r="O1882" s="106">
        <v>0.56000000000000005</v>
      </c>
      <c r="P1882" s="106">
        <v>1619</v>
      </c>
      <c r="Q1882" s="106">
        <v>1058.88087431694</v>
      </c>
      <c r="R1882" s="106">
        <v>0.13609961350629327</v>
      </c>
      <c r="S1882" s="106">
        <v>24740.351730418944</v>
      </c>
      <c r="T1882" s="106">
        <v>26158.469034608377</v>
      </c>
      <c r="U1882" s="106">
        <v>17236.772750200893</v>
      </c>
      <c r="V1882" s="106">
        <v>0.38994012319035476</v>
      </c>
      <c r="W1882" s="106">
        <v>101558.26852976914</v>
      </c>
      <c r="X1882" s="110">
        <v>0.58201001260392771</v>
      </c>
      <c r="Y1882" s="106">
        <v>563.52631578947376</v>
      </c>
      <c r="Z1882" s="106">
        <v>18.844393592677346</v>
      </c>
      <c r="AA1882" s="106">
        <v>76130.235236205073</v>
      </c>
      <c r="AB1882" s="106">
        <v>576.39993177118731</v>
      </c>
      <c r="AC1882" s="106">
        <v>1.3135385657188043</v>
      </c>
      <c r="AD1882" s="106">
        <v>22.360136715236553</v>
      </c>
      <c r="AE1882" s="106">
        <v>132.07884151246984</v>
      </c>
      <c r="AF1882" s="106">
        <v>0.31668636769578129</v>
      </c>
      <c r="AG1882" s="106">
        <v>6670</v>
      </c>
      <c r="AH1882" s="106">
        <v>24935.803278688523</v>
      </c>
      <c r="AI1882" s="106">
        <v>25018.055737704919</v>
      </c>
      <c r="AJ1882" s="106">
        <v>24899.785792349729</v>
      </c>
      <c r="AK1882" s="104">
        <v>19144.989435336975</v>
      </c>
      <c r="AL1882" s="118">
        <v>57268028</v>
      </c>
      <c r="AM1882" s="118">
        <v>5556</v>
      </c>
      <c r="AN1882" s="118">
        <v>164174</v>
      </c>
      <c r="AO1882" s="118">
        <v>1198</v>
      </c>
      <c r="AP1882" s="118">
        <f t="shared" si="29"/>
        <v>1738</v>
      </c>
    </row>
    <row r="1883" spans="1:42" ht="12.75">
      <c r="A1883" s="106">
        <v>2018</v>
      </c>
      <c r="B1883" s="106">
        <v>-196237</v>
      </c>
      <c r="C1883" s="106">
        <v>0</v>
      </c>
      <c r="D1883" s="106">
        <v>196237</v>
      </c>
      <c r="E1883" s="106" t="s">
        <v>2627</v>
      </c>
      <c r="F1883" s="106" t="s">
        <v>2170</v>
      </c>
      <c r="G1883" s="106" t="s">
        <v>69</v>
      </c>
      <c r="H1883" s="106">
        <v>2</v>
      </c>
      <c r="I1883" s="106" t="s">
        <v>25</v>
      </c>
      <c r="J1883" s="106">
        <v>7883</v>
      </c>
      <c r="K1883" s="106">
        <v>10710</v>
      </c>
      <c r="L1883" s="106">
        <v>7801</v>
      </c>
      <c r="M1883" s="106">
        <v>0.59</v>
      </c>
      <c r="N1883" s="106">
        <v>0.48</v>
      </c>
      <c r="O1883" s="106">
        <v>0.74</v>
      </c>
      <c r="P1883" s="106">
        <v>1322</v>
      </c>
      <c r="Q1883" s="106">
        <v>746.22193877551024</v>
      </c>
      <c r="R1883" s="106">
        <v>9.7926751920641528E-2</v>
      </c>
      <c r="S1883" s="106">
        <v>21476.120323129253</v>
      </c>
      <c r="T1883" s="106">
        <v>22926.152848639456</v>
      </c>
      <c r="U1883" s="106">
        <v>17400.967395758242</v>
      </c>
      <c r="V1883" s="106">
        <v>0.39503454316327002</v>
      </c>
      <c r="W1883" s="106">
        <v>114668.58114558473</v>
      </c>
      <c r="X1883" s="110">
        <v>0.59401676428504002</v>
      </c>
      <c r="Y1883" s="106">
        <v>604.68587896253609</v>
      </c>
      <c r="Z1883" s="106">
        <v>20.334293948126803</v>
      </c>
      <c r="AA1883" s="106">
        <v>69367.924262412518</v>
      </c>
      <c r="AB1883" s="106">
        <v>585.15734915820792</v>
      </c>
      <c r="AC1883" s="106">
        <v>1.4415884728179145</v>
      </c>
      <c r="AD1883" s="106">
        <v>26.257231864708501</v>
      </c>
      <c r="AE1883" s="106">
        <v>118.54576271186441</v>
      </c>
      <c r="AF1883" s="106">
        <v>0.12670015044542343</v>
      </c>
      <c r="AG1883" s="106">
        <v>6670</v>
      </c>
      <c r="AH1883" s="106">
        <v>21992.537627551021</v>
      </c>
      <c r="AI1883" s="106">
        <v>22010.19068877551</v>
      </c>
      <c r="AJ1883" s="106">
        <v>21550.237670068029</v>
      </c>
      <c r="AK1883" s="104">
        <v>19236.909013605444</v>
      </c>
      <c r="AL1883" s="118">
        <v>47537809</v>
      </c>
      <c r="AM1883" s="118">
        <v>4635</v>
      </c>
      <c r="AN1883" s="118">
        <v>139884</v>
      </c>
      <c r="AO1883" s="118">
        <v>1069</v>
      </c>
      <c r="AP1883" s="118">
        <f t="shared" si="29"/>
        <v>1213</v>
      </c>
    </row>
    <row r="1884" spans="1:42" ht="12.75">
      <c r="A1884" s="106">
        <v>2018</v>
      </c>
      <c r="B1884" s="106">
        <v>-196194</v>
      </c>
      <c r="C1884" s="106">
        <v>0</v>
      </c>
      <c r="D1884" s="106">
        <v>196194</v>
      </c>
      <c r="E1884" s="106" t="s">
        <v>2628</v>
      </c>
      <c r="F1884" s="106" t="s">
        <v>2629</v>
      </c>
      <c r="G1884" s="106" t="s">
        <v>69</v>
      </c>
      <c r="H1884" s="106">
        <v>2</v>
      </c>
      <c r="I1884" s="106" t="s">
        <v>25</v>
      </c>
      <c r="J1884" s="106">
        <v>8191</v>
      </c>
      <c r="K1884" s="106">
        <v>15780</v>
      </c>
      <c r="L1884" s="106">
        <v>9914</v>
      </c>
      <c r="M1884" s="106">
        <v>0.46</v>
      </c>
      <c r="N1884" s="106">
        <v>0.71</v>
      </c>
      <c r="O1884" s="106">
        <v>0.89</v>
      </c>
      <c r="P1884" s="106">
        <v>2751</v>
      </c>
      <c r="Q1884" s="106">
        <v>1609.4246749936274</v>
      </c>
      <c r="R1884" s="106">
        <v>0.19297916613528499</v>
      </c>
      <c r="S1884" s="106">
        <v>25258.770073923017</v>
      </c>
      <c r="T1884" s="106">
        <v>26844.312261024726</v>
      </c>
      <c r="U1884" s="106">
        <v>17938.318619335609</v>
      </c>
      <c r="V1884" s="106">
        <v>0.37520035690804049</v>
      </c>
      <c r="W1884" s="106">
        <v>100214.83122941821</v>
      </c>
      <c r="X1884" s="110">
        <v>0.57794768328173074</v>
      </c>
      <c r="Y1884" s="106">
        <v>508.76406135865597</v>
      </c>
      <c r="Z1884" s="106">
        <v>17.193571950328707</v>
      </c>
      <c r="AA1884" s="106">
        <v>70796.804772287316</v>
      </c>
      <c r="AB1884" s="106">
        <v>606.22161680567865</v>
      </c>
      <c r="AC1884" s="106">
        <v>1.4124931248188755</v>
      </c>
      <c r="AD1884" s="106">
        <v>26.47137150466045</v>
      </c>
      <c r="AE1884" s="106">
        <v>116.78370221327968</v>
      </c>
      <c r="AF1884" s="106">
        <v>0.19974816463196302</v>
      </c>
      <c r="AG1884" s="106">
        <v>6670</v>
      </c>
      <c r="AH1884" s="106">
        <v>25572.166326790721</v>
      </c>
      <c r="AI1884" s="106">
        <v>25572.166326790721</v>
      </c>
      <c r="AJ1884" s="106">
        <v>25350.330359418811</v>
      </c>
      <c r="AK1884" s="104">
        <v>20805.548304868724</v>
      </c>
      <c r="AL1884" s="118">
        <v>81058203</v>
      </c>
      <c r="AM1884" s="118">
        <v>7125</v>
      </c>
      <c r="AN1884" s="118">
        <v>232166</v>
      </c>
      <c r="AO1884" s="118">
        <v>1635</v>
      </c>
      <c r="AP1884" s="118">
        <f t="shared" si="29"/>
        <v>1521</v>
      </c>
    </row>
    <row r="1885" spans="1:42" ht="12.75">
      <c r="A1885" s="106">
        <v>2018</v>
      </c>
      <c r="B1885" s="106">
        <v>-196246</v>
      </c>
      <c r="C1885" s="106">
        <v>0</v>
      </c>
      <c r="D1885" s="106">
        <v>196246</v>
      </c>
      <c r="E1885" s="106" t="s">
        <v>2630</v>
      </c>
      <c r="F1885" s="106" t="s">
        <v>780</v>
      </c>
      <c r="G1885" s="106" t="s">
        <v>69</v>
      </c>
      <c r="H1885" s="106">
        <v>2</v>
      </c>
      <c r="I1885" s="106" t="s">
        <v>25</v>
      </c>
      <c r="J1885" s="106">
        <v>8066</v>
      </c>
      <c r="K1885" s="106">
        <v>13614</v>
      </c>
      <c r="L1885" s="106">
        <v>8474</v>
      </c>
      <c r="M1885" s="106">
        <v>0.47</v>
      </c>
      <c r="N1885" s="106">
        <v>0.69</v>
      </c>
      <c r="O1885" s="106">
        <v>0.85</v>
      </c>
      <c r="P1885" s="106">
        <v>4445</v>
      </c>
      <c r="Q1885" s="106">
        <v>1956.9864766081871</v>
      </c>
      <c r="R1885" s="106">
        <v>0.23396893119959286</v>
      </c>
      <c r="S1885" s="106">
        <v>25633.015350877195</v>
      </c>
      <c r="T1885" s="106">
        <v>27065.428545321636</v>
      </c>
      <c r="U1885" s="106">
        <v>18095.2565428333</v>
      </c>
      <c r="V1885" s="106">
        <v>0.35408805227878826</v>
      </c>
      <c r="W1885" s="106">
        <v>101547.25104602511</v>
      </c>
      <c r="X1885" s="110">
        <v>0.60086444462862676</v>
      </c>
      <c r="Y1885" s="106">
        <v>496.80918367346936</v>
      </c>
      <c r="Z1885" s="106">
        <v>16.751020408163264</v>
      </c>
      <c r="AA1885" s="106">
        <v>69878.083135062669</v>
      </c>
      <c r="AB1885" s="106">
        <v>610.12159517400107</v>
      </c>
      <c r="AC1885" s="106">
        <v>1.4310638688630981</v>
      </c>
      <c r="AD1885" s="106">
        <v>26.456310679611651</v>
      </c>
      <c r="AE1885" s="106">
        <v>114.53140437544107</v>
      </c>
      <c r="AF1885" s="106">
        <v>0.10839912344817217</v>
      </c>
      <c r="AG1885" s="106">
        <v>6670</v>
      </c>
      <c r="AH1885" s="106">
        <v>25646.454861111109</v>
      </c>
      <c r="AI1885" s="106">
        <v>25978.570906432749</v>
      </c>
      <c r="AJ1885" s="106">
        <v>25750.561038011696</v>
      </c>
      <c r="AK1885" s="104">
        <v>21041.809941520467</v>
      </c>
      <c r="AL1885" s="118">
        <v>58445788</v>
      </c>
      <c r="AM1885" s="118">
        <v>5351</v>
      </c>
      <c r="AN1885" s="118">
        <v>162291</v>
      </c>
      <c r="AO1885" s="118">
        <v>1216</v>
      </c>
      <c r="AP1885" s="118">
        <f t="shared" si="29"/>
        <v>1396</v>
      </c>
    </row>
    <row r="1886" spans="1:42" ht="12.75">
      <c r="A1886" s="106">
        <v>2018</v>
      </c>
      <c r="B1886" s="106">
        <v>-196200</v>
      </c>
      <c r="C1886" s="106">
        <v>0</v>
      </c>
      <c r="D1886" s="106">
        <v>196200</v>
      </c>
      <c r="E1886" s="106" t="s">
        <v>2631</v>
      </c>
      <c r="F1886" s="106" t="s">
        <v>765</v>
      </c>
      <c r="G1886" s="106" t="s">
        <v>69</v>
      </c>
      <c r="H1886" s="106">
        <v>2</v>
      </c>
      <c r="I1886" s="106" t="s">
        <v>25</v>
      </c>
      <c r="J1886" s="106">
        <v>8221</v>
      </c>
      <c r="K1886" s="106">
        <v>13749</v>
      </c>
      <c r="L1886" s="106">
        <v>9819</v>
      </c>
      <c r="M1886" s="106">
        <v>0.56999999999999995</v>
      </c>
      <c r="N1886" s="106">
        <v>0.77</v>
      </c>
      <c r="O1886" s="106">
        <v>0.88</v>
      </c>
      <c r="P1886" s="106">
        <v>3200</v>
      </c>
      <c r="Q1886" s="106">
        <v>2756.1331151118384</v>
      </c>
      <c r="R1886" s="106">
        <v>0.35910488345741498</v>
      </c>
      <c r="S1886" s="106">
        <v>28327.797054009821</v>
      </c>
      <c r="T1886" s="106">
        <v>32143.364157119475</v>
      </c>
      <c r="U1886" s="106">
        <v>21774.443346684711</v>
      </c>
      <c r="V1886" s="106">
        <v>0.22590132548655406</v>
      </c>
      <c r="W1886" s="106">
        <v>97395.127805771874</v>
      </c>
      <c r="X1886" s="110">
        <v>0.6014311581247519</v>
      </c>
      <c r="Y1886" s="106">
        <v>380.76491228070176</v>
      </c>
      <c r="Z1886" s="106">
        <v>12.863157894736842</v>
      </c>
      <c r="AA1886" s="106">
        <v>94355.921168967077</v>
      </c>
      <c r="AB1886" s="106">
        <v>735.59325926524764</v>
      </c>
      <c r="AC1886" s="106">
        <v>1.0598169013784078</v>
      </c>
      <c r="AD1886" s="106">
        <v>24.44380236925744</v>
      </c>
      <c r="AE1886" s="106">
        <v>128.27186761229314</v>
      </c>
      <c r="AF1886" s="106">
        <v>0.17798298248715205</v>
      </c>
      <c r="AG1886" s="106">
        <v>6670</v>
      </c>
      <c r="AH1886" s="106">
        <v>27250.67184942717</v>
      </c>
      <c r="AI1886" s="106">
        <v>28316.70649208947</v>
      </c>
      <c r="AJ1886" s="106">
        <v>28394.339061647574</v>
      </c>
      <c r="AK1886" s="104">
        <v>24834.577741407527</v>
      </c>
      <c r="AL1886" s="118">
        <v>50843497</v>
      </c>
      <c r="AM1886" s="118">
        <v>3321</v>
      </c>
      <c r="AN1886" s="118">
        <v>108518</v>
      </c>
      <c r="AO1886" s="118">
        <v>691</v>
      </c>
      <c r="AP1886" s="118">
        <f t="shared" si="29"/>
        <v>1551</v>
      </c>
    </row>
    <row r="1887" spans="1:42" ht="12.75">
      <c r="A1887" s="106">
        <v>2018</v>
      </c>
      <c r="B1887" s="106">
        <v>-196033</v>
      </c>
      <c r="C1887" s="106">
        <v>0</v>
      </c>
      <c r="D1887" s="106">
        <v>196033</v>
      </c>
      <c r="E1887" s="106" t="s">
        <v>2632</v>
      </c>
      <c r="F1887" s="106" t="s">
        <v>2633</v>
      </c>
      <c r="G1887" s="106" t="s">
        <v>69</v>
      </c>
      <c r="H1887" s="106">
        <v>3</v>
      </c>
      <c r="I1887" s="104" t="s">
        <v>26</v>
      </c>
      <c r="J1887" s="106">
        <v>8139</v>
      </c>
      <c r="K1887" s="106">
        <v>14722</v>
      </c>
      <c r="L1887" s="106">
        <v>12531</v>
      </c>
      <c r="M1887" s="106">
        <v>0.63</v>
      </c>
      <c r="N1887" s="106">
        <v>0.71</v>
      </c>
      <c r="O1887" s="106">
        <v>0.83</v>
      </c>
      <c r="P1887" s="106">
        <v>1895</v>
      </c>
      <c r="Q1887" s="106">
        <v>938.59906029757246</v>
      </c>
      <c r="R1887" s="106">
        <v>0.13519952795992576</v>
      </c>
      <c r="S1887" s="106">
        <v>25933.528582615505</v>
      </c>
      <c r="T1887" s="106">
        <v>29631.834768989818</v>
      </c>
      <c r="U1887" s="106">
        <v>22008.579406895911</v>
      </c>
      <c r="V1887" s="106">
        <v>0.27279025188895911</v>
      </c>
      <c r="W1887" s="106">
        <v>93568.199084668187</v>
      </c>
      <c r="X1887" s="110">
        <v>0.54029415759093991</v>
      </c>
      <c r="Y1887" s="106">
        <v>592.5</v>
      </c>
      <c r="Z1887" s="106">
        <v>19.74742268041237</v>
      </c>
      <c r="AA1887" s="106">
        <v>81700.453205250218</v>
      </c>
      <c r="AB1887" s="106">
        <v>733.52357830108519</v>
      </c>
      <c r="AC1887" s="106">
        <v>1.223983418412345</v>
      </c>
      <c r="AD1887" s="106">
        <v>30.963096309630959</v>
      </c>
      <c r="AE1887" s="106">
        <v>111.38081395348837</v>
      </c>
      <c r="AF1887" s="106">
        <v>0.33404092503000016</v>
      </c>
      <c r="AG1887" s="106">
        <v>6670</v>
      </c>
      <c r="AH1887" s="106">
        <v>26594.50195771339</v>
      </c>
      <c r="AI1887" s="106">
        <v>26706.807361002349</v>
      </c>
      <c r="AJ1887" s="106">
        <v>26039.345340642129</v>
      </c>
      <c r="AK1887" s="104">
        <v>23926.885277995301</v>
      </c>
      <c r="AL1887" s="118">
        <v>31820898</v>
      </c>
      <c r="AM1887" s="118">
        <v>2291</v>
      </c>
      <c r="AN1887" s="118">
        <v>76630</v>
      </c>
      <c r="AO1887" s="118">
        <v>672</v>
      </c>
      <c r="AP1887" s="118">
        <f t="shared" si="29"/>
        <v>1469</v>
      </c>
    </row>
    <row r="1888" spans="1:42" ht="12.75">
      <c r="A1888" s="106">
        <v>2018</v>
      </c>
      <c r="B1888" s="106">
        <v>-196103</v>
      </c>
      <c r="C1888" s="106">
        <v>0</v>
      </c>
      <c r="D1888" s="106">
        <v>196103</v>
      </c>
      <c r="E1888" s="106" t="s">
        <v>2634</v>
      </c>
      <c r="F1888" s="106" t="s">
        <v>1772</v>
      </c>
      <c r="G1888" s="106" t="s">
        <v>69</v>
      </c>
      <c r="H1888" s="106">
        <v>1</v>
      </c>
      <c r="I1888" s="106" t="s">
        <v>23</v>
      </c>
      <c r="J1888" s="106">
        <v>8543</v>
      </c>
      <c r="K1888" s="106">
        <v>19549</v>
      </c>
      <c r="L1888" s="106">
        <v>11571</v>
      </c>
      <c r="M1888" s="106">
        <v>0.25</v>
      </c>
      <c r="N1888" s="106">
        <v>0.55000000000000004</v>
      </c>
      <c r="O1888" s="106">
        <v>0.88</v>
      </c>
      <c r="P1888" s="106">
        <v>4374</v>
      </c>
      <c r="Q1888" s="106">
        <v>3690.7656326932547</v>
      </c>
      <c r="R1888" s="106">
        <v>0.38049636256818248</v>
      </c>
      <c r="S1888" s="106">
        <v>44012.171836533729</v>
      </c>
      <c r="T1888" s="106">
        <v>47629.572624322995</v>
      </c>
      <c r="U1888" s="106">
        <v>29721.256177955303</v>
      </c>
      <c r="V1888" s="106">
        <v>0.20218207907616703</v>
      </c>
      <c r="W1888" s="106">
        <v>137616.42962962962</v>
      </c>
      <c r="X1888" s="110">
        <v>0.57615415915590673</v>
      </c>
      <c r="Y1888" s="106">
        <v>433.34306569343067</v>
      </c>
      <c r="Z1888" s="106">
        <v>14.824817518248175</v>
      </c>
      <c r="AA1888" s="106">
        <v>96892.249273558948</v>
      </c>
      <c r="AB1888" s="106">
        <v>1016.7745468506135</v>
      </c>
      <c r="AC1888" s="106">
        <v>1.0320742964451868</v>
      </c>
      <c r="AD1888" s="106">
        <v>30.096618357487927</v>
      </c>
      <c r="AE1888" s="106">
        <v>95.293739967897267</v>
      </c>
      <c r="AF1888" s="106">
        <v>0.19320010252601577</v>
      </c>
      <c r="AG1888" s="106">
        <v>6670</v>
      </c>
      <c r="AH1888" s="106">
        <v>43412.387986213689</v>
      </c>
      <c r="AI1888" s="106">
        <v>44134.248645987202</v>
      </c>
      <c r="AJ1888" s="106">
        <v>44087.282127031016</v>
      </c>
      <c r="AK1888" s="104">
        <v>45036.622353520434</v>
      </c>
      <c r="AL1888" s="118">
        <v>49832749</v>
      </c>
      <c r="AM1888" s="118">
        <v>1791</v>
      </c>
      <c r="AN1888" s="118">
        <v>59368</v>
      </c>
      <c r="AO1888" s="118">
        <v>520</v>
      </c>
      <c r="AP1888" s="118">
        <f t="shared" si="29"/>
        <v>1873</v>
      </c>
    </row>
    <row r="1889" spans="1:42" ht="12.75">
      <c r="A1889" s="106">
        <v>2018</v>
      </c>
      <c r="B1889" s="106">
        <v>-196006</v>
      </c>
      <c r="C1889" s="106">
        <v>0</v>
      </c>
      <c r="D1889" s="106">
        <v>196006</v>
      </c>
      <c r="E1889" s="106" t="s">
        <v>2635</v>
      </c>
      <c r="F1889" s="106" t="s">
        <v>115</v>
      </c>
      <c r="G1889" s="106" t="s">
        <v>69</v>
      </c>
      <c r="H1889" s="106">
        <v>3</v>
      </c>
      <c r="I1889" s="104" t="s">
        <v>26</v>
      </c>
      <c r="J1889" s="106">
        <v>8327</v>
      </c>
      <c r="K1889" s="106">
        <v>15319</v>
      </c>
      <c r="L1889" s="106">
        <v>12470</v>
      </c>
      <c r="M1889" s="106">
        <v>0.56000000000000005</v>
      </c>
      <c r="N1889" s="106">
        <v>0.78</v>
      </c>
      <c r="O1889" s="106">
        <v>0.8</v>
      </c>
      <c r="P1889" s="106">
        <v>2132</v>
      </c>
      <c r="Q1889" s="106">
        <v>1423.2603419746276</v>
      </c>
      <c r="R1889" s="106">
        <v>0.19806087899828764</v>
      </c>
      <c r="S1889" s="106">
        <v>24374.015719801435</v>
      </c>
      <c r="T1889" s="106">
        <v>25446.255929398787</v>
      </c>
      <c r="U1889" s="106">
        <v>16868.474624273778</v>
      </c>
      <c r="V1889" s="106">
        <v>0.34162625029827809</v>
      </c>
      <c r="W1889" s="106">
        <v>88192.365710942075</v>
      </c>
      <c r="X1889" s="110">
        <v>0.54450279058453599</v>
      </c>
      <c r="Y1889" s="106">
        <v>583.77101967799638</v>
      </c>
      <c r="Z1889" s="106">
        <v>19.459749552772809</v>
      </c>
      <c r="AA1889" s="106">
        <v>54368.967988992641</v>
      </c>
      <c r="AB1889" s="106">
        <v>562.30316418710674</v>
      </c>
      <c r="AC1889" s="106">
        <v>1.8392844981027721</v>
      </c>
      <c r="AD1889" s="106">
        <v>32.023911187019642</v>
      </c>
      <c r="AE1889" s="106">
        <v>96.689777777777778</v>
      </c>
      <c r="AF1889" s="106">
        <v>-1.8147552195742811</v>
      </c>
      <c r="AG1889" s="106">
        <v>6670</v>
      </c>
      <c r="AH1889" s="106">
        <v>24634.718422504138</v>
      </c>
      <c r="AI1889" s="106">
        <v>25001.950634307777</v>
      </c>
      <c r="AJ1889" s="106">
        <v>24522.618312189741</v>
      </c>
      <c r="AK1889" s="104">
        <v>18899.300606729179</v>
      </c>
      <c r="AL1889" s="118">
        <v>34748915</v>
      </c>
      <c r="AM1889" s="118">
        <v>3686</v>
      </c>
      <c r="AN1889" s="118">
        <v>108776</v>
      </c>
      <c r="AO1889" s="118">
        <v>1120</v>
      </c>
      <c r="AP1889" s="118">
        <f t="shared" si="29"/>
        <v>1657</v>
      </c>
    </row>
    <row r="1890" spans="1:42" ht="12.75">
      <c r="A1890" s="106">
        <v>2018</v>
      </c>
      <c r="B1890" s="106">
        <v>-196015</v>
      </c>
      <c r="C1890" s="106">
        <v>0</v>
      </c>
      <c r="D1890" s="106">
        <v>196015</v>
      </c>
      <c r="E1890" s="106" t="s">
        <v>2636</v>
      </c>
      <c r="F1890" s="106" t="s">
        <v>969</v>
      </c>
      <c r="G1890" s="106" t="s">
        <v>69</v>
      </c>
      <c r="H1890" s="106">
        <v>3</v>
      </c>
      <c r="I1890" s="104" t="s">
        <v>26</v>
      </c>
      <c r="J1890" s="106">
        <v>8130</v>
      </c>
      <c r="K1890" s="106">
        <v>12954</v>
      </c>
      <c r="L1890" s="106">
        <v>10088</v>
      </c>
      <c r="M1890" s="106">
        <v>0.67</v>
      </c>
      <c r="N1890" s="106">
        <v>0.84</v>
      </c>
      <c r="O1890" s="106">
        <v>0.86</v>
      </c>
      <c r="P1890" s="106">
        <v>1828</v>
      </c>
      <c r="Q1890" s="106">
        <v>846.7214377406932</v>
      </c>
      <c r="R1890" s="106">
        <v>0.11042418773129778</v>
      </c>
      <c r="S1890" s="106">
        <v>21890.969833119383</v>
      </c>
      <c r="T1890" s="106">
        <v>23729.42265725289</v>
      </c>
      <c r="U1890" s="106">
        <v>17631.616854438169</v>
      </c>
      <c r="V1890" s="106">
        <v>0.38687188393339489</v>
      </c>
      <c r="W1890" s="106">
        <v>95384.850330154077</v>
      </c>
      <c r="X1890" s="110">
        <v>0.58609684404490658</v>
      </c>
      <c r="Y1890" s="106">
        <v>570.04268292682923</v>
      </c>
      <c r="Z1890" s="106">
        <v>19</v>
      </c>
      <c r="AA1890" s="106">
        <v>59523.421580096787</v>
      </c>
      <c r="AB1890" s="106">
        <v>587.67655522617406</v>
      </c>
      <c r="AC1890" s="106">
        <v>1.6800109493947104</v>
      </c>
      <c r="AD1890" s="106">
        <v>32.182705718270569</v>
      </c>
      <c r="AE1890" s="106">
        <v>101.28602383531961</v>
      </c>
      <c r="AF1890" s="106">
        <v>0.26732878310274677</v>
      </c>
      <c r="AG1890" s="106">
        <v>6670</v>
      </c>
      <c r="AH1890" s="106">
        <v>22742.107509627727</v>
      </c>
      <c r="AI1890" s="106">
        <v>22742.107509627727</v>
      </c>
      <c r="AJ1890" s="106">
        <v>22020.564505776638</v>
      </c>
      <c r="AK1890" s="104">
        <v>19441.391527599488</v>
      </c>
      <c r="AL1890" s="118">
        <v>31026272</v>
      </c>
      <c r="AM1890" s="118">
        <v>3180</v>
      </c>
      <c r="AN1890" s="118">
        <v>93487</v>
      </c>
      <c r="AO1890" s="118">
        <v>858</v>
      </c>
      <c r="AP1890" s="118">
        <f t="shared" si="29"/>
        <v>1460</v>
      </c>
    </row>
    <row r="1891" spans="1:42" ht="12.75">
      <c r="A1891" s="106">
        <v>2018</v>
      </c>
      <c r="B1891" s="106">
        <v>-196024</v>
      </c>
      <c r="C1891" s="106">
        <v>0</v>
      </c>
      <c r="D1891" s="106">
        <v>196024</v>
      </c>
      <c r="E1891" s="106" t="s">
        <v>2637</v>
      </c>
      <c r="F1891" s="106" t="s">
        <v>2638</v>
      </c>
      <c r="G1891" s="106" t="s">
        <v>69</v>
      </c>
      <c r="H1891" s="106">
        <v>3</v>
      </c>
      <c r="I1891" s="104" t="s">
        <v>26</v>
      </c>
      <c r="J1891" s="106">
        <v>8120</v>
      </c>
      <c r="K1891" s="106">
        <v>14266</v>
      </c>
      <c r="L1891" s="106">
        <v>11690</v>
      </c>
      <c r="M1891" s="106">
        <v>0.6</v>
      </c>
      <c r="N1891" s="106">
        <v>0.74</v>
      </c>
      <c r="O1891" s="106">
        <v>0.8</v>
      </c>
      <c r="P1891" s="106">
        <v>1698</v>
      </c>
      <c r="Q1891" s="106">
        <v>978.43929436181247</v>
      </c>
      <c r="R1891" s="106">
        <v>0.1256398937003497</v>
      </c>
      <c r="S1891" s="106">
        <v>23989.1598062954</v>
      </c>
      <c r="T1891" s="106">
        <v>25611.880664130058</v>
      </c>
      <c r="U1891" s="106">
        <v>17674.581898585682</v>
      </c>
      <c r="V1891" s="106">
        <v>0.38525431398139814</v>
      </c>
      <c r="W1891" s="106">
        <v>92069.462225274736</v>
      </c>
      <c r="X1891" s="110">
        <v>0.60348456302579334</v>
      </c>
      <c r="Y1891" s="106">
        <v>467.78918918918919</v>
      </c>
      <c r="Z1891" s="106">
        <v>15.627027027027028</v>
      </c>
      <c r="AA1891" s="106">
        <v>49997.276192574573</v>
      </c>
      <c r="AB1891" s="106">
        <v>590.43940177269974</v>
      </c>
      <c r="AC1891" s="106">
        <v>2.0001089582326421</v>
      </c>
      <c r="AD1891" s="106">
        <v>33.707124010554089</v>
      </c>
      <c r="AE1891" s="106">
        <v>84.678082191780817</v>
      </c>
      <c r="AF1891" s="106">
        <v>0.49106142213603587</v>
      </c>
      <c r="AG1891" s="106">
        <v>6670</v>
      </c>
      <c r="AH1891" s="106">
        <v>24642.4406779661</v>
      </c>
      <c r="AI1891" s="106">
        <v>24710.868211691457</v>
      </c>
      <c r="AJ1891" s="106">
        <v>24168.707367692841</v>
      </c>
      <c r="AK1891" s="104">
        <v>19706.09339328952</v>
      </c>
      <c r="AL1891" s="119">
        <v>30429255</v>
      </c>
      <c r="AM1891" s="118">
        <v>3465</v>
      </c>
      <c r="AN1891" s="118">
        <v>86541</v>
      </c>
      <c r="AO1891" s="118">
        <v>940</v>
      </c>
      <c r="AP1891" s="118">
        <f t="shared" si="29"/>
        <v>1450</v>
      </c>
    </row>
    <row r="1892" spans="1:42" ht="12.75">
      <c r="A1892" s="106">
        <v>2018</v>
      </c>
      <c r="B1892" s="106">
        <v>-196149</v>
      </c>
      <c r="C1892" s="106">
        <v>0</v>
      </c>
      <c r="D1892" s="106">
        <v>196149</v>
      </c>
      <c r="E1892" s="106" t="s">
        <v>4202</v>
      </c>
      <c r="F1892" s="106" t="s">
        <v>2624</v>
      </c>
      <c r="G1892" s="106" t="s">
        <v>69</v>
      </c>
      <c r="H1892" s="106">
        <v>2</v>
      </c>
      <c r="I1892" s="106" t="s">
        <v>25</v>
      </c>
      <c r="J1892" s="106">
        <v>8300</v>
      </c>
      <c r="K1892" s="106">
        <v>16386</v>
      </c>
      <c r="L1892" s="106">
        <v>11946</v>
      </c>
      <c r="M1892" s="106">
        <v>0.32</v>
      </c>
      <c r="N1892" s="106">
        <v>0.7</v>
      </c>
      <c r="O1892" s="106">
        <v>0.56999999999999995</v>
      </c>
      <c r="P1892" s="106">
        <v>2118</v>
      </c>
      <c r="Q1892" s="106">
        <v>1163.4055695452525</v>
      </c>
      <c r="R1892" s="106">
        <v>0.14620841256681638</v>
      </c>
      <c r="S1892" s="106">
        <v>24536.343949044585</v>
      </c>
      <c r="T1892" s="106">
        <v>25918.399348244704</v>
      </c>
      <c r="U1892" s="106">
        <v>17747.108011319466</v>
      </c>
      <c r="V1892" s="106">
        <v>0.38280980727387537</v>
      </c>
      <c r="W1892" s="106">
        <v>98111.358757062146</v>
      </c>
      <c r="X1892" s="110">
        <v>0.59548046929690812</v>
      </c>
      <c r="Y1892" s="106">
        <v>503.40251046025105</v>
      </c>
      <c r="Z1892" s="106">
        <v>16.948117154811715</v>
      </c>
      <c r="AA1892" s="106">
        <v>65079.155993708693</v>
      </c>
      <c r="AB1892" s="106">
        <v>597.49417113542506</v>
      </c>
      <c r="AC1892" s="106">
        <v>1.5365903025796335</v>
      </c>
      <c r="AD1892" s="106">
        <v>27.948990435706694</v>
      </c>
      <c r="AE1892" s="106">
        <v>108.92015209125475</v>
      </c>
      <c r="AF1892" s="106">
        <v>0.12538586728891854</v>
      </c>
      <c r="AG1892" s="106">
        <v>6670</v>
      </c>
      <c r="AH1892" s="106">
        <v>24564.062953636498</v>
      </c>
      <c r="AI1892" s="106">
        <v>24826.128721670862</v>
      </c>
      <c r="AJ1892" s="106">
        <v>24631.311657532216</v>
      </c>
      <c r="AK1892" s="104">
        <v>19577.041475336988</v>
      </c>
      <c r="AL1892" s="119">
        <v>71868560</v>
      </c>
      <c r="AM1892" s="118">
        <v>6346</v>
      </c>
      <c r="AN1892" s="118">
        <v>200522</v>
      </c>
      <c r="AO1892" s="118">
        <v>1550</v>
      </c>
      <c r="AP1892" s="118">
        <f t="shared" si="29"/>
        <v>1630</v>
      </c>
    </row>
    <row r="1893" spans="1:42" ht="12.75">
      <c r="A1893" s="106">
        <v>2018</v>
      </c>
      <c r="B1893" s="106">
        <v>-196264</v>
      </c>
      <c r="C1893" s="106">
        <v>0</v>
      </c>
      <c r="D1893" s="106">
        <v>196264</v>
      </c>
      <c r="E1893" s="106" t="s">
        <v>2639</v>
      </c>
      <c r="F1893" s="106" t="s">
        <v>2640</v>
      </c>
      <c r="G1893" s="106" t="s">
        <v>69</v>
      </c>
      <c r="H1893" s="106">
        <v>2</v>
      </c>
      <c r="I1893" s="106" t="s">
        <v>25</v>
      </c>
      <c r="J1893" s="106">
        <v>7185</v>
      </c>
      <c r="K1893" s="106">
        <v>13415</v>
      </c>
      <c r="L1893" s="106">
        <v>12124</v>
      </c>
      <c r="M1893" s="106">
        <v>0.76</v>
      </c>
      <c r="N1893" s="106">
        <v>0.39</v>
      </c>
      <c r="O1893" s="106">
        <v>0.77</v>
      </c>
      <c r="P1893" s="106">
        <v>1009</v>
      </c>
      <c r="Q1893" s="106">
        <v>472.69300339153375</v>
      </c>
      <c r="R1893" s="106">
        <v>5.4761626329244313E-2</v>
      </c>
      <c r="S1893" s="106">
        <v>15591.614370054014</v>
      </c>
      <c r="T1893" s="106">
        <v>16301.493656575807</v>
      </c>
      <c r="U1893" s="106">
        <v>14749.725372375706</v>
      </c>
      <c r="V1893" s="106">
        <v>0.55317207322920781</v>
      </c>
      <c r="W1893" s="106">
        <v>109140.41603343467</v>
      </c>
      <c r="X1893" s="110">
        <v>0.73782813520856072</v>
      </c>
      <c r="Y1893" s="106">
        <v>551.14352574102963</v>
      </c>
      <c r="Z1893" s="106">
        <v>18.629485179407176</v>
      </c>
      <c r="AA1893" s="106">
        <v>34404.501520504833</v>
      </c>
      <c r="AB1893" s="106">
        <v>498.56303737860151</v>
      </c>
      <c r="AC1893" s="106">
        <v>2.9065963923471099</v>
      </c>
      <c r="AD1893" s="106">
        <v>51.031698564593299</v>
      </c>
      <c r="AE1893" s="106">
        <v>69.007324934075598</v>
      </c>
      <c r="AF1893" s="106">
        <v>6.2185813883876624E-2</v>
      </c>
      <c r="AG1893" s="106">
        <v>6670</v>
      </c>
      <c r="AH1893" s="106">
        <v>15987.840346690115</v>
      </c>
      <c r="AI1893" s="106">
        <v>16072.020474814723</v>
      </c>
      <c r="AJ1893" s="106">
        <v>15665.092325084788</v>
      </c>
      <c r="AK1893" s="104">
        <v>15509.268433613868</v>
      </c>
      <c r="AL1893" s="119">
        <v>44890240</v>
      </c>
      <c r="AM1893" s="118">
        <v>9810</v>
      </c>
      <c r="AN1893" s="118">
        <v>235522</v>
      </c>
      <c r="AO1893" s="118">
        <v>2963</v>
      </c>
      <c r="AP1893" s="118">
        <f t="shared" si="29"/>
        <v>515</v>
      </c>
    </row>
    <row r="1894" spans="1:42" ht="12.75">
      <c r="A1894" s="106">
        <v>2018</v>
      </c>
      <c r="B1894" s="106">
        <v>-196291</v>
      </c>
      <c r="C1894" s="106">
        <v>0</v>
      </c>
      <c r="D1894" s="106">
        <v>196291</v>
      </c>
      <c r="E1894" s="106" t="s">
        <v>2641</v>
      </c>
      <c r="F1894" s="106" t="s">
        <v>2642</v>
      </c>
      <c r="G1894" s="106" t="s">
        <v>69</v>
      </c>
      <c r="H1894" s="106">
        <v>2</v>
      </c>
      <c r="I1894" s="106" t="s">
        <v>25</v>
      </c>
      <c r="J1894" s="106">
        <v>8074</v>
      </c>
      <c r="K1894" s="107">
        <v>17558</v>
      </c>
      <c r="L1894" s="107">
        <v>10567</v>
      </c>
      <c r="M1894" s="107">
        <v>0.16</v>
      </c>
      <c r="N1894" s="107">
        <v>0.5</v>
      </c>
      <c r="O1894" s="107">
        <v>0.43</v>
      </c>
      <c r="P1894" s="107">
        <v>2965</v>
      </c>
      <c r="Q1894" s="107">
        <v>2237.1548137397194</v>
      </c>
      <c r="R1894" s="106">
        <v>0.23774695712157995</v>
      </c>
      <c r="S1894" s="106">
        <v>33667.633768746979</v>
      </c>
      <c r="T1894" s="106">
        <v>36950.466860183842</v>
      </c>
      <c r="U1894" s="106">
        <v>26531.519126633066</v>
      </c>
      <c r="V1894" s="106">
        <v>0.27034486262663499</v>
      </c>
      <c r="W1894" s="106">
        <v>122680.18387096774</v>
      </c>
      <c r="X1894" s="110">
        <v>0.4979384985836306</v>
      </c>
      <c r="Y1894" s="106">
        <v>553.34234234234236</v>
      </c>
      <c r="Z1894" s="106">
        <v>18.621621621621621</v>
      </c>
      <c r="AA1894" s="106">
        <v>107741.94505844901</v>
      </c>
      <c r="AB1894" s="106">
        <v>892.86481878755706</v>
      </c>
      <c r="AC1894" s="106">
        <v>0.92814363009458312</v>
      </c>
      <c r="AD1894" s="106">
        <v>29.662004662004659</v>
      </c>
      <c r="AE1894" s="106">
        <v>120.66994106090374</v>
      </c>
      <c r="AF1894" s="106">
        <v>0.27193377918206646</v>
      </c>
      <c r="AG1894" s="106">
        <v>6670</v>
      </c>
      <c r="AH1894" s="106">
        <v>31135.883405902274</v>
      </c>
      <c r="AI1894" s="106">
        <v>33274.750846637638</v>
      </c>
      <c r="AJ1894" s="106">
        <v>33874.840832123853</v>
      </c>
      <c r="AK1894" s="104">
        <v>28425.325592646346</v>
      </c>
      <c r="AL1894" s="118">
        <v>32661374</v>
      </c>
      <c r="AM1894" s="118">
        <v>1641</v>
      </c>
      <c r="AN1894" s="118">
        <v>61421</v>
      </c>
      <c r="AO1894" s="118">
        <v>422</v>
      </c>
      <c r="AP1894" s="118">
        <f t="shared" si="29"/>
        <v>1404</v>
      </c>
    </row>
    <row r="1895" spans="1:42" ht="12.75">
      <c r="A1895" s="106">
        <v>2018</v>
      </c>
      <c r="B1895" s="106">
        <v>-196185</v>
      </c>
      <c r="C1895" s="106">
        <v>0</v>
      </c>
      <c r="D1895" s="106">
        <v>196185</v>
      </c>
      <c r="E1895" s="106" t="s">
        <v>2643</v>
      </c>
      <c r="F1895" s="106" t="s">
        <v>1438</v>
      </c>
      <c r="G1895" s="106" t="s">
        <v>69</v>
      </c>
      <c r="H1895" s="106">
        <v>2</v>
      </c>
      <c r="I1895" s="106" t="s">
        <v>25</v>
      </c>
      <c r="J1895" s="106">
        <v>8166</v>
      </c>
      <c r="K1895" s="106">
        <v>15012</v>
      </c>
      <c r="L1895" s="106">
        <v>9783</v>
      </c>
      <c r="M1895" s="106">
        <v>0.34</v>
      </c>
      <c r="N1895" s="106">
        <v>0.63</v>
      </c>
      <c r="O1895" s="106">
        <v>0.63</v>
      </c>
      <c r="P1895" s="106">
        <v>2857</v>
      </c>
      <c r="Q1895" s="106">
        <v>1548.5558838010832</v>
      </c>
      <c r="R1895" s="106">
        <v>0.20034022386056516</v>
      </c>
      <c r="S1895" s="106">
        <v>25489.658952896767</v>
      </c>
      <c r="T1895" s="106">
        <v>25801.940423436732</v>
      </c>
      <c r="U1895" s="106">
        <v>16260.814099574009</v>
      </c>
      <c r="V1895" s="106">
        <v>0.38012085212244728</v>
      </c>
      <c r="W1895" s="106">
        <v>101896.07880247764</v>
      </c>
      <c r="X1895" s="110">
        <v>0.6278389870422928</v>
      </c>
      <c r="Y1895" s="106">
        <v>520.17877629063094</v>
      </c>
      <c r="Z1895" s="106">
        <v>17.475143403441681</v>
      </c>
      <c r="AA1895" s="106">
        <v>62195.317205715277</v>
      </c>
      <c r="AB1895" s="106">
        <v>546.27384122261492</v>
      </c>
      <c r="AC1895" s="106">
        <v>1.6078380896304967</v>
      </c>
      <c r="AD1895" s="106">
        <v>26.054955839057897</v>
      </c>
      <c r="AE1895" s="106">
        <v>113.85373509102322</v>
      </c>
      <c r="AF1895" s="106">
        <v>6.8457896220964869E-3</v>
      </c>
      <c r="AG1895" s="106">
        <v>6670</v>
      </c>
      <c r="AH1895" s="106">
        <v>25368.332184473988</v>
      </c>
      <c r="AI1895" s="106">
        <v>25675.715903495813</v>
      </c>
      <c r="AJ1895" s="106">
        <v>25594.513704250781</v>
      </c>
      <c r="AK1895" s="105">
        <v>19144.873789594618</v>
      </c>
      <c r="AL1895" s="119">
        <v>62885679</v>
      </c>
      <c r="AM1895" s="119">
        <v>5940</v>
      </c>
      <c r="AN1895" s="119">
        <v>181369</v>
      </c>
      <c r="AO1895" s="119">
        <v>1452</v>
      </c>
      <c r="AP1895" s="118">
        <f t="shared" si="29"/>
        <v>1496</v>
      </c>
    </row>
    <row r="1896" spans="1:42" ht="12.75">
      <c r="A1896" s="106">
        <v>2018</v>
      </c>
      <c r="B1896" s="106">
        <v>-196112</v>
      </c>
      <c r="C1896" s="106">
        <v>0</v>
      </c>
      <c r="D1896" s="106">
        <v>196112</v>
      </c>
      <c r="E1896" s="106" t="s">
        <v>2644</v>
      </c>
      <c r="F1896" s="106" t="s">
        <v>2050</v>
      </c>
      <c r="G1896" s="106" t="s">
        <v>69</v>
      </c>
      <c r="H1896" s="106">
        <v>2</v>
      </c>
      <c r="I1896" s="106" t="s">
        <v>25</v>
      </c>
      <c r="J1896" s="106">
        <v>7998</v>
      </c>
      <c r="K1896" s="106">
        <v>12784</v>
      </c>
      <c r="L1896" s="106">
        <v>7851</v>
      </c>
      <c r="M1896" s="106">
        <v>0.46</v>
      </c>
      <c r="N1896" s="106">
        <v>0.56999999999999995</v>
      </c>
      <c r="O1896" s="106">
        <v>0.93</v>
      </c>
      <c r="P1896" s="106">
        <v>3061</v>
      </c>
      <c r="Q1896" s="106">
        <v>1226.3247338247338</v>
      </c>
      <c r="R1896" s="106">
        <v>0.14718124413916209</v>
      </c>
      <c r="S1896" s="106">
        <v>140512.92997542999</v>
      </c>
      <c r="T1896" s="106">
        <v>141928.30958230959</v>
      </c>
      <c r="U1896" s="106">
        <v>21391.380129633773</v>
      </c>
      <c r="V1896" s="106">
        <v>0.33217806869803829</v>
      </c>
      <c r="W1896" s="106">
        <v>223104.62290076335</v>
      </c>
      <c r="X1896" s="110">
        <v>0.28108904527857226</v>
      </c>
      <c r="Y1896" s="106">
        <v>384.74864376130199</v>
      </c>
      <c r="Z1896" s="106">
        <v>13.247739602169981</v>
      </c>
      <c r="AA1896" s="106">
        <v>73678.068091065827</v>
      </c>
      <c r="AB1896" s="106">
        <v>736.55213158914967</v>
      </c>
      <c r="AC1896" s="106">
        <v>1.3572560002034848</v>
      </c>
      <c r="AD1896" s="106">
        <v>29.394693200663351</v>
      </c>
      <c r="AE1896" s="106">
        <v>100.03102961918195</v>
      </c>
      <c r="AF1896" s="106">
        <v>1.1990976943173731E-2</v>
      </c>
      <c r="AG1896" s="106">
        <v>6670</v>
      </c>
      <c r="AH1896" s="106">
        <v>140435.11179361178</v>
      </c>
      <c r="AI1896" s="106">
        <v>140835.00368550367</v>
      </c>
      <c r="AJ1896" s="106">
        <v>140550.94922194921</v>
      </c>
      <c r="AK1896" s="105">
        <v>128148.17076167076</v>
      </c>
      <c r="AL1896" s="119">
        <v>40450316</v>
      </c>
      <c r="AM1896" s="119">
        <v>2179</v>
      </c>
      <c r="AN1896" s="119">
        <v>70922</v>
      </c>
      <c r="AO1896" s="119">
        <v>509</v>
      </c>
      <c r="AP1896" s="118">
        <f t="shared" si="29"/>
        <v>1328</v>
      </c>
    </row>
    <row r="1897" spans="1:42" ht="12.75">
      <c r="A1897" s="106">
        <v>2018</v>
      </c>
      <c r="B1897" s="106">
        <v>-197294</v>
      </c>
      <c r="C1897" s="106">
        <v>0</v>
      </c>
      <c r="D1897" s="106">
        <v>197294</v>
      </c>
      <c r="E1897" s="106" t="s">
        <v>2645</v>
      </c>
      <c r="F1897" s="106" t="s">
        <v>2646</v>
      </c>
      <c r="G1897" s="106" t="s">
        <v>69</v>
      </c>
      <c r="H1897" s="106">
        <v>4</v>
      </c>
      <c r="I1897" s="106" t="s">
        <v>24</v>
      </c>
      <c r="J1897" s="106">
        <v>4743</v>
      </c>
      <c r="K1897" s="106">
        <v>7472</v>
      </c>
      <c r="L1897" s="106">
        <v>6311</v>
      </c>
      <c r="M1897" s="106">
        <v>0.57999999999999996</v>
      </c>
      <c r="N1897" s="106">
        <v>0.09</v>
      </c>
      <c r="O1897" s="106">
        <v>0.02</v>
      </c>
      <c r="P1897" s="106">
        <v>1261</v>
      </c>
      <c r="Q1897" s="106">
        <v>175.31001930916113</v>
      </c>
      <c r="R1897" s="106">
        <v>3.12196517529457E-2</v>
      </c>
      <c r="S1897" s="106">
        <v>15487.009225488093</v>
      </c>
      <c r="T1897" s="106">
        <v>15692.784381034113</v>
      </c>
      <c r="U1897" s="106">
        <v>13678.45423485961</v>
      </c>
      <c r="V1897" s="106">
        <v>0.3977104314107302</v>
      </c>
      <c r="W1897" s="106">
        <v>156509.76303797468</v>
      </c>
      <c r="X1897" s="110">
        <v>0.70433322084300809</v>
      </c>
      <c r="Y1897" s="106">
        <v>909.96963123644241</v>
      </c>
      <c r="Z1897" s="106">
        <v>30.331887201735356</v>
      </c>
      <c r="AA1897" s="106">
        <v>62443.952192635297</v>
      </c>
      <c r="AB1897" s="106">
        <v>455.94195312003433</v>
      </c>
      <c r="AC1897" s="106">
        <v>1.6014361117231477</v>
      </c>
      <c r="AD1897" s="106">
        <v>23.463173618292544</v>
      </c>
      <c r="AE1897" s="106">
        <v>136.95592556317337</v>
      </c>
      <c r="AF1897" s="106">
        <v>4.5465895438931529E-2</v>
      </c>
      <c r="AG1897" s="106">
        <v>4280</v>
      </c>
      <c r="AH1897" s="106">
        <v>15031.080562111136</v>
      </c>
      <c r="AI1897" s="106">
        <v>15031.080562111136</v>
      </c>
      <c r="AJ1897" s="106">
        <v>15565.152006007294</v>
      </c>
      <c r="AK1897" s="105">
        <v>15055.482299935637</v>
      </c>
      <c r="AL1897" s="119">
        <v>67840668</v>
      </c>
      <c r="AM1897" s="119">
        <v>12571</v>
      </c>
      <c r="AN1897" s="119">
        <v>279664</v>
      </c>
      <c r="AO1897" s="119">
        <v>1878</v>
      </c>
      <c r="AP1897" s="118">
        <f t="shared" si="29"/>
        <v>463</v>
      </c>
    </row>
    <row r="1898" spans="1:42" ht="12.75">
      <c r="A1898" s="106">
        <v>2018</v>
      </c>
      <c r="B1898" s="106">
        <v>-199768</v>
      </c>
      <c r="C1898" s="106">
        <v>0</v>
      </c>
      <c r="D1898" s="106">
        <v>199768</v>
      </c>
      <c r="E1898" s="106" t="s">
        <v>2968</v>
      </c>
      <c r="F1898" s="106" t="s">
        <v>2969</v>
      </c>
      <c r="G1898" s="106" t="s">
        <v>90</v>
      </c>
      <c r="H1898" s="106">
        <v>4</v>
      </c>
      <c r="I1898" s="106" t="s">
        <v>24</v>
      </c>
      <c r="J1898" s="106">
        <v>2236</v>
      </c>
      <c r="K1898" s="106">
        <v>7852</v>
      </c>
      <c r="L1898" s="106">
        <v>5759</v>
      </c>
      <c r="M1898" s="106">
        <v>0.55000000000000004</v>
      </c>
      <c r="N1898" s="106">
        <v>0</v>
      </c>
      <c r="O1898" s="106">
        <v>0.28999999999999998</v>
      </c>
      <c r="P1898" s="106">
        <v>881</v>
      </c>
      <c r="Q1898" s="106">
        <v>403.75238549618319</v>
      </c>
      <c r="R1898" s="106">
        <v>0.20505652554020076</v>
      </c>
      <c r="S1898" s="106">
        <v>13069.384541984733</v>
      </c>
      <c r="T1898" s="106">
        <v>14127.061068702291</v>
      </c>
      <c r="U1898" s="106">
        <v>10931.847328244276</v>
      </c>
      <c r="V1898" s="106">
        <v>0.14318060649185235</v>
      </c>
      <c r="W1898" s="106">
        <v>59686.904477611941</v>
      </c>
      <c r="X1898" s="110">
        <v>0.67527514055910232</v>
      </c>
      <c r="Y1898" s="106">
        <v>332.09683098591552</v>
      </c>
      <c r="Z1898" s="106">
        <v>11.070422535211268</v>
      </c>
      <c r="AA1898" s="106">
        <v>34664.375189107413</v>
      </c>
      <c r="AB1898" s="106">
        <v>364.41229702434913</v>
      </c>
      <c r="AC1898" s="106">
        <v>2.884806071203124</v>
      </c>
      <c r="AD1898" s="106">
        <v>36.783528102392879</v>
      </c>
      <c r="AE1898" s="106">
        <v>95.12405446293495</v>
      </c>
      <c r="AF1898" s="106">
        <v>6.6810795345460403E-2</v>
      </c>
      <c r="AG1898" s="106">
        <v>2128</v>
      </c>
      <c r="AH1898" s="106">
        <v>11823.357824427481</v>
      </c>
      <c r="AI1898" s="106">
        <v>11951.578721374046</v>
      </c>
      <c r="AJ1898" s="106">
        <v>13085.30391221374</v>
      </c>
      <c r="AK1898" s="104">
        <v>12276.961354961832</v>
      </c>
      <c r="AL1898" s="118">
        <v>18834835</v>
      </c>
      <c r="AM1898" s="118">
        <v>3236</v>
      </c>
      <c r="AN1898" s="118">
        <v>62877</v>
      </c>
      <c r="AO1898" s="118">
        <v>430</v>
      </c>
      <c r="AP1898" s="118">
        <f t="shared" si="29"/>
        <v>108</v>
      </c>
    </row>
    <row r="1899" spans="1:42" ht="12.75">
      <c r="A1899" s="106">
        <v>2018</v>
      </c>
      <c r="B1899" s="106">
        <v>-216278</v>
      </c>
      <c r="C1899" s="106">
        <v>0</v>
      </c>
      <c r="D1899" s="106">
        <v>216278</v>
      </c>
      <c r="E1899" s="106" t="s">
        <v>2970</v>
      </c>
      <c r="F1899" s="106" t="s">
        <v>2971</v>
      </c>
      <c r="G1899" s="106" t="s">
        <v>104</v>
      </c>
      <c r="H1899" s="106">
        <v>7</v>
      </c>
      <c r="I1899" s="106" t="s">
        <v>3641</v>
      </c>
      <c r="J1899" s="106">
        <v>45470</v>
      </c>
      <c r="K1899" s="106">
        <v>26868</v>
      </c>
      <c r="L1899" s="106">
        <v>18111</v>
      </c>
      <c r="M1899" s="106">
        <v>0.31</v>
      </c>
      <c r="N1899" s="106">
        <v>0.79</v>
      </c>
      <c r="O1899" s="106">
        <v>0.99</v>
      </c>
      <c r="P1899" s="106">
        <v>30083</v>
      </c>
      <c r="Q1899" s="106">
        <v>24705.828397565921</v>
      </c>
      <c r="R1899" s="106">
        <v>0.58530312371961657</v>
      </c>
      <c r="S1899" s="106">
        <v>30089.791075050711</v>
      </c>
      <c r="T1899" s="106">
        <v>33308.113995943204</v>
      </c>
      <c r="U1899" s="106">
        <v>26379.979193364677</v>
      </c>
      <c r="V1899" s="106">
        <v>0.6635518953366214</v>
      </c>
      <c r="W1899" s="106">
        <v>77921.319566689242</v>
      </c>
      <c r="X1899" s="110">
        <v>0.46724920720241636</v>
      </c>
      <c r="Y1899" s="106">
        <v>430</v>
      </c>
      <c r="Z1899" s="106">
        <v>14.331395348837209</v>
      </c>
      <c r="AA1899" s="106">
        <v>138060.8252901145</v>
      </c>
      <c r="AB1899" s="106">
        <v>879.21374677723009</v>
      </c>
      <c r="AC1899" s="106">
        <v>0.72431842841634986</v>
      </c>
      <c r="AD1899" s="106">
        <v>20.38961038961039</v>
      </c>
      <c r="AE1899" s="106">
        <v>157.02760084925691</v>
      </c>
      <c r="AF1899" s="106">
        <v>1.4728049721649376E-2</v>
      </c>
      <c r="AG1899" s="106">
        <v>44890</v>
      </c>
      <c r="AH1899" s="106">
        <v>28691.855983772821</v>
      </c>
      <c r="AI1899" s="106">
        <v>30169.368356997973</v>
      </c>
      <c r="AJ1899" s="106">
        <v>34951.02515212982</v>
      </c>
      <c r="AK1899" s="104">
        <v>26970.845436105476</v>
      </c>
      <c r="AL1899" s="118"/>
      <c r="AM1899" s="118">
        <v>2349</v>
      </c>
      <c r="AN1899" s="118">
        <v>73960</v>
      </c>
      <c r="AO1899" s="118">
        <v>471</v>
      </c>
      <c r="AP1899" s="118">
        <f t="shared" si="29"/>
        <v>580</v>
      </c>
    </row>
    <row r="1900" spans="1:42" ht="12.75">
      <c r="A1900" s="106">
        <v>2018</v>
      </c>
      <c r="B1900" s="106">
        <v>-247603</v>
      </c>
      <c r="C1900" s="106">
        <v>0</v>
      </c>
      <c r="D1900" s="106">
        <v>247603</v>
      </c>
      <c r="E1900" s="106" t="s">
        <v>2972</v>
      </c>
      <c r="F1900" s="106" t="s">
        <v>1764</v>
      </c>
      <c r="G1900" s="106" t="s">
        <v>234</v>
      </c>
      <c r="H1900" s="106">
        <v>4</v>
      </c>
      <c r="I1900" s="106" t="s">
        <v>24</v>
      </c>
      <c r="J1900" s="106">
        <v>6750</v>
      </c>
      <c r="K1900" s="106">
        <v>12241</v>
      </c>
      <c r="L1900" s="106">
        <v>10854</v>
      </c>
      <c r="M1900" s="106">
        <v>0.4</v>
      </c>
      <c r="N1900" s="106">
        <v>0.3</v>
      </c>
      <c r="O1900" s="106">
        <v>0.18</v>
      </c>
      <c r="P1900" s="106">
        <v>1208</v>
      </c>
      <c r="Q1900" s="106">
        <v>0.16611295681063123</v>
      </c>
      <c r="R1900" s="106">
        <v>2.0516705008968876E-5</v>
      </c>
      <c r="S1900" s="106">
        <v>16494.879291251385</v>
      </c>
      <c r="T1900" s="106">
        <v>16162.841638981174</v>
      </c>
      <c r="U1900" s="106">
        <v>9554.2142857142862</v>
      </c>
      <c r="V1900" s="106">
        <v>0.84740692084705627</v>
      </c>
      <c r="W1900" s="106">
        <v>66821.638743455493</v>
      </c>
      <c r="X1900" s="110">
        <v>0.4372351070356339</v>
      </c>
      <c r="Y1900" s="106">
        <v>586.78700361010829</v>
      </c>
      <c r="Z1900" s="106">
        <v>19.559566787003607</v>
      </c>
      <c r="AA1900" s="106">
        <v>40504.485915492958</v>
      </c>
      <c r="AB1900" s="106">
        <v>318.47380952380951</v>
      </c>
      <c r="AC1900" s="106">
        <v>2.4688623430164314</v>
      </c>
      <c r="AD1900" s="106">
        <v>23.852183650615903</v>
      </c>
      <c r="AE1900" s="106">
        <v>127.1830985915493</v>
      </c>
      <c r="AF1900" s="106">
        <v>6.0419742727782895E-2</v>
      </c>
      <c r="AG1900" s="106">
        <v>4200</v>
      </c>
      <c r="AH1900" s="106">
        <v>15364.192691029901</v>
      </c>
      <c r="AI1900" s="106">
        <v>15364.192691029901</v>
      </c>
      <c r="AJ1900" s="106">
        <v>16516.041528239202</v>
      </c>
      <c r="AK1900" s="104">
        <v>13060.167220376523</v>
      </c>
      <c r="AL1900" s="119">
        <v>7285155</v>
      </c>
      <c r="AM1900" s="118">
        <v>2529</v>
      </c>
      <c r="AN1900" s="118">
        <v>54180</v>
      </c>
      <c r="AO1900" s="118">
        <v>408</v>
      </c>
      <c r="AP1900" s="118">
        <f t="shared" si="29"/>
        <v>2550</v>
      </c>
    </row>
    <row r="1901" spans="1:42" ht="12.75">
      <c r="A1901" s="106">
        <v>2018</v>
      </c>
      <c r="B1901" s="106">
        <v>-216287</v>
      </c>
      <c r="C1901" s="106">
        <v>0</v>
      </c>
      <c r="D1901" s="106">
        <v>216287</v>
      </c>
      <c r="E1901" s="106" t="s">
        <v>2973</v>
      </c>
      <c r="F1901" s="106" t="s">
        <v>2974</v>
      </c>
      <c r="G1901" s="106" t="s">
        <v>104</v>
      </c>
      <c r="H1901" s="106">
        <v>7</v>
      </c>
      <c r="I1901" s="106" t="s">
        <v>3641</v>
      </c>
      <c r="J1901" s="106">
        <v>50822</v>
      </c>
      <c r="K1901" s="106">
        <v>19446</v>
      </c>
      <c r="L1901" s="106">
        <v>8909</v>
      </c>
      <c r="M1901" s="106">
        <v>0.21</v>
      </c>
      <c r="N1901" s="106">
        <v>0.13</v>
      </c>
      <c r="O1901" s="106">
        <v>0.56000000000000005</v>
      </c>
      <c r="P1901" s="106">
        <v>47147</v>
      </c>
      <c r="Q1901" s="106">
        <v>24497.560975609755</v>
      </c>
      <c r="R1901" s="106">
        <v>0.48278596921302142</v>
      </c>
      <c r="S1901" s="106">
        <v>68626.829268292684</v>
      </c>
      <c r="T1901" s="106">
        <v>103096.34146341463</v>
      </c>
      <c r="U1901" s="106">
        <v>75999.017127472398</v>
      </c>
      <c r="V1901" s="106">
        <v>0.34532699483602913</v>
      </c>
      <c r="W1901" s="106">
        <v>95681.868743047831</v>
      </c>
      <c r="X1901" s="110">
        <v>0.50874744200901356</v>
      </c>
      <c r="Y1901" s="106">
        <v>225.54154727793698</v>
      </c>
      <c r="Z1901" s="106">
        <v>7.0487106017191978</v>
      </c>
      <c r="AA1901" s="106">
        <v>283914.32366527274</v>
      </c>
      <c r="AB1901" s="106">
        <v>2375.1503180321429</v>
      </c>
      <c r="AC1901" s="106">
        <v>0.35221893248999042</v>
      </c>
      <c r="AD1901" s="106">
        <v>27.873015873015873</v>
      </c>
      <c r="AE1901" s="106">
        <v>119.53530751708428</v>
      </c>
      <c r="AF1901" s="106">
        <v>8.7311299597348527E-2</v>
      </c>
      <c r="AG1901" s="106">
        <v>50424</v>
      </c>
      <c r="AH1901" s="106">
        <v>47657.317073170729</v>
      </c>
      <c r="AI1901" s="106">
        <v>69000</v>
      </c>
      <c r="AJ1901" s="106">
        <v>215285.9756097561</v>
      </c>
      <c r="AK1901" s="104">
        <v>82350.609756097561</v>
      </c>
      <c r="AL1901" s="118"/>
      <c r="AM1901" s="118">
        <v>1577</v>
      </c>
      <c r="AN1901" s="118">
        <v>52476</v>
      </c>
      <c r="AO1901" s="118">
        <v>439</v>
      </c>
      <c r="AP1901" s="118">
        <f t="shared" si="29"/>
        <v>398</v>
      </c>
    </row>
    <row r="1902" spans="1:42" ht="12.75">
      <c r="A1902" s="106">
        <v>2018</v>
      </c>
      <c r="B1902" s="106">
        <v>-233718</v>
      </c>
      <c r="C1902" s="106">
        <v>0</v>
      </c>
      <c r="D1902" s="106">
        <v>233718</v>
      </c>
      <c r="E1902" s="106" t="s">
        <v>2975</v>
      </c>
      <c r="F1902" s="106" t="s">
        <v>2976</v>
      </c>
      <c r="G1902" s="106" t="s">
        <v>261</v>
      </c>
      <c r="H1902" s="106">
        <v>7</v>
      </c>
      <c r="I1902" s="106" t="s">
        <v>3641</v>
      </c>
      <c r="J1902" s="106">
        <v>37155</v>
      </c>
      <c r="K1902" s="106">
        <v>26045</v>
      </c>
      <c r="L1902" s="106">
        <v>18619</v>
      </c>
      <c r="M1902" s="106">
        <v>0.27</v>
      </c>
      <c r="N1902" s="106">
        <v>0.63</v>
      </c>
      <c r="O1902" s="106">
        <v>0.94</v>
      </c>
      <c r="P1902" s="106">
        <v>25003</v>
      </c>
      <c r="Q1902" s="106">
        <v>39565.256055363323</v>
      </c>
      <c r="R1902" s="106">
        <v>0.99273909770715207</v>
      </c>
      <c r="S1902" s="106">
        <v>84161.155709342565</v>
      </c>
      <c r="T1902" s="106">
        <v>103093.68512110726</v>
      </c>
      <c r="U1902" s="106">
        <v>89514.45774530452</v>
      </c>
      <c r="V1902" s="106">
        <v>3.2327808281065046E-3</v>
      </c>
      <c r="W1902" s="106">
        <v>60720.282857142854</v>
      </c>
      <c r="X1902" s="110">
        <v>0.47553300446481389</v>
      </c>
      <c r="Y1902" s="106">
        <v>127.23529411764706</v>
      </c>
      <c r="Z1902" s="106">
        <v>4.25</v>
      </c>
      <c r="AA1902" s="106">
        <v>386114.60131929861</v>
      </c>
      <c r="AB1902" s="106">
        <v>2990.0229182146331</v>
      </c>
      <c r="AC1902" s="106">
        <v>0.25899046464006864</v>
      </c>
      <c r="AD1902" s="106">
        <v>21.003134796238246</v>
      </c>
      <c r="AE1902" s="106">
        <v>129.13432835820896</v>
      </c>
      <c r="AF1902" s="106">
        <v>-3.7917507102553484E-3</v>
      </c>
      <c r="AG1902" s="106">
        <v>36520</v>
      </c>
      <c r="AH1902" s="106">
        <v>16978.096885813149</v>
      </c>
      <c r="AI1902" s="106">
        <v>70122.3598615917</v>
      </c>
      <c r="AJ1902" s="106">
        <v>101407.61937716263</v>
      </c>
      <c r="AK1902" s="104">
        <v>90631.041522491345</v>
      </c>
      <c r="AL1902" s="118"/>
      <c r="AM1902" s="118">
        <v>319</v>
      </c>
      <c r="AN1902" s="118">
        <v>8652</v>
      </c>
      <c r="AO1902" s="118">
        <v>64</v>
      </c>
      <c r="AP1902" s="118">
        <f t="shared" si="29"/>
        <v>635</v>
      </c>
    </row>
    <row r="1903" spans="1:42" ht="12.75">
      <c r="A1903" s="106">
        <v>2018</v>
      </c>
      <c r="B1903" s="106">
        <v>-196413</v>
      </c>
      <c r="C1903" s="106">
        <v>0</v>
      </c>
      <c r="D1903" s="106">
        <v>196413</v>
      </c>
      <c r="E1903" s="106" t="s">
        <v>2977</v>
      </c>
      <c r="F1903" s="106" t="s">
        <v>1772</v>
      </c>
      <c r="G1903" s="106" t="s">
        <v>69</v>
      </c>
      <c r="H1903" s="106">
        <v>5</v>
      </c>
      <c r="I1903" s="106" t="s">
        <v>3639</v>
      </c>
      <c r="J1903" s="106">
        <v>46755</v>
      </c>
      <c r="K1903" s="106">
        <v>39005</v>
      </c>
      <c r="L1903" s="106">
        <v>19468</v>
      </c>
      <c r="M1903" s="106">
        <v>0.16</v>
      </c>
      <c r="N1903" s="106">
        <v>0.46</v>
      </c>
      <c r="O1903" s="106">
        <v>0.73</v>
      </c>
      <c r="P1903" s="106">
        <v>24442</v>
      </c>
      <c r="Q1903" s="106">
        <v>14160.991137560475</v>
      </c>
      <c r="R1903" s="106">
        <v>0.35679654930841592</v>
      </c>
      <c r="S1903" s="106">
        <v>43679.04992079462</v>
      </c>
      <c r="T1903" s="106">
        <v>40873.760243181918</v>
      </c>
      <c r="U1903" s="106">
        <v>31556.135201386889</v>
      </c>
      <c r="V1903" s="106">
        <v>0.80897958668695813</v>
      </c>
      <c r="W1903" s="106">
        <v>113512.15193026152</v>
      </c>
      <c r="X1903" s="110">
        <v>0.57285868110322047</v>
      </c>
      <c r="Y1903" s="106">
        <v>467.37965616045847</v>
      </c>
      <c r="Z1903" s="106">
        <v>16.73137535816619</v>
      </c>
      <c r="AA1903" s="106">
        <v>112768.76528439314</v>
      </c>
      <c r="AB1903" s="106">
        <v>1129.6545237865096</v>
      </c>
      <c r="AC1903" s="106">
        <v>0.88677037252122604</v>
      </c>
      <c r="AD1903" s="106">
        <v>31.907830501855106</v>
      </c>
      <c r="AE1903" s="106">
        <v>99.825887392900853</v>
      </c>
      <c r="AF1903" s="106">
        <v>0.10493106920811103</v>
      </c>
      <c r="AG1903" s="106">
        <v>45150</v>
      </c>
      <c r="AH1903" s="106">
        <v>38951.553581367472</v>
      </c>
      <c r="AI1903" s="106">
        <v>43670.163248704885</v>
      </c>
      <c r="AJ1903" s="106">
        <v>49736.318790940619</v>
      </c>
      <c r="AK1903" s="104">
        <v>35850.996617716315</v>
      </c>
      <c r="AL1903" s="118">
        <v>1697672</v>
      </c>
      <c r="AM1903" s="118">
        <v>15252</v>
      </c>
      <c r="AN1903" s="118">
        <v>652462</v>
      </c>
      <c r="AO1903" s="118">
        <v>3380</v>
      </c>
      <c r="AP1903" s="118">
        <f t="shared" si="29"/>
        <v>1605</v>
      </c>
    </row>
    <row r="1904" spans="1:42" ht="12.75">
      <c r="A1904" s="106">
        <v>2018</v>
      </c>
      <c r="B1904" s="106">
        <v>-155973</v>
      </c>
      <c r="C1904" s="106">
        <v>0</v>
      </c>
      <c r="D1904" s="106">
        <v>155973</v>
      </c>
      <c r="E1904" s="106" t="s">
        <v>2978</v>
      </c>
      <c r="F1904" s="106" t="s">
        <v>1478</v>
      </c>
      <c r="G1904" s="106" t="s">
        <v>129</v>
      </c>
      <c r="H1904" s="106">
        <v>7</v>
      </c>
      <c r="I1904" s="106" t="s">
        <v>3641</v>
      </c>
      <c r="J1904" s="106">
        <v>27220</v>
      </c>
      <c r="K1904" s="106">
        <v>24894</v>
      </c>
      <c r="L1904" s="106">
        <v>25140</v>
      </c>
      <c r="M1904" s="106">
        <v>0.42</v>
      </c>
      <c r="N1904" s="106">
        <v>0.26</v>
      </c>
      <c r="O1904" s="106">
        <v>0.99</v>
      </c>
      <c r="P1904" s="106">
        <v>15279</v>
      </c>
      <c r="Q1904" s="106">
        <v>13263.367283950618</v>
      </c>
      <c r="R1904" s="106">
        <v>0.57153046583326994</v>
      </c>
      <c r="S1904" s="106">
        <v>24348.777777777777</v>
      </c>
      <c r="T1904" s="106">
        <v>24463.458333333332</v>
      </c>
      <c r="U1904" s="106">
        <v>17318.808641975309</v>
      </c>
      <c r="V1904" s="106">
        <v>0.57413806868789985</v>
      </c>
      <c r="W1904" s="106">
        <v>55174.648584905655</v>
      </c>
      <c r="X1904" s="110">
        <v>0.49191642031472865</v>
      </c>
      <c r="Y1904" s="106">
        <v>376.03921568627453</v>
      </c>
      <c r="Z1904" s="106">
        <v>12.705882352941176</v>
      </c>
      <c r="AA1904" s="106">
        <v>62347.711111111108</v>
      </c>
      <c r="AB1904" s="106">
        <v>585.18031077276044</v>
      </c>
      <c r="AC1904" s="106">
        <v>1.6039081181631187</v>
      </c>
      <c r="AD1904" s="106">
        <v>27.906976744186046</v>
      </c>
      <c r="AE1904" s="106">
        <v>106.54444444444445</v>
      </c>
      <c r="AF1904" s="106">
        <v>1.4179555140079965E-2</v>
      </c>
      <c r="AG1904" s="106">
        <v>26300</v>
      </c>
      <c r="AH1904" s="106">
        <v>18840.058641975309</v>
      </c>
      <c r="AI1904" s="106">
        <v>24348.777777777777</v>
      </c>
      <c r="AJ1904" s="106">
        <v>25242.842592592591</v>
      </c>
      <c r="AK1904" s="104">
        <v>17318.808641975309</v>
      </c>
      <c r="AM1904" s="118">
        <v>711</v>
      </c>
      <c r="AN1904" s="118">
        <v>19178</v>
      </c>
      <c r="AO1904" s="118">
        <v>152</v>
      </c>
      <c r="AP1904" s="118">
        <f t="shared" si="29"/>
        <v>920</v>
      </c>
    </row>
    <row r="1905" spans="1:42" ht="12.75">
      <c r="A1905" s="106">
        <v>2018</v>
      </c>
      <c r="B1905" s="106">
        <v>-236753</v>
      </c>
      <c r="C1905" s="106">
        <v>0</v>
      </c>
      <c r="D1905" s="106">
        <v>236753</v>
      </c>
      <c r="E1905" s="106" t="s">
        <v>2979</v>
      </c>
      <c r="F1905" s="106" t="s">
        <v>303</v>
      </c>
      <c r="G1905" s="106" t="s">
        <v>182</v>
      </c>
      <c r="H1905" s="106">
        <v>4</v>
      </c>
      <c r="I1905" s="106" t="s">
        <v>24</v>
      </c>
      <c r="J1905" s="106">
        <v>4146</v>
      </c>
      <c r="K1905" s="106">
        <v>6096</v>
      </c>
      <c r="L1905" s="106">
        <v>4069</v>
      </c>
      <c r="M1905" s="106">
        <v>0.27</v>
      </c>
      <c r="N1905" s="106">
        <v>0.12</v>
      </c>
      <c r="O1905" s="106">
        <v>0.09</v>
      </c>
      <c r="P1905" s="106">
        <v>1121</v>
      </c>
      <c r="Q1905" s="106">
        <v>188.21827411167513</v>
      </c>
      <c r="R1905" s="106">
        <v>4.4918386156678557E-2</v>
      </c>
      <c r="S1905" s="106">
        <v>12728.876722262508</v>
      </c>
      <c r="T1905" s="106">
        <v>13821.899564902104</v>
      </c>
      <c r="U1905" s="106">
        <v>8635.0973531544605</v>
      </c>
      <c r="V1905" s="106">
        <v>0.46345853957858751</v>
      </c>
      <c r="W1905" s="106">
        <v>69675.143950995407</v>
      </c>
      <c r="X1905" s="110">
        <v>0.59675912091978978</v>
      </c>
      <c r="Y1905" s="106">
        <v>841.36271186440683</v>
      </c>
      <c r="Z1905" s="106">
        <v>18.698305084745762</v>
      </c>
      <c r="AA1905" s="106">
        <v>24463.891628145866</v>
      </c>
      <c r="AB1905" s="106">
        <v>191.90496853369433</v>
      </c>
      <c r="AC1905" s="106">
        <v>4.0876570874336835</v>
      </c>
      <c r="AD1905" s="106">
        <v>39.436905003038284</v>
      </c>
      <c r="AE1905" s="106">
        <v>127.47919876733437</v>
      </c>
      <c r="AF1905" s="106">
        <v>-4.445283325081955E-2</v>
      </c>
      <c r="AG1905" s="106">
        <v>3936</v>
      </c>
      <c r="AH1905" s="106">
        <v>11960.238941261783</v>
      </c>
      <c r="AI1905" s="106">
        <v>11960.238941261783</v>
      </c>
      <c r="AJ1905" s="106">
        <v>12762.43255982596</v>
      </c>
      <c r="AK1905" s="104">
        <v>10404.310913705584</v>
      </c>
      <c r="AL1905" s="118">
        <v>25535009</v>
      </c>
      <c r="AM1905" s="118">
        <v>6496</v>
      </c>
      <c r="AN1905" s="118">
        <v>248202</v>
      </c>
      <c r="AO1905" s="118">
        <v>1168</v>
      </c>
      <c r="AP1905" s="118">
        <f t="shared" si="29"/>
        <v>210</v>
      </c>
    </row>
    <row r="1906" spans="1:42" ht="12.75">
      <c r="A1906" s="106">
        <v>2018</v>
      </c>
      <c r="B1906" s="106">
        <v>-124113</v>
      </c>
      <c r="C1906" s="106">
        <v>0</v>
      </c>
      <c r="D1906" s="106">
        <v>124113</v>
      </c>
      <c r="E1906" s="106" t="s">
        <v>2980</v>
      </c>
      <c r="F1906" s="106" t="s">
        <v>2981</v>
      </c>
      <c r="G1906" s="106" t="s">
        <v>121</v>
      </c>
      <c r="H1906" s="106">
        <v>4</v>
      </c>
      <c r="I1906" s="106" t="s">
        <v>24</v>
      </c>
      <c r="J1906" s="106">
        <v>1410</v>
      </c>
      <c r="K1906" s="106">
        <v>10292</v>
      </c>
      <c r="L1906" s="106">
        <v>9335</v>
      </c>
      <c r="M1906" s="106">
        <v>0.59</v>
      </c>
      <c r="N1906" s="106">
        <v>0</v>
      </c>
      <c r="O1906" s="106">
        <v>0.23</v>
      </c>
      <c r="P1906" s="106">
        <v>918</v>
      </c>
      <c r="Q1906" s="106">
        <v>89.301848049281318</v>
      </c>
      <c r="R1906" s="106">
        <v>5.3149651526980077E-2</v>
      </c>
      <c r="S1906" s="106">
        <v>19706.47022587269</v>
      </c>
      <c r="T1906" s="106">
        <v>21803.905544147845</v>
      </c>
      <c r="U1906" s="106">
        <v>13766.107589469322</v>
      </c>
      <c r="V1906" s="106">
        <v>0.11556603386342446</v>
      </c>
      <c r="W1906" s="106">
        <v>125945.34743202418</v>
      </c>
      <c r="X1906" s="110">
        <v>0.52346253737109061</v>
      </c>
      <c r="Y1906" s="106">
        <v>1000.8219178082192</v>
      </c>
      <c r="Z1906" s="106">
        <v>33.356164383561641</v>
      </c>
      <c r="AA1906" s="106">
        <v>52131.3716646311</v>
      </c>
      <c r="AB1906" s="106">
        <v>458.80744566599782</v>
      </c>
      <c r="AC1906" s="106">
        <v>1.9182307468008886</v>
      </c>
      <c r="AD1906" s="106">
        <v>21.598925092374873</v>
      </c>
      <c r="AE1906" s="106">
        <v>113.62363919129082</v>
      </c>
      <c r="AF1906" s="106">
        <v>-0.13464992201798415</v>
      </c>
      <c r="AG1906" s="106">
        <v>1410</v>
      </c>
      <c r="AH1906" s="106">
        <v>18649.530184804928</v>
      </c>
      <c r="AI1906" s="106">
        <v>18649.530184804928</v>
      </c>
      <c r="AJ1906" s="106">
        <v>19923.579466119096</v>
      </c>
      <c r="AK1906" s="104">
        <v>15808.956878850102</v>
      </c>
      <c r="AL1906" s="118">
        <v>25935890</v>
      </c>
      <c r="AM1906" s="118">
        <v>6260</v>
      </c>
      <c r="AN1906" s="118">
        <v>73060</v>
      </c>
      <c r="AO1906" s="118">
        <v>459</v>
      </c>
      <c r="AP1906" s="118">
        <f t="shared" si="29"/>
        <v>0</v>
      </c>
    </row>
    <row r="1907" spans="1:42" ht="12.75">
      <c r="A1907" s="106">
        <v>2018</v>
      </c>
      <c r="B1907" s="106">
        <v>-102298</v>
      </c>
      <c r="C1907" s="106">
        <v>0</v>
      </c>
      <c r="D1907" s="106">
        <v>102298</v>
      </c>
      <c r="E1907" s="106" t="s">
        <v>2982</v>
      </c>
      <c r="F1907" s="106" t="s">
        <v>2983</v>
      </c>
      <c r="G1907" s="106" t="s">
        <v>85</v>
      </c>
      <c r="H1907" s="106">
        <v>7</v>
      </c>
      <c r="I1907" s="106" t="s">
        <v>3641</v>
      </c>
      <c r="J1907" s="106">
        <v>12340</v>
      </c>
      <c r="K1907" s="106">
        <v>14754</v>
      </c>
      <c r="L1907" s="106">
        <v>16402</v>
      </c>
      <c r="M1907" s="106">
        <v>0.85</v>
      </c>
      <c r="N1907" s="106">
        <v>1</v>
      </c>
      <c r="O1907" s="106">
        <v>0.4</v>
      </c>
      <c r="P1907" s="106">
        <v>7796</v>
      </c>
      <c r="Q1907" s="106">
        <v>3084.0412262156447</v>
      </c>
      <c r="R1907" s="106">
        <v>0.27054222448073101</v>
      </c>
      <c r="S1907" s="106">
        <v>16770.125792811839</v>
      </c>
      <c r="T1907" s="106">
        <v>15548.070824524313</v>
      </c>
      <c r="U1907" s="106">
        <v>13563.420905919515</v>
      </c>
      <c r="V1907" s="106">
        <v>0.61307843066003631</v>
      </c>
      <c r="W1907" s="106">
        <v>46842.323828920576</v>
      </c>
      <c r="X1907" s="110">
        <v>0.52123194280848284</v>
      </c>
      <c r="Y1907" s="106">
        <v>583.35616438356169</v>
      </c>
      <c r="Z1907" s="106">
        <v>19.438356164383563</v>
      </c>
      <c r="AA1907" s="106">
        <v>100242.15763281142</v>
      </c>
      <c r="AB1907" s="106">
        <v>451.95477904191131</v>
      </c>
      <c r="AC1907" s="106">
        <v>0.99758427353790158</v>
      </c>
      <c r="AD1907" s="106">
        <v>16.623376623376622</v>
      </c>
      <c r="AE1907" s="106">
        <v>221.796875</v>
      </c>
      <c r="AF1907" s="106">
        <v>2.171505132287168E-2</v>
      </c>
      <c r="AG1907" s="106">
        <v>11192</v>
      </c>
      <c r="AH1907" s="106">
        <v>15475.31289640592</v>
      </c>
      <c r="AI1907" s="106">
        <v>16770.125792811839</v>
      </c>
      <c r="AJ1907" s="106">
        <v>16856.183932346725</v>
      </c>
      <c r="AK1907" s="104">
        <v>14120.934460887949</v>
      </c>
      <c r="AL1907" s="118">
        <v>1149621</v>
      </c>
      <c r="AM1907" s="118">
        <v>782</v>
      </c>
      <c r="AN1907" s="118">
        <v>28390</v>
      </c>
      <c r="AO1907" s="118">
        <v>128</v>
      </c>
      <c r="AP1907" s="118">
        <f t="shared" si="29"/>
        <v>1148</v>
      </c>
    </row>
    <row r="1908" spans="1:42" ht="12.75">
      <c r="A1908" s="106">
        <v>2018</v>
      </c>
      <c r="B1908" s="106">
        <v>-137759</v>
      </c>
      <c r="C1908" s="106">
        <v>0</v>
      </c>
      <c r="D1908" s="106">
        <v>137759</v>
      </c>
      <c r="E1908" s="106" t="s">
        <v>2984</v>
      </c>
      <c r="F1908" s="106" t="s">
        <v>1239</v>
      </c>
      <c r="G1908" s="106" t="s">
        <v>258</v>
      </c>
      <c r="H1908" s="106">
        <v>4</v>
      </c>
      <c r="I1908" s="106" t="s">
        <v>24</v>
      </c>
      <c r="J1908" s="106">
        <v>2026</v>
      </c>
      <c r="K1908" s="106">
        <v>3628</v>
      </c>
      <c r="L1908" s="106">
        <v>2759</v>
      </c>
      <c r="M1908" s="106">
        <v>0.47</v>
      </c>
      <c r="N1908" s="106">
        <v>0.31</v>
      </c>
      <c r="O1908" s="106">
        <v>0.12</v>
      </c>
      <c r="P1908" s="106">
        <v>1333</v>
      </c>
      <c r="Q1908" s="106">
        <v>309.76813794599286</v>
      </c>
      <c r="R1908" s="106">
        <v>9.8898505539049233E-2</v>
      </c>
      <c r="S1908" s="106">
        <v>10777.491486823556</v>
      </c>
      <c r="T1908" s="106">
        <v>11927.037848389546</v>
      </c>
      <c r="U1908" s="106">
        <v>9764.9432801270268</v>
      </c>
      <c r="V1908" s="106">
        <v>0.28903537623395464</v>
      </c>
      <c r="W1908" s="106">
        <v>53511.09628378378</v>
      </c>
      <c r="X1908" s="110">
        <v>0.48006902504196791</v>
      </c>
      <c r="Y1908" s="106">
        <v>769.7878504672899</v>
      </c>
      <c r="Z1908" s="106">
        <v>25.853271028037387</v>
      </c>
      <c r="AA1908" s="106">
        <v>28208.816411670214</v>
      </c>
      <c r="AB1908" s="106">
        <v>327.9549359492832</v>
      </c>
      <c r="AC1908" s="106">
        <v>3.5449909893642046</v>
      </c>
      <c r="AD1908" s="106">
        <v>38.775510204081634</v>
      </c>
      <c r="AE1908" s="106">
        <v>86.014306599832921</v>
      </c>
      <c r="AF1908" s="106">
        <v>-5.1216630602542682E-2</v>
      </c>
      <c r="AG1908" s="106">
        <v>2002</v>
      </c>
      <c r="AH1908" s="106">
        <v>9455.8325561218953</v>
      </c>
      <c r="AI1908" s="106">
        <v>9486.1357770306913</v>
      </c>
      <c r="AJ1908" s="106">
        <v>10785.799804793407</v>
      </c>
      <c r="AK1908" s="104">
        <v>11388.576076347468</v>
      </c>
      <c r="AL1908" s="119">
        <v>33146580</v>
      </c>
      <c r="AM1908" s="118">
        <v>11782</v>
      </c>
      <c r="AN1908" s="118">
        <v>274557.66666666669</v>
      </c>
      <c r="AO1908" s="118">
        <v>2684</v>
      </c>
      <c r="AP1908" s="118">
        <f t="shared" si="29"/>
        <v>24</v>
      </c>
    </row>
    <row r="1909" spans="1:42" ht="12.75">
      <c r="A1909" s="106">
        <v>2018</v>
      </c>
      <c r="B1909" s="106">
        <v>-228529</v>
      </c>
      <c r="C1909" s="106">
        <v>0</v>
      </c>
      <c r="D1909" s="106">
        <v>228529</v>
      </c>
      <c r="E1909" s="106" t="s">
        <v>2985</v>
      </c>
      <c r="F1909" s="106" t="s">
        <v>2986</v>
      </c>
      <c r="G1909" s="106" t="s">
        <v>60</v>
      </c>
      <c r="H1909" s="106">
        <v>2</v>
      </c>
      <c r="I1909" s="106" t="s">
        <v>25</v>
      </c>
      <c r="J1909" s="106">
        <v>7367</v>
      </c>
      <c r="K1909" s="106">
        <v>12352</v>
      </c>
      <c r="L1909" s="106">
        <v>14421</v>
      </c>
      <c r="M1909" s="106">
        <v>0.39</v>
      </c>
      <c r="N1909" s="106">
        <v>0.62</v>
      </c>
      <c r="O1909" s="106">
        <v>0.57999999999999996</v>
      </c>
      <c r="P1909" s="106">
        <v>1763</v>
      </c>
      <c r="Q1909" s="106">
        <v>2037.1682276657061</v>
      </c>
      <c r="R1909" s="106">
        <v>0.22553327109662866</v>
      </c>
      <c r="S1909" s="106">
        <v>17953.843840057638</v>
      </c>
      <c r="T1909" s="106">
        <v>19374.469920749281</v>
      </c>
      <c r="U1909" s="106">
        <v>10669.191500786676</v>
      </c>
      <c r="V1909" s="106">
        <v>0.65567334716656289</v>
      </c>
      <c r="W1909" s="106">
        <v>88862.208407871192</v>
      </c>
      <c r="X1909" s="110">
        <v>0.46179542218023129</v>
      </c>
      <c r="Y1909" s="106">
        <v>622.92106938255893</v>
      </c>
      <c r="Z1909" s="106">
        <v>21.204328453214515</v>
      </c>
      <c r="AA1909" s="106">
        <v>38056.762744855521</v>
      </c>
      <c r="AB1909" s="106">
        <v>363.18091012263909</v>
      </c>
      <c r="AC1909" s="106">
        <v>2.6276538724649643</v>
      </c>
      <c r="AD1909" s="106">
        <v>29.840874233128833</v>
      </c>
      <c r="AE1909" s="106">
        <v>104.78734339865082</v>
      </c>
      <c r="AF1909" s="106">
        <v>4.6287697884068314E-2</v>
      </c>
      <c r="AG1909" s="106">
        <v>4008</v>
      </c>
      <c r="AH1909" s="106">
        <v>16521.199297550433</v>
      </c>
      <c r="AI1909" s="106">
        <v>16690.810068443803</v>
      </c>
      <c r="AJ1909" s="106">
        <v>18720.493605907781</v>
      </c>
      <c r="AK1909" s="104">
        <v>13977.131123919309</v>
      </c>
      <c r="AL1909" s="119">
        <v>55704510</v>
      </c>
      <c r="AM1909" s="118">
        <v>11288</v>
      </c>
      <c r="AN1909" s="118">
        <v>326203</v>
      </c>
      <c r="AO1909" s="118">
        <v>2595</v>
      </c>
      <c r="AP1909" s="118">
        <f t="shared" si="29"/>
        <v>3359</v>
      </c>
    </row>
    <row r="1910" spans="1:42" ht="12.75">
      <c r="A1910" s="106">
        <v>2018</v>
      </c>
      <c r="B1910" s="106">
        <v>-228547</v>
      </c>
      <c r="C1910" s="106">
        <v>0</v>
      </c>
      <c r="D1910" s="106">
        <v>228547</v>
      </c>
      <c r="E1910" s="106" t="s">
        <v>2987</v>
      </c>
      <c r="F1910" s="106" t="s">
        <v>2988</v>
      </c>
      <c r="G1910" s="106" t="s">
        <v>60</v>
      </c>
      <c r="H1910" s="106">
        <v>4</v>
      </c>
      <c r="I1910" s="106" t="s">
        <v>24</v>
      </c>
      <c r="J1910" s="106">
        <v>1593</v>
      </c>
      <c r="K1910" s="106">
        <v>5912</v>
      </c>
      <c r="L1910" s="106">
        <v>5222</v>
      </c>
      <c r="M1910" s="106">
        <v>0.5</v>
      </c>
      <c r="N1910" s="106">
        <v>0.11</v>
      </c>
      <c r="O1910" s="106">
        <v>0.1</v>
      </c>
      <c r="P1910" s="106">
        <v>1079</v>
      </c>
      <c r="Q1910" s="106">
        <v>140.5639438181482</v>
      </c>
      <c r="R1910" s="106">
        <v>6.5318234723061239E-2</v>
      </c>
      <c r="S1910" s="106">
        <v>13961.319380274748</v>
      </c>
      <c r="T1910" s="106">
        <v>13060.715517772438</v>
      </c>
      <c r="U1910" s="106">
        <v>10213.232213410858</v>
      </c>
      <c r="V1910" s="106">
        <v>0.1969427774384952</v>
      </c>
      <c r="W1910" s="106">
        <v>93849.231338439567</v>
      </c>
      <c r="X1910" s="110">
        <v>0.56829470395658377</v>
      </c>
      <c r="Y1910" s="106">
        <v>792.91750339213036</v>
      </c>
      <c r="Z1910" s="106">
        <v>26.430936227951154</v>
      </c>
      <c r="AA1910" s="106">
        <v>42445.314521325767</v>
      </c>
      <c r="AB1910" s="106">
        <v>340.4456178090191</v>
      </c>
      <c r="AC1910" s="106">
        <v>2.355972646869116</v>
      </c>
      <c r="AD1910" s="106">
        <v>28.105774419859685</v>
      </c>
      <c r="AE1910" s="106">
        <v>124.67575524833589</v>
      </c>
      <c r="AF1910" s="106">
        <v>2.9318594788395925E-2</v>
      </c>
      <c r="AG1910" s="106">
        <v>1593</v>
      </c>
      <c r="AH1910" s="106">
        <v>12402.882492453644</v>
      </c>
      <c r="AI1910" s="106">
        <v>12405.880490359144</v>
      </c>
      <c r="AJ1910" s="106">
        <v>14063.574847532804</v>
      </c>
      <c r="AK1910" s="104">
        <v>12822.213454075032</v>
      </c>
      <c r="AL1910" s="118">
        <v>315221269</v>
      </c>
      <c r="AM1910" s="119">
        <v>52957</v>
      </c>
      <c r="AN1910" s="118">
        <v>973967</v>
      </c>
      <c r="AO1910" s="119">
        <v>5472</v>
      </c>
      <c r="AP1910" s="118">
        <f t="shared" si="29"/>
        <v>0</v>
      </c>
    </row>
    <row r="1911" spans="1:42" ht="12.75">
      <c r="A1911" s="106">
        <v>2018</v>
      </c>
      <c r="B1911" s="106">
        <v>-152530</v>
      </c>
      <c r="C1911" s="106">
        <v>0</v>
      </c>
      <c r="D1911" s="106">
        <v>152530</v>
      </c>
      <c r="E1911" s="106" t="s">
        <v>2989</v>
      </c>
      <c r="F1911" s="106" t="s">
        <v>2990</v>
      </c>
      <c r="G1911" s="106" t="s">
        <v>161</v>
      </c>
      <c r="H1911" s="106">
        <v>7</v>
      </c>
      <c r="I1911" s="106" t="s">
        <v>3641</v>
      </c>
      <c r="J1911" s="106">
        <v>32885</v>
      </c>
      <c r="K1911" s="106">
        <v>25382</v>
      </c>
      <c r="L1911" s="106">
        <v>15959</v>
      </c>
      <c r="M1911" s="106">
        <v>0.22</v>
      </c>
      <c r="N1911" s="106">
        <v>0.49</v>
      </c>
      <c r="O1911" s="106">
        <v>0.98</v>
      </c>
      <c r="P1911" s="106">
        <v>17505</v>
      </c>
      <c r="Q1911" s="106">
        <v>13409.393297190734</v>
      </c>
      <c r="R1911" s="106">
        <v>0.43650960568207609</v>
      </c>
      <c r="S1911" s="106">
        <v>31771.959093149333</v>
      </c>
      <c r="T1911" s="106">
        <v>32155.248891079351</v>
      </c>
      <c r="U1911" s="106">
        <v>23649.174719784653</v>
      </c>
      <c r="V1911" s="106">
        <v>0.73195747617428486</v>
      </c>
      <c r="W1911" s="106">
        <v>76233.230769230766</v>
      </c>
      <c r="X1911" s="110">
        <v>0.52151850773263031</v>
      </c>
      <c r="Y1911" s="106">
        <v>438.80392156862746</v>
      </c>
      <c r="Z1911" s="106">
        <v>13.261437908496733</v>
      </c>
      <c r="AA1911" s="106">
        <v>116184.44432552799</v>
      </c>
      <c r="AB1911" s="106">
        <v>714.72028101409148</v>
      </c>
      <c r="AC1911" s="106">
        <v>0.86070041975514311</v>
      </c>
      <c r="AD1911" s="106">
        <v>20.848056537102476</v>
      </c>
      <c r="AE1911" s="106">
        <v>162.5593220338983</v>
      </c>
      <c r="AF1911" s="106">
        <v>3.2596241979835017E-2</v>
      </c>
      <c r="AG1911" s="106">
        <v>32640</v>
      </c>
      <c r="AH1911" s="106">
        <v>26335.616559881713</v>
      </c>
      <c r="AI1911" s="106">
        <v>31771.959093149333</v>
      </c>
      <c r="AJ1911" s="106">
        <v>35520.453425332678</v>
      </c>
      <c r="AK1911" s="104">
        <v>24698.47215377033</v>
      </c>
      <c r="AL1911" s="118"/>
      <c r="AM1911" s="118">
        <v>2110</v>
      </c>
      <c r="AN1911" s="118">
        <v>67137</v>
      </c>
      <c r="AO1911" s="118">
        <v>394</v>
      </c>
      <c r="AP1911" s="118">
        <f t="shared" si="29"/>
        <v>245</v>
      </c>
    </row>
    <row r="1912" spans="1:42" ht="12.75">
      <c r="A1912" s="106">
        <v>2018</v>
      </c>
      <c r="B1912" s="106">
        <v>-196468</v>
      </c>
      <c r="C1912" s="106">
        <v>0</v>
      </c>
      <c r="D1912" s="106">
        <v>196468</v>
      </c>
      <c r="E1912" s="106" t="s">
        <v>2991</v>
      </c>
      <c r="F1912" s="106" t="s">
        <v>290</v>
      </c>
      <c r="G1912" s="106" t="s">
        <v>69</v>
      </c>
      <c r="H1912" s="106">
        <v>5</v>
      </c>
      <c r="I1912" s="106" t="s">
        <v>3639</v>
      </c>
      <c r="J1912" s="106"/>
      <c r="K1912" s="106"/>
      <c r="L1912" s="106"/>
      <c r="M1912" s="106"/>
      <c r="N1912" s="106"/>
      <c r="O1912" s="106"/>
      <c r="P1912" s="106"/>
      <c r="Q1912" s="106">
        <v>7018.9336183052555</v>
      </c>
      <c r="R1912" s="106">
        <v>0.19684465363193959</v>
      </c>
      <c r="S1912" s="106">
        <v>52954.664822730701</v>
      </c>
      <c r="T1912" s="106">
        <v>54741.003520241386</v>
      </c>
      <c r="U1912" s="106">
        <v>31941.23678349876</v>
      </c>
      <c r="V1912" s="106">
        <v>0.89659298747112148</v>
      </c>
      <c r="W1912" s="106">
        <v>128964.08639863131</v>
      </c>
      <c r="X1912" s="110">
        <v>0.69249230418353658</v>
      </c>
      <c r="Y1912" s="106">
        <v>275.85260115606934</v>
      </c>
      <c r="Z1912" s="106">
        <v>11.49421965317919</v>
      </c>
      <c r="AA1912" s="106">
        <v>61426.643466138572</v>
      </c>
      <c r="AB1912" s="106">
        <v>1330.926697972388</v>
      </c>
      <c r="AC1912" s="106">
        <v>1.6279580709163275</v>
      </c>
      <c r="AD1912" s="106">
        <v>62.666666666666671</v>
      </c>
      <c r="AE1912" s="106">
        <v>46.153288201160542</v>
      </c>
      <c r="AF1912" s="106">
        <v>7.5302915041674717E-2</v>
      </c>
      <c r="AG1912" s="106"/>
      <c r="AH1912" s="106">
        <v>43483.682423937644</v>
      </c>
      <c r="AI1912" s="106">
        <v>52954.664822730701</v>
      </c>
      <c r="AJ1912" s="106">
        <v>60035.060095549408</v>
      </c>
      <c r="AK1912" s="104">
        <v>48808.705808398292</v>
      </c>
      <c r="AL1912" s="118">
        <v>530552</v>
      </c>
      <c r="AM1912" s="118"/>
      <c r="AN1912" s="118">
        <v>95445</v>
      </c>
      <c r="AO1912" s="118"/>
      <c r="AP1912" s="118">
        <f t="shared" si="29"/>
        <v>0</v>
      </c>
    </row>
    <row r="1913" spans="1:42" ht="12.75">
      <c r="A1913" s="106">
        <v>2018</v>
      </c>
      <c r="B1913" s="106">
        <v>-217712</v>
      </c>
      <c r="C1913" s="106">
        <v>0</v>
      </c>
      <c r="D1913" s="106">
        <v>217712</v>
      </c>
      <c r="E1913" s="106" t="s">
        <v>2992</v>
      </c>
      <c r="F1913" s="106" t="s">
        <v>2993</v>
      </c>
      <c r="G1913" s="106" t="s">
        <v>79</v>
      </c>
      <c r="H1913" s="106">
        <v>4</v>
      </c>
      <c r="I1913" s="106" t="s">
        <v>24</v>
      </c>
      <c r="J1913" s="106">
        <v>4420</v>
      </c>
      <c r="K1913" s="106">
        <v>8429</v>
      </c>
      <c r="L1913" s="106">
        <v>7020</v>
      </c>
      <c r="M1913" s="106">
        <v>0.63</v>
      </c>
      <c r="N1913" s="106">
        <v>0.09</v>
      </c>
      <c r="O1913" s="106">
        <v>0.09</v>
      </c>
      <c r="P1913" s="106">
        <v>675</v>
      </c>
      <c r="Q1913" s="106">
        <v>73.192506459948319</v>
      </c>
      <c r="R1913" s="106">
        <v>1.1922975779107463E-2</v>
      </c>
      <c r="S1913" s="106">
        <v>14588.10142118863</v>
      </c>
      <c r="T1913" s="106">
        <v>14851.868863049096</v>
      </c>
      <c r="U1913" s="106">
        <v>11625.377906976744</v>
      </c>
      <c r="V1913" s="106">
        <v>0.52175387035569121</v>
      </c>
      <c r="W1913" s="106">
        <v>74332.345195729533</v>
      </c>
      <c r="X1913" s="110">
        <v>0.60567665359195566</v>
      </c>
      <c r="Y1913" s="106">
        <v>561.78629032258073</v>
      </c>
      <c r="Z1913" s="106">
        <v>18.725806451612904</v>
      </c>
      <c r="AA1913" s="106">
        <v>41275.424311926603</v>
      </c>
      <c r="AB1913" s="106">
        <v>387.50425270773673</v>
      </c>
      <c r="AC1913" s="106">
        <v>2.4227491701667336</v>
      </c>
      <c r="AD1913" s="106">
        <v>36.062861869313487</v>
      </c>
      <c r="AE1913" s="106">
        <v>106.51605504587155</v>
      </c>
      <c r="AF1913" s="106">
        <v>-5.8995192410170154E-4</v>
      </c>
      <c r="AG1913" s="106">
        <v>4224</v>
      </c>
      <c r="AH1913" s="106">
        <v>14500.994186046511</v>
      </c>
      <c r="AI1913" s="106">
        <v>14500.994186046511</v>
      </c>
      <c r="AJ1913" s="106">
        <v>14602.711886304909</v>
      </c>
      <c r="AK1913" s="104">
        <v>13129.609819121448</v>
      </c>
      <c r="AL1913" s="119">
        <v>8516611</v>
      </c>
      <c r="AM1913" s="118">
        <v>2314</v>
      </c>
      <c r="AN1913" s="118">
        <v>46441</v>
      </c>
      <c r="AO1913" s="118">
        <v>220</v>
      </c>
      <c r="AP1913" s="118">
        <f t="shared" si="29"/>
        <v>196</v>
      </c>
    </row>
    <row r="1914" spans="1:42" ht="12.75">
      <c r="A1914" s="106">
        <v>2018</v>
      </c>
      <c r="B1914" s="106">
        <v>-228608</v>
      </c>
      <c r="C1914" s="106">
        <v>0</v>
      </c>
      <c r="D1914" s="106">
        <v>228608</v>
      </c>
      <c r="E1914" s="106" t="s">
        <v>2994</v>
      </c>
      <c r="F1914" s="106" t="s">
        <v>2995</v>
      </c>
      <c r="G1914" s="106" t="s">
        <v>60</v>
      </c>
      <c r="H1914" s="106">
        <v>4</v>
      </c>
      <c r="I1914" s="106" t="s">
        <v>24</v>
      </c>
      <c r="J1914" s="106">
        <v>2328</v>
      </c>
      <c r="K1914" s="106">
        <v>3873</v>
      </c>
      <c r="L1914" s="106">
        <v>3249</v>
      </c>
      <c r="M1914" s="106">
        <v>0.53</v>
      </c>
      <c r="N1914" s="106">
        <v>0.3</v>
      </c>
      <c r="O1914" s="106">
        <v>7.0000000000000007E-2</v>
      </c>
      <c r="P1914" s="106">
        <v>4257</v>
      </c>
      <c r="Q1914" s="106">
        <v>216.16717325227964</v>
      </c>
      <c r="R1914" s="106">
        <v>4.9084003152131767E-2</v>
      </c>
      <c r="S1914" s="106">
        <v>12298.667477203648</v>
      </c>
      <c r="T1914" s="106">
        <v>12251.891793313071</v>
      </c>
      <c r="U1914" s="106">
        <v>9435.594190999409</v>
      </c>
      <c r="V1914" s="106">
        <v>0.44383614491969847</v>
      </c>
      <c r="W1914" s="106">
        <v>67745.784431137727</v>
      </c>
      <c r="X1914" s="110">
        <v>0.56134478481630923</v>
      </c>
      <c r="Y1914" s="106">
        <v>577.11695906432749</v>
      </c>
      <c r="Z1914" s="106">
        <v>19.239766081871345</v>
      </c>
      <c r="AA1914" s="106">
        <v>44795.245149189112</v>
      </c>
      <c r="AB1914" s="106">
        <v>314.56123793800657</v>
      </c>
      <c r="AC1914" s="106">
        <v>2.2323797909120318</v>
      </c>
      <c r="AD1914" s="106">
        <v>25.02708559046587</v>
      </c>
      <c r="AE1914" s="106">
        <v>142.40548340548341</v>
      </c>
      <c r="AF1914" s="106">
        <v>1.1025810374625087E-2</v>
      </c>
      <c r="AG1914" s="106">
        <v>1800</v>
      </c>
      <c r="AH1914" s="106">
        <v>10820.53981762918</v>
      </c>
      <c r="AI1914" s="106">
        <v>10820.53981762918</v>
      </c>
      <c r="AJ1914" s="106">
        <v>12363.316109422492</v>
      </c>
      <c r="AK1914" s="104">
        <v>11626.729483282676</v>
      </c>
      <c r="AL1914" s="119">
        <v>17465034</v>
      </c>
      <c r="AM1914" s="118">
        <v>4999</v>
      </c>
      <c r="AN1914" s="118">
        <v>98687</v>
      </c>
      <c r="AO1914" s="118">
        <v>544</v>
      </c>
      <c r="AP1914" s="118">
        <f t="shared" si="29"/>
        <v>528</v>
      </c>
    </row>
    <row r="1915" spans="1:42" ht="12.75">
      <c r="A1915" s="106">
        <v>2018</v>
      </c>
      <c r="B1915" s="106">
        <v>-216339</v>
      </c>
      <c r="C1915" s="106">
        <v>0</v>
      </c>
      <c r="D1915" s="106">
        <v>216339</v>
      </c>
      <c r="E1915" s="106" t="s">
        <v>2996</v>
      </c>
      <c r="F1915" s="106" t="s">
        <v>721</v>
      </c>
      <c r="G1915" s="106" t="s">
        <v>104</v>
      </c>
      <c r="H1915" s="106">
        <v>1</v>
      </c>
      <c r="I1915" s="106" t="s">
        <v>23</v>
      </c>
      <c r="J1915" s="106">
        <v>16658</v>
      </c>
      <c r="K1915" s="106">
        <v>23192</v>
      </c>
      <c r="L1915" s="106">
        <v>18894</v>
      </c>
      <c r="M1915" s="106">
        <v>0.28000000000000003</v>
      </c>
      <c r="N1915" s="106">
        <v>0.69</v>
      </c>
      <c r="O1915" s="106">
        <v>0.8</v>
      </c>
      <c r="P1915" s="106">
        <v>7282</v>
      </c>
      <c r="Q1915" s="106">
        <v>3980.9762612084705</v>
      </c>
      <c r="R1915" s="106">
        <v>0.14854416225896633</v>
      </c>
      <c r="S1915" s="106">
        <v>92755.335095800066</v>
      </c>
      <c r="T1915" s="106">
        <v>88874.792183369223</v>
      </c>
      <c r="U1915" s="106">
        <v>22706.983877836796</v>
      </c>
      <c r="V1915" s="106">
        <v>1.004931998155504</v>
      </c>
      <c r="W1915" s="106">
        <v>251347.59547383312</v>
      </c>
      <c r="X1915" s="110">
        <v>0.58127912343352539</v>
      </c>
      <c r="Y1915" s="106">
        <v>352.83718411552348</v>
      </c>
      <c r="Z1915" s="106">
        <v>13.245848375451263</v>
      </c>
      <c r="AA1915" s="106">
        <v>86015.067671041688</v>
      </c>
      <c r="AB1915" s="106">
        <v>852.44208674776598</v>
      </c>
      <c r="AC1915" s="106">
        <v>1.1625870060632011</v>
      </c>
      <c r="AD1915" s="106">
        <v>26.578492440249157</v>
      </c>
      <c r="AE1915" s="106">
        <v>100.90429485855874</v>
      </c>
      <c r="AF1915" s="106">
        <v>0.12911467155542236</v>
      </c>
      <c r="AG1915" s="106">
        <v>15768</v>
      </c>
      <c r="AH1915" s="106">
        <v>89619.525224169411</v>
      </c>
      <c r="AI1915" s="106">
        <v>92713.662751083379</v>
      </c>
      <c r="AJ1915" s="106">
        <v>94871.140061595492</v>
      </c>
      <c r="AK1915" s="104">
        <v>31710.691995312201</v>
      </c>
      <c r="AL1915" s="118">
        <v>102874000</v>
      </c>
      <c r="AM1915" s="118">
        <v>29550</v>
      </c>
      <c r="AN1915" s="118">
        <v>977359</v>
      </c>
      <c r="AO1915" s="118">
        <v>6252</v>
      </c>
      <c r="AP1915" s="118">
        <f t="shared" si="29"/>
        <v>890</v>
      </c>
    </row>
    <row r="1916" spans="1:42" ht="12.75">
      <c r="A1916" s="106">
        <v>2018</v>
      </c>
      <c r="B1916" s="106">
        <v>-221838</v>
      </c>
      <c r="C1916" s="106">
        <v>0</v>
      </c>
      <c r="D1916" s="106">
        <v>221838</v>
      </c>
      <c r="E1916" s="106" t="s">
        <v>2997</v>
      </c>
      <c r="F1916" s="106" t="s">
        <v>331</v>
      </c>
      <c r="G1916" s="106" t="s">
        <v>255</v>
      </c>
      <c r="H1916" s="106">
        <v>1</v>
      </c>
      <c r="I1916" s="106" t="s">
        <v>23</v>
      </c>
      <c r="J1916" s="106">
        <v>7776</v>
      </c>
      <c r="K1916" s="106">
        <v>9186</v>
      </c>
      <c r="L1916" s="106">
        <v>9087</v>
      </c>
      <c r="M1916" s="106">
        <v>0.73</v>
      </c>
      <c r="N1916" s="106">
        <v>0.8</v>
      </c>
      <c r="O1916" s="106">
        <v>0.34</v>
      </c>
      <c r="P1916" s="106">
        <v>8347</v>
      </c>
      <c r="Q1916" s="106">
        <v>1400.3559480797537</v>
      </c>
      <c r="R1916" s="106">
        <v>0.13200819468387501</v>
      </c>
      <c r="S1916" s="106">
        <v>24977.607386591731</v>
      </c>
      <c r="T1916" s="106">
        <v>26379.089656095275</v>
      </c>
      <c r="U1916" s="106">
        <v>13962.84519470994</v>
      </c>
      <c r="V1916" s="106">
        <v>0.65944601871784403</v>
      </c>
      <c r="W1916" s="106">
        <v>84842.248231966048</v>
      </c>
      <c r="X1916" s="110">
        <v>0.60856474800807137</v>
      </c>
      <c r="Y1916" s="106">
        <v>454.72483707458366</v>
      </c>
      <c r="Z1916" s="106">
        <v>16.233888486603909</v>
      </c>
      <c r="AA1916" s="106">
        <v>63741.198619466944</v>
      </c>
      <c r="AB1916" s="106">
        <v>498.4800771053022</v>
      </c>
      <c r="AC1916" s="106">
        <v>1.5688440469561455</v>
      </c>
      <c r="AD1916" s="106">
        <v>23.673174258857557</v>
      </c>
      <c r="AE1916" s="106">
        <v>127.87110568112401</v>
      </c>
      <c r="AF1916" s="106">
        <v>-2.8666057437599767E-2</v>
      </c>
      <c r="AG1916" s="106">
        <v>6726</v>
      </c>
      <c r="AH1916" s="106">
        <v>25765.256255854409</v>
      </c>
      <c r="AI1916" s="106">
        <v>25766.816271912216</v>
      </c>
      <c r="AJ1916" s="106">
        <v>25087.396895490434</v>
      </c>
      <c r="AK1916" s="105">
        <v>19639.430349257327</v>
      </c>
      <c r="AL1916" s="119">
        <v>45552833</v>
      </c>
      <c r="AM1916" s="118">
        <v>6505</v>
      </c>
      <c r="AN1916" s="119">
        <v>209325</v>
      </c>
      <c r="AO1916" s="119">
        <v>1152</v>
      </c>
      <c r="AP1916" s="118">
        <f t="shared" si="29"/>
        <v>1050</v>
      </c>
    </row>
    <row r="1917" spans="1:42" ht="12.75">
      <c r="A1917" s="106">
        <v>2018</v>
      </c>
      <c r="B1917" s="106">
        <v>-221847</v>
      </c>
      <c r="C1917" s="106">
        <v>0</v>
      </c>
      <c r="D1917" s="106">
        <v>221847</v>
      </c>
      <c r="E1917" s="106" t="s">
        <v>2998</v>
      </c>
      <c r="F1917" s="106" t="s">
        <v>2999</v>
      </c>
      <c r="G1917" s="106" t="s">
        <v>255</v>
      </c>
      <c r="H1917" s="106">
        <v>1</v>
      </c>
      <c r="I1917" s="106" t="s">
        <v>23</v>
      </c>
      <c r="J1917" s="106">
        <v>8513</v>
      </c>
      <c r="K1917" s="106">
        <v>16891</v>
      </c>
      <c r="L1917" s="106">
        <v>12698</v>
      </c>
      <c r="M1917" s="106">
        <v>0.39</v>
      </c>
      <c r="N1917" s="106">
        <v>0.49</v>
      </c>
      <c r="O1917" s="106">
        <v>0.47</v>
      </c>
      <c r="P1917" s="106">
        <v>4828</v>
      </c>
      <c r="Q1917" s="107">
        <v>1802.0247282029418</v>
      </c>
      <c r="R1917" s="106">
        <v>0.17316069795087219</v>
      </c>
      <c r="S1917" s="106">
        <v>19915.015881475167</v>
      </c>
      <c r="T1917" s="106">
        <v>20035.629183542955</v>
      </c>
      <c r="U1917" s="106">
        <v>14199.460331115006</v>
      </c>
      <c r="V1917" s="106">
        <v>0.60598334988805269</v>
      </c>
      <c r="W1917" s="106">
        <v>91097.948359332979</v>
      </c>
      <c r="X1917" s="110">
        <v>0.60061795796917383</v>
      </c>
      <c r="Y1917" s="106">
        <v>540.99154196486654</v>
      </c>
      <c r="Z1917" s="106">
        <v>18.312296681847755</v>
      </c>
      <c r="AA1917" s="106">
        <v>51957.619667129868</v>
      </c>
      <c r="AB1917" s="106">
        <v>480.64472387332222</v>
      </c>
      <c r="AC1917" s="106">
        <v>1.9246455214972706</v>
      </c>
      <c r="AD1917" s="106">
        <v>27.55803955288048</v>
      </c>
      <c r="AE1917" s="106">
        <v>108.09984399375975</v>
      </c>
      <c r="AF1917" s="106">
        <v>3.8804799989613684E-2</v>
      </c>
      <c r="AG1917" s="106">
        <v>7296</v>
      </c>
      <c r="AH1917" s="106">
        <v>21025.028565337881</v>
      </c>
      <c r="AI1917" s="106">
        <v>21164.461415476446</v>
      </c>
      <c r="AJ1917" s="106">
        <v>20113.539117458964</v>
      </c>
      <c r="AK1917" s="104">
        <v>18127.984011937751</v>
      </c>
      <c r="AL1917" s="118">
        <v>51511774</v>
      </c>
      <c r="AM1917" s="118">
        <v>9365</v>
      </c>
      <c r="AN1917" s="118">
        <v>277168</v>
      </c>
      <c r="AO1917" s="118">
        <v>2173</v>
      </c>
      <c r="AP1917" s="118">
        <f t="shared" si="29"/>
        <v>1217</v>
      </c>
    </row>
    <row r="1918" spans="1:42" ht="12.75">
      <c r="A1918" s="106">
        <v>2018</v>
      </c>
      <c r="B1918" s="106">
        <v>-221731</v>
      </c>
      <c r="C1918" s="106">
        <v>0</v>
      </c>
      <c r="D1918" s="106">
        <v>221731</v>
      </c>
      <c r="E1918" s="106" t="s">
        <v>4203</v>
      </c>
      <c r="F1918" s="106" t="s">
        <v>227</v>
      </c>
      <c r="G1918" s="106" t="s">
        <v>255</v>
      </c>
      <c r="H1918" s="106">
        <v>7</v>
      </c>
      <c r="I1918" s="106" t="s">
        <v>3641</v>
      </c>
      <c r="J1918" s="106">
        <v>23800</v>
      </c>
      <c r="K1918" s="106">
        <v>13457</v>
      </c>
      <c r="L1918" s="106">
        <v>9629</v>
      </c>
      <c r="M1918" s="106">
        <v>0.5</v>
      </c>
      <c r="N1918" s="106">
        <v>0.61</v>
      </c>
      <c r="O1918" s="106">
        <v>1</v>
      </c>
      <c r="P1918" s="106">
        <v>13953</v>
      </c>
      <c r="Q1918" s="106">
        <v>11579.888663967611</v>
      </c>
      <c r="R1918" s="106">
        <v>0.55084460145877212</v>
      </c>
      <c r="S1918" s="106">
        <v>14395.464574898786</v>
      </c>
      <c r="T1918" s="106">
        <v>16802.862348178136</v>
      </c>
      <c r="U1918" s="106">
        <v>14036.501012145749</v>
      </c>
      <c r="V1918" s="106">
        <v>0.67268702197271535</v>
      </c>
      <c r="W1918" s="106">
        <v>52779.880597014926</v>
      </c>
      <c r="X1918" s="110">
        <v>0.42602294239920085</v>
      </c>
      <c r="Y1918" s="106">
        <v>440.56716417910445</v>
      </c>
      <c r="Z1918" s="106">
        <v>14.746268656716419</v>
      </c>
      <c r="AA1918" s="106">
        <v>58762.978813559319</v>
      </c>
      <c r="AB1918" s="106">
        <v>469.81716240937732</v>
      </c>
      <c r="AC1918" s="106">
        <v>1.7017517154342319</v>
      </c>
      <c r="AD1918" s="106">
        <v>26.251390433815352</v>
      </c>
      <c r="AE1918" s="106">
        <v>125.07627118644068</v>
      </c>
      <c r="AF1918" s="106">
        <v>-6.2262693303357909E-2</v>
      </c>
      <c r="AG1918" s="106">
        <v>22800</v>
      </c>
      <c r="AH1918" s="106">
        <v>13075.706477732794</v>
      </c>
      <c r="AI1918" s="106">
        <v>14395.464574898786</v>
      </c>
      <c r="AJ1918" s="106">
        <v>15551.13967611336</v>
      </c>
      <c r="AK1918" s="104">
        <v>14036.501012145749</v>
      </c>
      <c r="AL1918" s="118"/>
      <c r="AM1918" s="118">
        <v>935</v>
      </c>
      <c r="AN1918" s="118">
        <v>29518</v>
      </c>
      <c r="AO1918" s="118">
        <v>233</v>
      </c>
      <c r="AP1918" s="118">
        <f t="shared" si="29"/>
        <v>1000</v>
      </c>
    </row>
    <row r="1919" spans="1:42" ht="12.75">
      <c r="A1919" s="106">
        <v>2018</v>
      </c>
      <c r="B1919" s="106">
        <v>-206011</v>
      </c>
      <c r="C1919" s="106">
        <v>0</v>
      </c>
      <c r="D1919" s="106">
        <v>206011</v>
      </c>
      <c r="E1919" s="106" t="s">
        <v>3000</v>
      </c>
      <c r="F1919" s="106" t="s">
        <v>1988</v>
      </c>
      <c r="G1919" s="106" t="s">
        <v>82</v>
      </c>
      <c r="H1919" s="106">
        <v>4</v>
      </c>
      <c r="I1919" s="106" t="s">
        <v>24</v>
      </c>
      <c r="J1919" s="107">
        <v>4352</v>
      </c>
      <c r="K1919" s="107">
        <v>10221</v>
      </c>
      <c r="L1919" s="107">
        <v>9449</v>
      </c>
      <c r="M1919" s="107">
        <v>0.68</v>
      </c>
      <c r="N1919" s="107">
        <v>0.82</v>
      </c>
      <c r="O1919" s="107">
        <v>0.19</v>
      </c>
      <c r="P1919" s="107">
        <v>1070</v>
      </c>
      <c r="Q1919" s="106">
        <v>0.15188834154351397</v>
      </c>
      <c r="R1919" s="106">
        <v>2.8593530597782534E-5</v>
      </c>
      <c r="S1919" s="106">
        <v>11983.336617405583</v>
      </c>
      <c r="T1919" s="106">
        <v>8444.231527093596</v>
      </c>
      <c r="U1919" s="106">
        <v>9810.9298988228984</v>
      </c>
      <c r="V1919" s="106">
        <v>0.54141971505845254</v>
      </c>
      <c r="W1919" s="106">
        <v>17896.349999999999</v>
      </c>
      <c r="X1919" s="110">
        <v>0.3132056220499726</v>
      </c>
      <c r="Y1919" s="106">
        <v>404.65682656826561</v>
      </c>
      <c r="Z1919" s="106">
        <v>13.483394833948338</v>
      </c>
      <c r="AA1919" s="106">
        <v>32296.52058585484</v>
      </c>
      <c r="AB1919" s="106">
        <v>326.90574538398783</v>
      </c>
      <c r="AC1919" s="106">
        <v>3.0963087721529297</v>
      </c>
      <c r="AD1919" s="106">
        <v>34.938621340887636</v>
      </c>
      <c r="AE1919" s="106">
        <v>98.794594594594599</v>
      </c>
      <c r="AF1919" s="107">
        <v>0.78267975763291175</v>
      </c>
      <c r="AG1919" s="106">
        <v>3876</v>
      </c>
      <c r="AH1919" s="106">
        <v>11852.114942528735</v>
      </c>
      <c r="AI1919" s="106">
        <v>12033.551724137931</v>
      </c>
      <c r="AJ1919" s="106">
        <v>11980.105090311987</v>
      </c>
      <c r="AK1919" s="104">
        <v>10786.451559934319</v>
      </c>
      <c r="AL1919" s="119">
        <v>6429419</v>
      </c>
      <c r="AM1919" s="118">
        <v>2243</v>
      </c>
      <c r="AN1919" s="118">
        <v>36554</v>
      </c>
      <c r="AO1919" s="118">
        <v>254</v>
      </c>
      <c r="AP1919" s="118">
        <f t="shared" si="29"/>
        <v>476</v>
      </c>
    </row>
    <row r="1920" spans="1:42" ht="12.75">
      <c r="A1920" s="106">
        <v>2018</v>
      </c>
      <c r="B1920" s="106">
        <v>-228699</v>
      </c>
      <c r="C1920" s="106">
        <v>0</v>
      </c>
      <c r="D1920" s="106">
        <v>228699</v>
      </c>
      <c r="E1920" s="106" t="s">
        <v>3001</v>
      </c>
      <c r="F1920" s="106" t="s">
        <v>3002</v>
      </c>
      <c r="G1920" s="106" t="s">
        <v>60</v>
      </c>
      <c r="H1920" s="106">
        <v>4</v>
      </c>
      <c r="I1920" s="106" t="s">
        <v>24</v>
      </c>
      <c r="J1920" s="107">
        <v>2116</v>
      </c>
      <c r="K1920" s="107">
        <v>6245</v>
      </c>
      <c r="L1920" s="107">
        <v>5958</v>
      </c>
      <c r="M1920" s="107">
        <v>0.73</v>
      </c>
      <c r="N1920" s="107">
        <v>0.23</v>
      </c>
      <c r="O1920" s="107">
        <v>0.16</v>
      </c>
      <c r="P1920" s="107">
        <v>3091</v>
      </c>
      <c r="Q1920" s="106">
        <v>1608.1892414860681</v>
      </c>
      <c r="R1920" s="106">
        <v>0.41538815856749117</v>
      </c>
      <c r="S1920" s="106">
        <v>12626.410216718266</v>
      </c>
      <c r="T1920" s="106">
        <v>12466.368421052632</v>
      </c>
      <c r="U1920" s="106">
        <v>8700.0491486068113</v>
      </c>
      <c r="V1920" s="106">
        <v>0.26015306219356527</v>
      </c>
      <c r="W1920" s="106">
        <v>70689.723763570568</v>
      </c>
      <c r="X1920" s="110">
        <v>0.60639706906781021</v>
      </c>
      <c r="Y1920" s="106">
        <v>582.87218045112786</v>
      </c>
      <c r="Z1920" s="106">
        <v>19.428571428571427</v>
      </c>
      <c r="AA1920" s="106">
        <v>24758.730176211455</v>
      </c>
      <c r="AB1920" s="106">
        <v>289.9941564975104</v>
      </c>
      <c r="AC1920" s="106">
        <v>4.0389793534759493</v>
      </c>
      <c r="AD1920" s="106">
        <v>36.970684039087949</v>
      </c>
      <c r="AE1920" s="106">
        <v>85.37665198237886</v>
      </c>
      <c r="AF1920" s="107">
        <v>1.3786645203061491E-2</v>
      </c>
      <c r="AG1920" s="106">
        <v>1176</v>
      </c>
      <c r="AH1920" s="106">
        <v>10164.366486068111</v>
      </c>
      <c r="AI1920" s="106">
        <v>10164.487616099072</v>
      </c>
      <c r="AJ1920" s="106">
        <v>12611.756965944272</v>
      </c>
      <c r="AK1920" s="104">
        <v>11274.753482972135</v>
      </c>
      <c r="AL1920" s="118">
        <v>15816271</v>
      </c>
      <c r="AM1920" s="118">
        <v>4250</v>
      </c>
      <c r="AN1920" s="118">
        <v>77522</v>
      </c>
      <c r="AO1920" s="118">
        <v>497</v>
      </c>
      <c r="AP1920" s="118">
        <f t="shared" si="29"/>
        <v>940</v>
      </c>
    </row>
    <row r="1921" spans="1:42" ht="12.75">
      <c r="A1921" s="106">
        <v>2018</v>
      </c>
      <c r="B1921" s="106">
        <v>-226152</v>
      </c>
      <c r="C1921" s="106">
        <v>0</v>
      </c>
      <c r="D1921" s="106">
        <v>226152</v>
      </c>
      <c r="E1921" s="106" t="s">
        <v>3003</v>
      </c>
      <c r="F1921" s="106" t="s">
        <v>1760</v>
      </c>
      <c r="G1921" s="106" t="s">
        <v>60</v>
      </c>
      <c r="H1921" s="106">
        <v>2</v>
      </c>
      <c r="I1921" s="106" t="s">
        <v>25</v>
      </c>
      <c r="J1921" s="106">
        <v>7142</v>
      </c>
      <c r="K1921" s="106">
        <v>4744</v>
      </c>
      <c r="L1921" s="106">
        <v>3764</v>
      </c>
      <c r="M1921" s="106">
        <v>0.63</v>
      </c>
      <c r="N1921" s="106">
        <v>0.23</v>
      </c>
      <c r="O1921" s="106">
        <v>0.36</v>
      </c>
      <c r="P1921" s="106">
        <v>3358</v>
      </c>
      <c r="Q1921" s="106">
        <v>1533.171220976149</v>
      </c>
      <c r="R1921" s="106">
        <v>0.17820957386709446</v>
      </c>
      <c r="S1921" s="106">
        <v>17830.661506870951</v>
      </c>
      <c r="T1921" s="106">
        <v>19759.222239772549</v>
      </c>
      <c r="U1921" s="106">
        <v>11475.269465540412</v>
      </c>
      <c r="V1921" s="106">
        <v>0.61610936710205966</v>
      </c>
      <c r="W1921" s="106">
        <v>81151.394736842107</v>
      </c>
      <c r="X1921" s="110">
        <v>0.46837211011901325</v>
      </c>
      <c r="Y1921" s="106">
        <v>695.91791044776119</v>
      </c>
      <c r="Z1921" s="106">
        <v>23.623134328358208</v>
      </c>
      <c r="AA1921" s="106">
        <v>49455.364864762661</v>
      </c>
      <c r="AB1921" s="106">
        <v>389.53133403931429</v>
      </c>
      <c r="AC1921" s="106">
        <v>2.0220253206796337</v>
      </c>
      <c r="AD1921" s="106">
        <v>23.473953339725149</v>
      </c>
      <c r="AE1921" s="106">
        <v>126.96119809394146</v>
      </c>
      <c r="AF1921" s="106">
        <v>7.7177108813974438E-2</v>
      </c>
      <c r="AG1921" s="106">
        <v>4248</v>
      </c>
      <c r="AH1921" s="106">
        <v>16971.569420312746</v>
      </c>
      <c r="AI1921" s="106">
        <v>17464.696098562628</v>
      </c>
      <c r="AJ1921" s="106">
        <v>18979.151950718686</v>
      </c>
      <c r="AK1921" s="104">
        <v>15944.614910756594</v>
      </c>
      <c r="AL1921" s="118">
        <v>37171915</v>
      </c>
      <c r="AM1921" s="118">
        <v>6799</v>
      </c>
      <c r="AN1921" s="118">
        <v>186506</v>
      </c>
      <c r="AO1921" s="118">
        <v>1194</v>
      </c>
      <c r="AP1921" s="118">
        <f t="shared" si="29"/>
        <v>2894</v>
      </c>
    </row>
    <row r="1922" spans="1:42">
      <c r="A1922" s="106">
        <v>2018</v>
      </c>
      <c r="B1922" s="106">
        <v>-483036</v>
      </c>
      <c r="C1922" s="106">
        <v>0</v>
      </c>
      <c r="D1922" s="106">
        <v>483036</v>
      </c>
      <c r="E1922" s="106" t="s">
        <v>3004</v>
      </c>
      <c r="F1922" s="106" t="s">
        <v>683</v>
      </c>
      <c r="G1922" s="106" t="s">
        <v>60</v>
      </c>
      <c r="H1922" s="106">
        <v>2</v>
      </c>
      <c r="I1922" s="106" t="s">
        <v>25</v>
      </c>
      <c r="J1922" s="107">
        <v>6387</v>
      </c>
      <c r="K1922" s="107"/>
      <c r="L1922" s="107"/>
      <c r="M1922" s="107"/>
      <c r="N1922" s="107"/>
      <c r="O1922" s="107"/>
      <c r="P1922" s="107"/>
      <c r="Q1922" s="107">
        <v>1406.5061179087875</v>
      </c>
      <c r="R1922" s="107">
        <v>0.17681165317593175</v>
      </c>
      <c r="S1922" s="107">
        <v>20086.284760845385</v>
      </c>
      <c r="T1922" s="107">
        <v>23522.051167964404</v>
      </c>
      <c r="U1922" s="107">
        <v>17018.07789592574</v>
      </c>
      <c r="V1922" s="107">
        <v>0.38478616399401372</v>
      </c>
      <c r="W1922" s="107">
        <v>72726.434530706829</v>
      </c>
      <c r="X1922" s="111">
        <v>0.49467157979798287</v>
      </c>
      <c r="Y1922" s="107">
        <v>383.47499999999997</v>
      </c>
      <c r="Z1922" s="107">
        <v>13.484999999999999</v>
      </c>
      <c r="AA1922" s="107">
        <v>36513.727991496999</v>
      </c>
      <c r="AB1922" s="107">
        <v>598.44521918393275</v>
      </c>
      <c r="AC1922" s="107">
        <v>2.7386959782163887</v>
      </c>
      <c r="AD1922" s="107">
        <v>54.950819672131146</v>
      </c>
      <c r="AE1922" s="107">
        <v>61.014319809069214</v>
      </c>
      <c r="AF1922" s="107">
        <v>-2.9549506328477769E-2</v>
      </c>
      <c r="AG1922" s="107">
        <v>4301</v>
      </c>
      <c r="AH1922" s="107">
        <v>17788.545606229145</v>
      </c>
      <c r="AI1922" s="107">
        <v>18033.963848720799</v>
      </c>
      <c r="AJ1922" s="107">
        <v>20644.433815350389</v>
      </c>
      <c r="AK1922" s="104">
        <v>20509.020022246939</v>
      </c>
      <c r="AL1922" s="119">
        <v>18821974</v>
      </c>
      <c r="AM1922" s="118">
        <v>1940</v>
      </c>
      <c r="AN1922" s="118">
        <v>51130</v>
      </c>
      <c r="AO1922" s="118">
        <v>635</v>
      </c>
      <c r="AP1922" s="118">
        <f t="shared" si="29"/>
        <v>2086</v>
      </c>
    </row>
    <row r="1923" spans="1:42" ht="12.75">
      <c r="A1923" s="106">
        <v>2018</v>
      </c>
      <c r="B1923" s="106">
        <v>-228723</v>
      </c>
      <c r="C1923" s="106">
        <v>0</v>
      </c>
      <c r="D1923" s="106">
        <v>228723</v>
      </c>
      <c r="E1923" s="106" t="s">
        <v>3005</v>
      </c>
      <c r="F1923" s="106" t="s">
        <v>3006</v>
      </c>
      <c r="G1923" s="106" t="s">
        <v>60</v>
      </c>
      <c r="H1923" s="106">
        <v>1</v>
      </c>
      <c r="I1923" s="106" t="s">
        <v>23</v>
      </c>
      <c r="J1923" s="106">
        <v>10294</v>
      </c>
      <c r="K1923" s="106">
        <v>19118</v>
      </c>
      <c r="L1923" s="106">
        <v>11319</v>
      </c>
      <c r="M1923" s="106">
        <v>0.23</v>
      </c>
      <c r="N1923" s="106">
        <v>0.32</v>
      </c>
      <c r="O1923" s="106">
        <v>0.54</v>
      </c>
      <c r="P1923" s="107">
        <v>5438</v>
      </c>
      <c r="Q1923" s="107">
        <v>3058.954230807265</v>
      </c>
      <c r="R1923" s="106">
        <v>0.22436004270499088</v>
      </c>
      <c r="S1923" s="106">
        <v>46921.788542044371</v>
      </c>
      <c r="T1923" s="106">
        <v>52782.471997890367</v>
      </c>
      <c r="U1923" s="106">
        <v>20626.09166009093</v>
      </c>
      <c r="V1923" s="106">
        <v>0.51270870996934992</v>
      </c>
      <c r="W1923" s="106">
        <v>158519.35760448084</v>
      </c>
      <c r="X1923" s="110">
        <v>0.4978370202265725</v>
      </c>
      <c r="Y1923" s="106">
        <v>455.99158827785817</v>
      </c>
      <c r="Z1923" s="106">
        <v>16.46363965267728</v>
      </c>
      <c r="AA1923" s="106">
        <v>69076.971098104375</v>
      </c>
      <c r="AB1923" s="106">
        <v>744.70790528685359</v>
      </c>
      <c r="AC1923" s="106">
        <v>1.4476604635425918</v>
      </c>
      <c r="AD1923" s="106">
        <v>29.131693198263385</v>
      </c>
      <c r="AE1923" s="107">
        <v>92.757134183363689</v>
      </c>
      <c r="AF1923" s="106">
        <v>5.6885248875768214E-2</v>
      </c>
      <c r="AG1923" s="106">
        <v>7023</v>
      </c>
      <c r="AH1923" s="106">
        <v>43287.565926096846</v>
      </c>
      <c r="AI1923" s="106">
        <v>45834.061261825496</v>
      </c>
      <c r="AJ1923" s="106">
        <v>49781.177736757098</v>
      </c>
      <c r="AK1923" s="104">
        <v>43083.864258166592</v>
      </c>
      <c r="AL1923" s="118">
        <v>734942391</v>
      </c>
      <c r="AM1923" s="118">
        <v>53065</v>
      </c>
      <c r="AN1923" s="118">
        <v>1680481</v>
      </c>
      <c r="AO1923" s="118">
        <v>12475</v>
      </c>
      <c r="AP1923" s="118">
        <f t="shared" si="29"/>
        <v>3271</v>
      </c>
    </row>
    <row r="1924" spans="1:42" ht="12.75">
      <c r="A1924" s="106">
        <v>2018</v>
      </c>
      <c r="B1924" s="106">
        <v>-224554</v>
      </c>
      <c r="C1924" s="106">
        <v>0</v>
      </c>
      <c r="D1924" s="106">
        <v>224554</v>
      </c>
      <c r="E1924" s="106" t="s">
        <v>3007</v>
      </c>
      <c r="F1924" s="106" t="s">
        <v>3008</v>
      </c>
      <c r="G1924" s="106" t="s">
        <v>60</v>
      </c>
      <c r="H1924" s="106">
        <v>1</v>
      </c>
      <c r="I1924" s="106" t="s">
        <v>23</v>
      </c>
      <c r="J1924" s="106">
        <v>8434</v>
      </c>
      <c r="K1924" s="106">
        <v>11796</v>
      </c>
      <c r="L1924" s="106">
        <v>9964</v>
      </c>
      <c r="M1924" s="106">
        <v>0.56000000000000005</v>
      </c>
      <c r="N1924" s="106">
        <v>0.64</v>
      </c>
      <c r="O1924" s="106">
        <v>0.38</v>
      </c>
      <c r="P1924" s="107">
        <v>4889</v>
      </c>
      <c r="Q1924" s="107">
        <v>1473.9709016393442</v>
      </c>
      <c r="R1924" s="106">
        <v>0.15376742403963822</v>
      </c>
      <c r="S1924" s="106">
        <v>17938.737807377049</v>
      </c>
      <c r="T1924" s="106">
        <v>19600.597745901639</v>
      </c>
      <c r="U1924" s="106">
        <v>11470.290351781723</v>
      </c>
      <c r="V1924" s="106">
        <v>0.7071961685855872</v>
      </c>
      <c r="W1924" s="106">
        <v>95691.029958677682</v>
      </c>
      <c r="X1924" s="110">
        <v>0.48420297423808284</v>
      </c>
      <c r="Y1924" s="106">
        <v>602.48482456140357</v>
      </c>
      <c r="Z1924" s="106">
        <v>21.403508771929825</v>
      </c>
      <c r="AA1924" s="106">
        <v>32609.971987588007</v>
      </c>
      <c r="AB1924" s="106">
        <v>407.4865459717833</v>
      </c>
      <c r="AC1924" s="106">
        <v>3.066546639109716</v>
      </c>
      <c r="AD1924" s="106">
        <v>35.805173133083017</v>
      </c>
      <c r="AE1924" s="107">
        <v>80.027113311972045</v>
      </c>
      <c r="AF1924" s="106">
        <v>2.1589730482823196E-2</v>
      </c>
      <c r="AG1924" s="106">
        <v>4790</v>
      </c>
      <c r="AH1924" s="106">
        <v>17080.640676229508</v>
      </c>
      <c r="AI1924" s="106">
        <v>17269.904303278687</v>
      </c>
      <c r="AJ1924" s="106">
        <v>18879.611372950818</v>
      </c>
      <c r="AK1924" s="104">
        <v>13813.844364754099</v>
      </c>
      <c r="AL1924" s="118">
        <v>52227818</v>
      </c>
      <c r="AM1924" s="118">
        <v>8494</v>
      </c>
      <c r="AN1924" s="118">
        <v>274733.08</v>
      </c>
      <c r="AO1924" s="118">
        <v>1752</v>
      </c>
      <c r="AP1924" s="118">
        <f t="shared" si="29"/>
        <v>3644</v>
      </c>
    </row>
    <row r="1925" spans="1:42" ht="12.75">
      <c r="A1925" s="106">
        <v>2018</v>
      </c>
      <c r="B1925" s="106">
        <v>-224147</v>
      </c>
      <c r="C1925" s="106">
        <v>0</v>
      </c>
      <c r="D1925" s="106">
        <v>224147</v>
      </c>
      <c r="E1925" s="106" t="s">
        <v>3009</v>
      </c>
      <c r="F1925" s="106" t="s">
        <v>1020</v>
      </c>
      <c r="G1925" s="106" t="s">
        <v>60</v>
      </c>
      <c r="H1925" s="106">
        <v>1</v>
      </c>
      <c r="I1925" s="106" t="s">
        <v>23</v>
      </c>
      <c r="J1925" s="107">
        <v>8750</v>
      </c>
      <c r="K1925" s="107">
        <v>11381</v>
      </c>
      <c r="L1925" s="107">
        <v>14356</v>
      </c>
      <c r="M1925" s="107">
        <v>0.46</v>
      </c>
      <c r="N1925" s="107">
        <v>0.56000000000000005</v>
      </c>
      <c r="O1925" s="107">
        <v>0.06</v>
      </c>
      <c r="P1925" s="107">
        <v>1881</v>
      </c>
      <c r="Q1925" s="106">
        <v>1498.1520667425104</v>
      </c>
      <c r="R1925" s="106">
        <v>0.14413002726352275</v>
      </c>
      <c r="S1925" s="106">
        <v>21537.353337125522</v>
      </c>
      <c r="T1925" s="106">
        <v>21159.609594235873</v>
      </c>
      <c r="U1925" s="106">
        <v>11283.771503754942</v>
      </c>
      <c r="V1925" s="106">
        <v>0.78841510416224458</v>
      </c>
      <c r="W1925" s="106">
        <v>90187.550013126805</v>
      </c>
      <c r="X1925" s="110">
        <v>0.51304863398016809</v>
      </c>
      <c r="Y1925" s="106">
        <v>533.41806601042276</v>
      </c>
      <c r="Z1925" s="106">
        <v>18.323103647944414</v>
      </c>
      <c r="AA1925" s="106">
        <v>49883.160864043224</v>
      </c>
      <c r="AB1925" s="106">
        <v>387.60163552275247</v>
      </c>
      <c r="AC1925" s="106">
        <v>2.004684512125253</v>
      </c>
      <c r="AD1925" s="106">
        <v>22.195348837209302</v>
      </c>
      <c r="AE1925" s="106">
        <v>128.6969823973177</v>
      </c>
      <c r="AF1925" s="107">
        <v>4.4018353433440405E-2</v>
      </c>
      <c r="AG1925" s="106">
        <v>4890</v>
      </c>
      <c r="AH1925" s="106">
        <v>20060.534129692835</v>
      </c>
      <c r="AI1925" s="106">
        <v>20749.135760333713</v>
      </c>
      <c r="AJ1925" s="106">
        <v>22318.859689040575</v>
      </c>
      <c r="AK1925" s="104">
        <v>17358.884812286691</v>
      </c>
      <c r="AL1925" s="118">
        <v>68700703</v>
      </c>
      <c r="AM1925" s="118">
        <v>10174</v>
      </c>
      <c r="AN1925" s="118">
        <v>307071</v>
      </c>
      <c r="AO1925" s="118">
        <v>1747</v>
      </c>
      <c r="AP1925" s="118">
        <f t="shared" si="29"/>
        <v>3860</v>
      </c>
    </row>
    <row r="1926" spans="1:42" ht="12.75">
      <c r="A1926" s="106">
        <v>2018</v>
      </c>
      <c r="B1926" s="106">
        <v>-228705</v>
      </c>
      <c r="C1926" s="106">
        <v>0</v>
      </c>
      <c r="D1926" s="106">
        <v>228705</v>
      </c>
      <c r="E1926" s="106" t="s">
        <v>3010</v>
      </c>
      <c r="F1926" s="106" t="s">
        <v>3011</v>
      </c>
      <c r="G1926" s="106" t="s">
        <v>60</v>
      </c>
      <c r="H1926" s="106">
        <v>1</v>
      </c>
      <c r="I1926" s="106" t="s">
        <v>23</v>
      </c>
      <c r="J1926" s="107">
        <v>8462</v>
      </c>
      <c r="K1926" s="107">
        <v>14329</v>
      </c>
      <c r="L1926" s="107">
        <v>12209</v>
      </c>
      <c r="M1926" s="107">
        <v>0.56999999999999995</v>
      </c>
      <c r="N1926" s="107">
        <v>0.68</v>
      </c>
      <c r="O1926" s="107">
        <v>0.5</v>
      </c>
      <c r="P1926" s="107">
        <v>3601</v>
      </c>
      <c r="Q1926" s="106">
        <v>2610.3124469589816</v>
      </c>
      <c r="R1926" s="106">
        <v>0.28906228047095628</v>
      </c>
      <c r="S1926" s="106">
        <v>21978.188684582743</v>
      </c>
      <c r="T1926" s="106">
        <v>24732.857567185289</v>
      </c>
      <c r="U1926" s="106">
        <v>13275.554837835412</v>
      </c>
      <c r="V1926" s="106">
        <v>0.48359293274744503</v>
      </c>
      <c r="W1926" s="106">
        <v>91066.258403361338</v>
      </c>
      <c r="X1926" s="110">
        <v>0.49579338888947888</v>
      </c>
      <c r="Y1926" s="106">
        <v>489.58173076923077</v>
      </c>
      <c r="Z1926" s="106">
        <v>16.995192307692307</v>
      </c>
      <c r="AA1926" s="106">
        <v>46076.667993861738</v>
      </c>
      <c r="AB1926" s="106">
        <v>460.84360032355113</v>
      </c>
      <c r="AC1926" s="106">
        <v>2.1702958211588097</v>
      </c>
      <c r="AD1926" s="106">
        <v>28.682061391157422</v>
      </c>
      <c r="AE1926" s="106">
        <v>99.983308787432492</v>
      </c>
      <c r="AF1926" s="107">
        <v>-3.3116141913592623E-3</v>
      </c>
      <c r="AG1926" s="106">
        <v>4366</v>
      </c>
      <c r="AH1926" s="106">
        <v>19303.702121640734</v>
      </c>
      <c r="AI1926" s="106">
        <v>20320.048797736916</v>
      </c>
      <c r="AJ1926" s="106">
        <v>22929.01315417256</v>
      </c>
      <c r="AK1926" s="104">
        <v>19031.51089108911</v>
      </c>
      <c r="AL1926" s="118">
        <v>48177031</v>
      </c>
      <c r="AM1926" s="118">
        <v>6785</v>
      </c>
      <c r="AN1926" s="118">
        <v>203666</v>
      </c>
      <c r="AO1926" s="118">
        <v>1008</v>
      </c>
      <c r="AP1926" s="118">
        <f t="shared" ref="AP1926:AP1989" si="30">J1926-AG1926</f>
        <v>4096</v>
      </c>
    </row>
    <row r="1927" spans="1:42" ht="12.75">
      <c r="A1927" s="106">
        <v>2018</v>
      </c>
      <c r="B1927" s="106">
        <v>-224545</v>
      </c>
      <c r="C1927" s="106">
        <v>0</v>
      </c>
      <c r="D1927" s="106">
        <v>224545</v>
      </c>
      <c r="E1927" s="106" t="s">
        <v>4204</v>
      </c>
      <c r="F1927" s="106" t="s">
        <v>3002</v>
      </c>
      <c r="G1927" s="106" t="s">
        <v>60</v>
      </c>
      <c r="H1927" s="106">
        <v>2</v>
      </c>
      <c r="I1927" s="106" t="s">
        <v>25</v>
      </c>
      <c r="J1927" s="106">
        <v>6963</v>
      </c>
      <c r="K1927" s="106">
        <v>11777</v>
      </c>
      <c r="L1927" s="106">
        <v>8436</v>
      </c>
      <c r="M1927" s="106">
        <v>0.49</v>
      </c>
      <c r="N1927" s="106">
        <v>0.56000000000000005</v>
      </c>
      <c r="O1927" s="106">
        <v>0.47</v>
      </c>
      <c r="P1927" s="106">
        <v>4763</v>
      </c>
      <c r="Q1927" s="106">
        <v>444.05048076923077</v>
      </c>
      <c r="R1927" s="106">
        <v>5.2403902243211835E-2</v>
      </c>
      <c r="S1927" s="106">
        <v>25143.34375</v>
      </c>
      <c r="T1927" s="106">
        <v>28587.06670673077</v>
      </c>
      <c r="U1927" s="106">
        <v>20071.200165685874</v>
      </c>
      <c r="V1927" s="106">
        <v>0.40005401952057257</v>
      </c>
      <c r="W1927" s="106">
        <v>87928.713136729231</v>
      </c>
      <c r="X1927" s="110">
        <v>0.45964799801147299</v>
      </c>
      <c r="Y1927" s="106">
        <v>487.34343434343435</v>
      </c>
      <c r="Z1927" s="106">
        <v>16.80808080808081</v>
      </c>
      <c r="AA1927" s="106">
        <v>69725.421869940066</v>
      </c>
      <c r="AB1927" s="106">
        <v>692.23945687195669</v>
      </c>
      <c r="AC1927" s="106">
        <v>1.4341971309479</v>
      </c>
      <c r="AD1927" s="106">
        <v>30.548469387755102</v>
      </c>
      <c r="AE1927" s="106">
        <v>100.72442588726514</v>
      </c>
      <c r="AF1927" s="106">
        <v>1.9248794827389376E-3</v>
      </c>
      <c r="AG1927" s="106">
        <v>5178</v>
      </c>
      <c r="AH1927" s="106">
        <v>24221.46514423077</v>
      </c>
      <c r="AI1927" s="106">
        <v>24558.92548076923</v>
      </c>
      <c r="AJ1927" s="106">
        <v>26750.436899038461</v>
      </c>
      <c r="AK1927" s="104">
        <v>21642.614783653848</v>
      </c>
      <c r="AL1927" s="118">
        <v>23181361</v>
      </c>
      <c r="AM1927" s="118">
        <v>1610</v>
      </c>
      <c r="AN1927" s="118">
        <v>48247</v>
      </c>
      <c r="AO1927" s="118">
        <v>363</v>
      </c>
      <c r="AP1927" s="118">
        <f t="shared" si="30"/>
        <v>1785</v>
      </c>
    </row>
    <row r="1928" spans="1:42" ht="12.75">
      <c r="A1928" s="106">
        <v>2018</v>
      </c>
      <c r="B1928" s="106">
        <v>-228875</v>
      </c>
      <c r="C1928" s="106">
        <v>0</v>
      </c>
      <c r="D1928" s="106">
        <v>228875</v>
      </c>
      <c r="E1928" s="106" t="s">
        <v>3012</v>
      </c>
      <c r="F1928" s="106" t="s">
        <v>2988</v>
      </c>
      <c r="G1928" s="106" t="s">
        <v>60</v>
      </c>
      <c r="H1928" s="106">
        <v>5</v>
      </c>
      <c r="I1928" s="106" t="s">
        <v>3639</v>
      </c>
      <c r="J1928" s="106">
        <v>44760</v>
      </c>
      <c r="K1928" s="107">
        <v>37344</v>
      </c>
      <c r="L1928" s="107">
        <v>24370</v>
      </c>
      <c r="M1928" s="106">
        <v>0.12</v>
      </c>
      <c r="N1928" s="106">
        <v>0.3</v>
      </c>
      <c r="O1928" s="106">
        <v>0.69</v>
      </c>
      <c r="P1928" s="107">
        <v>24195</v>
      </c>
      <c r="Q1928" s="106">
        <v>15649.365733922436</v>
      </c>
      <c r="R1928" s="106">
        <v>0.35548798846057467</v>
      </c>
      <c r="S1928" s="106">
        <v>49274.030436917034</v>
      </c>
      <c r="T1928" s="106">
        <v>49054.000981836034</v>
      </c>
      <c r="U1928" s="106">
        <v>30155.751933896961</v>
      </c>
      <c r="V1928" s="106">
        <v>0.94087658974450361</v>
      </c>
      <c r="W1928" s="106">
        <v>123340.16773535412</v>
      </c>
      <c r="X1928" s="110">
        <v>0.56467495371436005</v>
      </c>
      <c r="Y1928" s="106">
        <v>364.57503152585122</v>
      </c>
      <c r="Z1928" s="106">
        <v>12.843631778058008</v>
      </c>
      <c r="AA1928" s="106">
        <v>115769.44344015853</v>
      </c>
      <c r="AB1928" s="106">
        <v>1062.3584731198741</v>
      </c>
      <c r="AC1928" s="106">
        <v>0.86378578861951782</v>
      </c>
      <c r="AD1928" s="106">
        <v>25.890504537913532</v>
      </c>
      <c r="AE1928" s="106">
        <v>108.97399170750094</v>
      </c>
      <c r="AF1928" s="106">
        <v>8.4616763607219481E-2</v>
      </c>
      <c r="AG1928" s="106">
        <v>44670</v>
      </c>
      <c r="AH1928" s="106">
        <v>42152.909769268532</v>
      </c>
      <c r="AI1928" s="106">
        <v>49839.704074619542</v>
      </c>
      <c r="AJ1928" s="106">
        <v>67157.29013254786</v>
      </c>
      <c r="AK1928" s="104">
        <v>31412.763868433973</v>
      </c>
      <c r="AL1928" s="118"/>
      <c r="AM1928" s="118">
        <v>9011</v>
      </c>
      <c r="AN1928" s="118">
        <v>289108</v>
      </c>
      <c r="AO1928" s="118">
        <v>2028</v>
      </c>
      <c r="AP1928" s="118">
        <f t="shared" si="30"/>
        <v>90</v>
      </c>
    </row>
    <row r="1929" spans="1:42" ht="12.75">
      <c r="A1929" s="106">
        <v>2018</v>
      </c>
      <c r="B1929" s="106">
        <v>-228884</v>
      </c>
      <c r="C1929" s="106">
        <v>0</v>
      </c>
      <c r="D1929" s="106">
        <v>228884</v>
      </c>
      <c r="E1929" s="106" t="s">
        <v>3013</v>
      </c>
      <c r="F1929" s="106" t="s">
        <v>3014</v>
      </c>
      <c r="G1929" s="106" t="s">
        <v>60</v>
      </c>
      <c r="H1929" s="106">
        <v>7</v>
      </c>
      <c r="I1929" s="106" t="s">
        <v>3641</v>
      </c>
      <c r="J1929" s="106">
        <v>10008</v>
      </c>
      <c r="K1929" s="107">
        <v>19520</v>
      </c>
      <c r="L1929" s="107">
        <v>19205</v>
      </c>
      <c r="M1929" s="107">
        <v>0.71</v>
      </c>
      <c r="N1929" s="107">
        <v>0.89</v>
      </c>
      <c r="O1929" s="107">
        <v>0.56000000000000005</v>
      </c>
      <c r="P1929" s="107">
        <v>2167</v>
      </c>
      <c r="Q1929" s="107">
        <v>843.58682634730542</v>
      </c>
      <c r="R1929" s="106">
        <v>9.7351348501860932E-2</v>
      </c>
      <c r="S1929" s="106">
        <v>13178.004277159966</v>
      </c>
      <c r="T1929" s="106">
        <v>13863.245508982036</v>
      </c>
      <c r="U1929" s="106">
        <v>11072.184773310522</v>
      </c>
      <c r="V1929" s="106">
        <v>0.70643666293142504</v>
      </c>
      <c r="W1929" s="106">
        <v>43256.01686746988</v>
      </c>
      <c r="X1929" s="110">
        <v>0.36922741722362656</v>
      </c>
      <c r="Y1929" s="106">
        <v>869.50413223140492</v>
      </c>
      <c r="Z1929" s="106">
        <v>28.983471074380162</v>
      </c>
      <c r="AA1929" s="106">
        <v>123270.3238095238</v>
      </c>
      <c r="AB1929" s="106">
        <v>369.07282577701739</v>
      </c>
      <c r="AC1929" s="106">
        <v>0.81122525608449836</v>
      </c>
      <c r="AD1929" s="106">
        <v>10.9375</v>
      </c>
      <c r="AE1929" s="107">
        <v>334</v>
      </c>
      <c r="AF1929" s="106">
        <v>-2.3337327645988372E-2</v>
      </c>
      <c r="AG1929" s="106">
        <v>8208</v>
      </c>
      <c r="AH1929" s="106">
        <v>12507.79127459367</v>
      </c>
      <c r="AI1929" s="106">
        <v>13253.314798973481</v>
      </c>
      <c r="AJ1929" s="106">
        <v>13530.196749358425</v>
      </c>
      <c r="AK1929" s="104">
        <v>11072.184773310522</v>
      </c>
      <c r="AM1929" s="118">
        <v>983</v>
      </c>
      <c r="AN1929" s="118">
        <v>35070</v>
      </c>
      <c r="AO1929" s="118">
        <v>105</v>
      </c>
      <c r="AP1929" s="118">
        <f t="shared" si="30"/>
        <v>1800</v>
      </c>
    </row>
    <row r="1930" spans="1:42" ht="12.75">
      <c r="A1930" s="106">
        <v>2018</v>
      </c>
      <c r="B1930" s="106">
        <v>-228981</v>
      </c>
      <c r="C1930" s="106">
        <v>0</v>
      </c>
      <c r="D1930" s="106">
        <v>228981</v>
      </c>
      <c r="E1930" s="106" t="s">
        <v>3015</v>
      </c>
      <c r="F1930" s="106" t="s">
        <v>3016</v>
      </c>
      <c r="G1930" s="106" t="s">
        <v>60</v>
      </c>
      <c r="H1930" s="106">
        <v>7</v>
      </c>
      <c r="I1930" s="106" t="s">
        <v>3641</v>
      </c>
      <c r="J1930" s="106">
        <v>29960</v>
      </c>
      <c r="K1930" s="106">
        <v>19507</v>
      </c>
      <c r="L1930" s="106">
        <v>15749</v>
      </c>
      <c r="M1930" s="106">
        <v>0.35</v>
      </c>
      <c r="N1930" s="106">
        <v>0.74</v>
      </c>
      <c r="O1930" s="106">
        <v>1</v>
      </c>
      <c r="P1930" s="106">
        <v>18895</v>
      </c>
      <c r="Q1930" s="106">
        <v>15999.237262357414</v>
      </c>
      <c r="R1930" s="106">
        <v>0.56429203279562012</v>
      </c>
      <c r="S1930" s="106">
        <v>24982.330038022814</v>
      </c>
      <c r="T1930" s="106">
        <v>29264.768060836501</v>
      </c>
      <c r="U1930" s="106">
        <v>24009.333245540467</v>
      </c>
      <c r="V1930" s="106">
        <v>0.51453007161984343</v>
      </c>
      <c r="W1930" s="106">
        <v>77758.173228346452</v>
      </c>
      <c r="X1930" s="110">
        <v>0.51322632724902861</v>
      </c>
      <c r="Y1930" s="106">
        <v>403.95876288659792</v>
      </c>
      <c r="Z1930" s="106">
        <v>13.556701030927835</v>
      </c>
      <c r="AA1930" s="106">
        <v>120966.56405320198</v>
      </c>
      <c r="AB1930" s="106">
        <v>805.74400821472318</v>
      </c>
      <c r="AC1930" s="106">
        <v>0.82667471613080856</v>
      </c>
      <c r="AD1930" s="106">
        <v>19.205298013245034</v>
      </c>
      <c r="AE1930" s="106">
        <v>150.13026819923371</v>
      </c>
      <c r="AF1930" s="106">
        <v>1.1172227047558613E-2</v>
      </c>
      <c r="AG1930" s="106">
        <v>29650</v>
      </c>
      <c r="AH1930" s="106">
        <v>21614.402281368821</v>
      </c>
      <c r="AI1930" s="106">
        <v>26393.383269961978</v>
      </c>
      <c r="AJ1930" s="106">
        <v>30349.136882129278</v>
      </c>
      <c r="AK1930" s="104">
        <v>24867.861596958173</v>
      </c>
      <c r="AM1930" s="118">
        <v>1359</v>
      </c>
      <c r="AN1930" s="118">
        <v>39184</v>
      </c>
      <c r="AO1930" s="118">
        <v>237</v>
      </c>
      <c r="AP1930" s="118">
        <f t="shared" si="30"/>
        <v>310</v>
      </c>
    </row>
    <row r="1931" spans="1:42" ht="12.75">
      <c r="A1931" s="106">
        <v>2018</v>
      </c>
      <c r="B1931" s="106">
        <v>-229063</v>
      </c>
      <c r="C1931" s="106">
        <v>0</v>
      </c>
      <c r="D1931" s="106">
        <v>229063</v>
      </c>
      <c r="E1931" s="106" t="s">
        <v>3017</v>
      </c>
      <c r="F1931" s="106" t="s">
        <v>1518</v>
      </c>
      <c r="G1931" s="106" t="s">
        <v>60</v>
      </c>
      <c r="H1931" s="106">
        <v>1</v>
      </c>
      <c r="I1931" s="106" t="s">
        <v>23</v>
      </c>
      <c r="J1931" s="106">
        <v>8638</v>
      </c>
      <c r="K1931" s="106">
        <v>14741</v>
      </c>
      <c r="L1931" s="106">
        <v>19895</v>
      </c>
      <c r="M1931" s="106">
        <v>0.79</v>
      </c>
      <c r="N1931" s="106">
        <v>0.79</v>
      </c>
      <c r="O1931" s="106">
        <v>0.26</v>
      </c>
      <c r="P1931" s="106">
        <v>4632</v>
      </c>
      <c r="Q1931" s="106">
        <v>2140.6330688398025</v>
      </c>
      <c r="R1931" s="106">
        <v>0.17982318826138866</v>
      </c>
      <c r="S1931" s="106">
        <v>25436.490992923013</v>
      </c>
      <c r="T1931" s="106">
        <v>22755.341625562942</v>
      </c>
      <c r="U1931" s="106">
        <v>16305.553335646697</v>
      </c>
      <c r="V1931" s="106">
        <v>0.59878164912622722</v>
      </c>
      <c r="W1931" s="106">
        <v>94056.247954866005</v>
      </c>
      <c r="X1931" s="110">
        <v>0.52372567338319076</v>
      </c>
      <c r="Y1931" s="106">
        <v>474.02878684030162</v>
      </c>
      <c r="Z1931" s="106">
        <v>19.176148046607267</v>
      </c>
      <c r="AA1931" s="106">
        <v>92384.927344010386</v>
      </c>
      <c r="AB1931" s="106">
        <v>659.61754523476202</v>
      </c>
      <c r="AC1931" s="106">
        <v>1.0824276521605483</v>
      </c>
      <c r="AD1931" s="106">
        <v>18.099846052342201</v>
      </c>
      <c r="AE1931" s="106">
        <v>140.05832320777643</v>
      </c>
      <c r="AF1931" s="106">
        <v>0.25278803174723152</v>
      </c>
      <c r="AG1931" s="106">
        <v>6942</v>
      </c>
      <c r="AH1931" s="106">
        <v>23855.250268067768</v>
      </c>
      <c r="AI1931" s="106">
        <v>24230.164915290585</v>
      </c>
      <c r="AJ1931" s="106">
        <v>25942.065837443704</v>
      </c>
      <c r="AK1931" s="104">
        <v>19331.988419472444</v>
      </c>
      <c r="AL1931" s="119">
        <v>66889962</v>
      </c>
      <c r="AM1931" s="118">
        <v>7967</v>
      </c>
      <c r="AN1931" s="118">
        <v>230536</v>
      </c>
      <c r="AO1931" s="118">
        <v>974</v>
      </c>
      <c r="AP1931" s="118">
        <f t="shared" si="30"/>
        <v>1696</v>
      </c>
    </row>
    <row r="1932" spans="1:42" ht="12.75">
      <c r="A1932" s="106">
        <v>2018</v>
      </c>
      <c r="B1932" s="106">
        <v>-487320</v>
      </c>
      <c r="C1932" s="106">
        <v>0</v>
      </c>
      <c r="D1932" s="106">
        <v>487320</v>
      </c>
      <c r="E1932" s="106" t="s">
        <v>4205</v>
      </c>
      <c r="F1932" s="106" t="s">
        <v>312</v>
      </c>
      <c r="G1932" s="106" t="s">
        <v>60</v>
      </c>
      <c r="H1932" s="106">
        <v>4</v>
      </c>
      <c r="I1932" s="106" t="s">
        <v>24</v>
      </c>
      <c r="J1932" s="106">
        <v>5123</v>
      </c>
      <c r="K1932" s="106">
        <v>6812</v>
      </c>
      <c r="L1932" s="106">
        <v>4086</v>
      </c>
      <c r="M1932" s="106">
        <v>0.6</v>
      </c>
      <c r="N1932" s="106">
        <v>0.39</v>
      </c>
      <c r="O1932" s="106">
        <v>0.5</v>
      </c>
      <c r="P1932" s="106">
        <v>1419</v>
      </c>
      <c r="Q1932" s="106">
        <v>841.79298582240699</v>
      </c>
      <c r="R1932" s="106">
        <v>0.1623485243630822</v>
      </c>
      <c r="S1932" s="106">
        <v>19999.433962264149</v>
      </c>
      <c r="T1932" s="106">
        <v>20791.525423728814</v>
      </c>
      <c r="U1932" s="106">
        <v>16763.266693223311</v>
      </c>
      <c r="V1932" s="106">
        <v>0.25909656817096943</v>
      </c>
      <c r="W1932" s="106">
        <v>64662.649163667164</v>
      </c>
      <c r="X1932" s="110">
        <v>0.52193292532555258</v>
      </c>
      <c r="Y1932" s="106">
        <v>494.00292568753662</v>
      </c>
      <c r="Z1932" s="106">
        <v>16.467524868344061</v>
      </c>
      <c r="AA1932" s="106">
        <v>46484.246186558645</v>
      </c>
      <c r="AB1932" s="106">
        <v>558.80136896181784</v>
      </c>
      <c r="AC1932" s="106">
        <v>2.151266465603479</v>
      </c>
      <c r="AD1932" s="106">
        <v>44.837640821736244</v>
      </c>
      <c r="AE1932" s="106">
        <v>83.185634052616024</v>
      </c>
      <c r="AF1932" s="106">
        <v>0.20232473776870991</v>
      </c>
      <c r="AG1932" s="106">
        <v>5123</v>
      </c>
      <c r="AH1932" s="106">
        <v>18198.91003091355</v>
      </c>
      <c r="AI1932" s="106">
        <v>18289.602707600468</v>
      </c>
      <c r="AJ1932" s="106">
        <v>20057.05031446541</v>
      </c>
      <c r="AK1932" s="104">
        <v>19005.643534804392</v>
      </c>
      <c r="AL1932" s="118">
        <v>95698581</v>
      </c>
      <c r="AM1932" s="118">
        <v>12717</v>
      </c>
      <c r="AN1932" s="118">
        <v>281417</v>
      </c>
      <c r="AO1932" s="118">
        <v>1989</v>
      </c>
      <c r="AP1932" s="118">
        <f t="shared" si="30"/>
        <v>0</v>
      </c>
    </row>
    <row r="1933" spans="1:42" ht="12.75">
      <c r="A1933" s="106">
        <v>2018</v>
      </c>
      <c r="B1933" s="106">
        <v>-228459</v>
      </c>
      <c r="C1933" s="106">
        <v>0</v>
      </c>
      <c r="D1933" s="106">
        <v>228459</v>
      </c>
      <c r="E1933" s="106" t="s">
        <v>3018</v>
      </c>
      <c r="F1933" s="106" t="s">
        <v>562</v>
      </c>
      <c r="G1933" s="106" t="s">
        <v>60</v>
      </c>
      <c r="H1933" s="106">
        <v>1</v>
      </c>
      <c r="I1933" s="106" t="s">
        <v>23</v>
      </c>
      <c r="J1933" s="106">
        <v>9985</v>
      </c>
      <c r="K1933" s="106">
        <v>13729</v>
      </c>
      <c r="L1933" s="106">
        <v>11648</v>
      </c>
      <c r="M1933" s="106">
        <v>0.41</v>
      </c>
      <c r="N1933" s="106">
        <v>0.62</v>
      </c>
      <c r="O1933" s="106">
        <v>0.13</v>
      </c>
      <c r="P1933" s="106">
        <v>4927</v>
      </c>
      <c r="Q1933" s="106">
        <v>2226.5525718951285</v>
      </c>
      <c r="R1933" s="106">
        <v>0.19457357395989169</v>
      </c>
      <c r="S1933" s="106">
        <v>21380.927878073118</v>
      </c>
      <c r="T1933" s="106">
        <v>21072.083975929119</v>
      </c>
      <c r="U1933" s="106">
        <v>11493.483176852607</v>
      </c>
      <c r="V1933" s="106">
        <v>0.80190571374539787</v>
      </c>
      <c r="W1933" s="106">
        <v>92905.283303502947</v>
      </c>
      <c r="X1933" s="110">
        <v>0.52143439814958759</v>
      </c>
      <c r="Y1933" s="106">
        <v>610.34731296101154</v>
      </c>
      <c r="Z1933" s="106">
        <v>20.907692307692308</v>
      </c>
      <c r="AA1933" s="106">
        <v>43985.417796011905</v>
      </c>
      <c r="AB1933" s="106">
        <v>393.71388175607888</v>
      </c>
      <c r="AC1933" s="106">
        <v>2.2734807354510762</v>
      </c>
      <c r="AD1933" s="106">
        <v>25.584011843079203</v>
      </c>
      <c r="AE1933" s="106">
        <v>111.71924545770166</v>
      </c>
      <c r="AF1933" s="106">
        <v>1.8253038579886381E-2</v>
      </c>
      <c r="AG1933" s="106">
        <v>7548</v>
      </c>
      <c r="AH1933" s="106">
        <v>20212.351598173515</v>
      </c>
      <c r="AI1933" s="106">
        <v>20497.36187970607</v>
      </c>
      <c r="AJ1933" s="106">
        <v>21748.323989234632</v>
      </c>
      <c r="AK1933" s="104">
        <v>16209.697148386707</v>
      </c>
      <c r="AL1933" s="119">
        <v>172762677</v>
      </c>
      <c r="AM1933" s="118">
        <v>34180</v>
      </c>
      <c r="AN1933" s="118">
        <v>965366</v>
      </c>
      <c r="AO1933" s="118">
        <v>7074</v>
      </c>
      <c r="AP1933" s="118">
        <f t="shared" si="30"/>
        <v>2437</v>
      </c>
    </row>
    <row r="1934" spans="1:42" ht="12.75">
      <c r="A1934" s="106">
        <v>2018</v>
      </c>
      <c r="B1934" s="106">
        <v>-229115</v>
      </c>
      <c r="C1934" s="106">
        <v>0</v>
      </c>
      <c r="D1934" s="106">
        <v>229115</v>
      </c>
      <c r="E1934" s="106" t="s">
        <v>3019</v>
      </c>
      <c r="F1934" s="106" t="s">
        <v>1848</v>
      </c>
      <c r="G1934" s="106" t="s">
        <v>60</v>
      </c>
      <c r="H1934" s="106">
        <v>1</v>
      </c>
      <c r="I1934" s="106" t="s">
        <v>23</v>
      </c>
      <c r="J1934" s="106">
        <v>8860</v>
      </c>
      <c r="K1934" s="106">
        <v>15531</v>
      </c>
      <c r="L1934" s="106">
        <v>11625</v>
      </c>
      <c r="M1934" s="106">
        <v>0.25</v>
      </c>
      <c r="N1934" s="106">
        <v>0.44</v>
      </c>
      <c r="O1934" s="106">
        <v>0.46</v>
      </c>
      <c r="P1934" s="106">
        <v>4724</v>
      </c>
      <c r="Q1934" s="106">
        <v>1858.4876210032266</v>
      </c>
      <c r="R1934" s="106">
        <v>0.16111862879253949</v>
      </c>
      <c r="S1934" s="106">
        <v>24356.078762100322</v>
      </c>
      <c r="T1934" s="106">
        <v>27306.812378996772</v>
      </c>
      <c r="U1934" s="106">
        <v>11664.706387220338</v>
      </c>
      <c r="V1934" s="106">
        <v>0.82954634506039926</v>
      </c>
      <c r="W1934" s="106">
        <v>96263.00067870233</v>
      </c>
      <c r="X1934" s="110">
        <v>0.50787963458174445</v>
      </c>
      <c r="Y1934" s="106">
        <v>531.50398262128897</v>
      </c>
      <c r="Z1934" s="106">
        <v>18.513758146270821</v>
      </c>
      <c r="AA1934" s="106">
        <v>47081.439822441549</v>
      </c>
      <c r="AB1934" s="106">
        <v>406.31408222980974</v>
      </c>
      <c r="AC1934" s="106">
        <v>2.1239792235991608</v>
      </c>
      <c r="AD1934" s="106">
        <v>25.23906287353574</v>
      </c>
      <c r="AE1934" s="106">
        <v>115.87449680322045</v>
      </c>
      <c r="AF1934" s="106">
        <v>3.2624112877125439E-2</v>
      </c>
      <c r="AG1934" s="106">
        <v>6432</v>
      </c>
      <c r="AH1934" s="106">
        <v>22647.956468172484</v>
      </c>
      <c r="AI1934" s="106">
        <v>23493.846670577881</v>
      </c>
      <c r="AJ1934" s="106">
        <v>25528.99800528014</v>
      </c>
      <c r="AK1934" s="104">
        <v>20976.95045467879</v>
      </c>
      <c r="AL1934" s="119">
        <v>190357157</v>
      </c>
      <c r="AM1934" s="118">
        <v>30737</v>
      </c>
      <c r="AN1934" s="118">
        <v>978676</v>
      </c>
      <c r="AO1934" s="118">
        <v>6302</v>
      </c>
      <c r="AP1934" s="118">
        <f t="shared" si="30"/>
        <v>2428</v>
      </c>
    </row>
    <row r="1935" spans="1:42" ht="12.75">
      <c r="A1935" s="106">
        <v>2018</v>
      </c>
      <c r="B1935" s="106">
        <v>-229160</v>
      </c>
      <c r="C1935" s="106">
        <v>0</v>
      </c>
      <c r="D1935" s="106">
        <v>229160</v>
      </c>
      <c r="E1935" s="106" t="s">
        <v>3020</v>
      </c>
      <c r="F1935" s="106" t="s">
        <v>2988</v>
      </c>
      <c r="G1935" s="106" t="s">
        <v>60</v>
      </c>
      <c r="H1935" s="106">
        <v>6</v>
      </c>
      <c r="I1935" s="106" t="s">
        <v>3640</v>
      </c>
      <c r="J1935" s="106">
        <v>27800</v>
      </c>
      <c r="K1935" s="106">
        <v>22694</v>
      </c>
      <c r="L1935" s="106">
        <v>20312</v>
      </c>
      <c r="M1935" s="106">
        <v>0.5</v>
      </c>
      <c r="N1935" s="106">
        <v>0.63</v>
      </c>
      <c r="O1935" s="106">
        <v>0.98</v>
      </c>
      <c r="P1935" s="106">
        <v>15406</v>
      </c>
      <c r="Q1935" s="106">
        <v>8565.3563704748467</v>
      </c>
      <c r="R1935" s="106">
        <v>0.31762606429760931</v>
      </c>
      <c r="S1935" s="106">
        <v>26999.997649271274</v>
      </c>
      <c r="T1935" s="106">
        <v>27837.853784673247</v>
      </c>
      <c r="U1935" s="106">
        <v>25422.341977644475</v>
      </c>
      <c r="V1935" s="106">
        <v>0.72382933018440465</v>
      </c>
      <c r="W1935" s="106">
        <v>76087.671140939594</v>
      </c>
      <c r="X1935" s="110">
        <v>0.57440548113306089</v>
      </c>
      <c r="Y1935" s="106">
        <v>353.16796875</v>
      </c>
      <c r="Z1935" s="106">
        <v>12.462890625</v>
      </c>
      <c r="AA1935" s="106">
        <v>94204.392659320205</v>
      </c>
      <c r="AB1935" s="106">
        <v>897.12515158193912</v>
      </c>
      <c r="AC1935" s="106">
        <v>1.0615216252350244</v>
      </c>
      <c r="AD1935" s="106">
        <v>27.088249174138745</v>
      </c>
      <c r="AE1935" s="106">
        <v>105.00696864111498</v>
      </c>
      <c r="AF1935" s="106">
        <v>5.101317437850944E-2</v>
      </c>
      <c r="AG1935" s="106">
        <v>24178</v>
      </c>
      <c r="AH1935" s="106">
        <v>22357.811941701926</v>
      </c>
      <c r="AI1935" s="106">
        <v>26999.997649271274</v>
      </c>
      <c r="AJ1935" s="106">
        <v>30512.952045133992</v>
      </c>
      <c r="AK1935" s="104">
        <v>26040.501645510107</v>
      </c>
      <c r="AL1935" s="118"/>
      <c r="AM1935" s="118">
        <v>1674</v>
      </c>
      <c r="AN1935" s="118">
        <v>60274</v>
      </c>
      <c r="AO1935" s="118">
        <v>374</v>
      </c>
      <c r="AP1935" s="118">
        <f t="shared" si="30"/>
        <v>3622</v>
      </c>
    </row>
    <row r="1936" spans="1:42" ht="12.75">
      <c r="A1936" s="106">
        <v>2018</v>
      </c>
      <c r="B1936" s="106">
        <v>-229179</v>
      </c>
      <c r="C1936" s="106">
        <v>0</v>
      </c>
      <c r="D1936" s="106">
        <v>229179</v>
      </c>
      <c r="E1936" s="106" t="s">
        <v>3021</v>
      </c>
      <c r="F1936" s="106" t="s">
        <v>3022</v>
      </c>
      <c r="G1936" s="106" t="s">
        <v>60</v>
      </c>
      <c r="H1936" s="106">
        <v>1</v>
      </c>
      <c r="I1936" s="106" t="s">
        <v>23</v>
      </c>
      <c r="J1936" s="106">
        <v>7570</v>
      </c>
      <c r="K1936" s="106">
        <v>9324</v>
      </c>
      <c r="L1936" s="106">
        <v>6535</v>
      </c>
      <c r="M1936" s="106">
        <v>0.53</v>
      </c>
      <c r="N1936" s="106">
        <v>0.6</v>
      </c>
      <c r="O1936" s="106">
        <v>0.46</v>
      </c>
      <c r="P1936" s="106">
        <v>4312</v>
      </c>
      <c r="Q1936" s="106">
        <v>1188.8720096596483</v>
      </c>
      <c r="R1936" s="106">
        <v>0.14912952667301393</v>
      </c>
      <c r="S1936" s="106">
        <v>15736.992528865747</v>
      </c>
      <c r="T1936" s="106">
        <v>15305.017432646593</v>
      </c>
      <c r="U1936" s="106">
        <v>11247.995078703341</v>
      </c>
      <c r="V1936" s="106">
        <v>0.60305899325792711</v>
      </c>
      <c r="W1936" s="106">
        <v>81040.101790977104</v>
      </c>
      <c r="X1936" s="110">
        <v>0.58753439838053545</v>
      </c>
      <c r="Y1936" s="106">
        <v>594.3458980044345</v>
      </c>
      <c r="Z1936" s="106">
        <v>22.036031042128602</v>
      </c>
      <c r="AA1936" s="106">
        <v>37271.113475343329</v>
      </c>
      <c r="AB1936" s="106">
        <v>417.03184887492438</v>
      </c>
      <c r="AC1936" s="106">
        <v>2.6830429969889389</v>
      </c>
      <c r="AD1936" s="106">
        <v>34.719569369682233</v>
      </c>
      <c r="AE1936" s="106">
        <v>89.372343085771448</v>
      </c>
      <c r="AF1936" s="106">
        <v>8.4750887132809746E-2</v>
      </c>
      <c r="AG1936" s="106">
        <v>5150</v>
      </c>
      <c r="AH1936" s="106">
        <v>15354.668628782734</v>
      </c>
      <c r="AI1936" s="106">
        <v>15696.641234623801</v>
      </c>
      <c r="AJ1936" s="106">
        <v>16848.389555505244</v>
      </c>
      <c r="AK1936" s="104">
        <v>12693.698135989736</v>
      </c>
      <c r="AL1936" s="119">
        <v>68198090</v>
      </c>
      <c r="AM1936" s="118">
        <v>10310</v>
      </c>
      <c r="AN1936" s="118">
        <v>357400</v>
      </c>
      <c r="AO1936" s="118">
        <v>2162</v>
      </c>
      <c r="AP1936" s="118">
        <f t="shared" si="30"/>
        <v>2420</v>
      </c>
    </row>
    <row r="1937" spans="1:42" ht="12.75">
      <c r="A1937" s="106">
        <v>2018</v>
      </c>
      <c r="B1937" s="106">
        <v>-216296</v>
      </c>
      <c r="C1937" s="106">
        <v>0</v>
      </c>
      <c r="D1937" s="106">
        <v>216296</v>
      </c>
      <c r="E1937" s="106" t="s">
        <v>3023</v>
      </c>
      <c r="F1937" s="106" t="s">
        <v>177</v>
      </c>
      <c r="G1937" s="106" t="s">
        <v>104</v>
      </c>
      <c r="H1937" s="106">
        <v>4</v>
      </c>
      <c r="I1937" s="106" t="s">
        <v>24</v>
      </c>
      <c r="J1937" s="106">
        <v>7830</v>
      </c>
      <c r="K1937" s="106">
        <v>5742</v>
      </c>
      <c r="L1937" s="106">
        <v>3961</v>
      </c>
      <c r="M1937" s="106">
        <v>0.56999999999999995</v>
      </c>
      <c r="N1937" s="106">
        <v>0.5</v>
      </c>
      <c r="O1937" s="106">
        <v>0.56000000000000005</v>
      </c>
      <c r="P1937" s="106">
        <v>5293</v>
      </c>
      <c r="Q1937" s="106">
        <v>2862.2332789559541</v>
      </c>
      <c r="R1937" s="106">
        <v>0.48066938431108264</v>
      </c>
      <c r="S1937" s="106">
        <v>21233.823001631321</v>
      </c>
      <c r="T1937" s="106">
        <v>22685.433115823816</v>
      </c>
      <c r="U1937" s="106">
        <v>16237.475530179445</v>
      </c>
      <c r="V1937" s="106">
        <v>0.19045131785597583</v>
      </c>
      <c r="W1937" s="106">
        <v>140310.68948655255</v>
      </c>
      <c r="X1937" s="110">
        <v>0.68778906457388822</v>
      </c>
      <c r="Y1937" s="106">
        <v>388.95859030837005</v>
      </c>
      <c r="Z1937" s="106">
        <v>16.202643171806166</v>
      </c>
      <c r="AA1937" s="106">
        <v>53227.660427807488</v>
      </c>
      <c r="AB1937" s="106">
        <v>676.39596754464651</v>
      </c>
      <c r="AC1937" s="106">
        <v>1.8787224386018186</v>
      </c>
      <c r="AD1937" s="106">
        <v>32.893579595426559</v>
      </c>
      <c r="AE1937" s="106">
        <v>78.693048128342241</v>
      </c>
      <c r="AF1937" s="106">
        <v>0.23614898633177764</v>
      </c>
      <c r="AG1937" s="106">
        <v>7800</v>
      </c>
      <c r="AH1937" s="106">
        <v>19750.350734094616</v>
      </c>
      <c r="AI1937" s="106">
        <v>20347.768352365416</v>
      </c>
      <c r="AJ1937" s="106">
        <v>21255.749592169657</v>
      </c>
      <c r="AK1937" s="104">
        <v>18051.941272430668</v>
      </c>
      <c r="AL1937" s="118">
        <v>14273000</v>
      </c>
      <c r="AM1937" s="118">
        <v>1142</v>
      </c>
      <c r="AN1937" s="118">
        <v>29431.200000000001</v>
      </c>
      <c r="AO1937" s="118">
        <v>358</v>
      </c>
      <c r="AP1937" s="118">
        <f t="shared" si="30"/>
        <v>30</v>
      </c>
    </row>
    <row r="1938" spans="1:42" ht="12.75">
      <c r="A1938" s="106">
        <v>2018</v>
      </c>
      <c r="B1938" s="106">
        <v>-142294</v>
      </c>
      <c r="C1938" s="106">
        <v>0</v>
      </c>
      <c r="D1938" s="106">
        <v>142294</v>
      </c>
      <c r="E1938" s="106" t="s">
        <v>3025</v>
      </c>
      <c r="F1938" s="106" t="s">
        <v>527</v>
      </c>
      <c r="G1938" s="106" t="s">
        <v>418</v>
      </c>
      <c r="H1938" s="106">
        <v>7</v>
      </c>
      <c r="I1938" s="106" t="s">
        <v>3641</v>
      </c>
      <c r="J1938" s="106">
        <v>28755</v>
      </c>
      <c r="K1938" s="106">
        <v>26018</v>
      </c>
      <c r="L1938" s="106">
        <v>19589</v>
      </c>
      <c r="M1938" s="106">
        <v>0.38</v>
      </c>
      <c r="N1938" s="106">
        <v>0.56999999999999995</v>
      </c>
      <c r="O1938" s="106">
        <v>0.82</v>
      </c>
      <c r="P1938" s="106">
        <v>18057</v>
      </c>
      <c r="Q1938" s="106">
        <v>17393.476856835307</v>
      </c>
      <c r="R1938" s="106">
        <v>0.61222569072004018</v>
      </c>
      <c r="S1938" s="106">
        <v>24973.787944025833</v>
      </c>
      <c r="T1938" s="106">
        <v>36943.791173304628</v>
      </c>
      <c r="U1938" s="106">
        <v>31608.641550053821</v>
      </c>
      <c r="V1938" s="106">
        <v>0.34853633110101789</v>
      </c>
      <c r="W1938" s="106">
        <v>67940.996372430469</v>
      </c>
      <c r="X1938" s="110">
        <v>0.5457063303510975</v>
      </c>
      <c r="Y1938" s="106">
        <v>277.32</v>
      </c>
      <c r="Z1938" s="106">
        <v>9.2899999999999991</v>
      </c>
      <c r="AA1938" s="106">
        <v>113815.61240310078</v>
      </c>
      <c r="AB1938" s="106">
        <v>1058.8644165584883</v>
      </c>
      <c r="AC1938" s="106">
        <v>0.87861408367975025</v>
      </c>
      <c r="AD1938" s="106">
        <v>27.922077922077921</v>
      </c>
      <c r="AE1938" s="106">
        <v>107.48837209302326</v>
      </c>
      <c r="AF1938" s="106">
        <v>-2.2692853828627419E-2</v>
      </c>
      <c r="AG1938" s="106">
        <v>28000</v>
      </c>
      <c r="AH1938" s="106">
        <v>19158.728740581271</v>
      </c>
      <c r="AI1938" s="106">
        <v>24227.374596340152</v>
      </c>
      <c r="AJ1938" s="106">
        <v>34174.52421959096</v>
      </c>
      <c r="AK1938" s="104">
        <v>31608.641550053821</v>
      </c>
      <c r="AL1938" s="118"/>
      <c r="AM1938" s="118">
        <v>936</v>
      </c>
      <c r="AN1938" s="118">
        <v>27732</v>
      </c>
      <c r="AO1938" s="118">
        <v>253</v>
      </c>
      <c r="AP1938" s="118">
        <f t="shared" si="30"/>
        <v>755</v>
      </c>
    </row>
    <row r="1939" spans="1:42" ht="12.75">
      <c r="A1939" s="106">
        <v>2018</v>
      </c>
      <c r="B1939" s="106">
        <v>-187134</v>
      </c>
      <c r="C1939" s="106">
        <v>0</v>
      </c>
      <c r="D1939" s="106">
        <v>187134</v>
      </c>
      <c r="E1939" s="106" t="s">
        <v>3026</v>
      </c>
      <c r="F1939" s="106" t="s">
        <v>3027</v>
      </c>
      <c r="G1939" s="106" t="s">
        <v>234</v>
      </c>
      <c r="H1939" s="106">
        <v>2</v>
      </c>
      <c r="I1939" s="106" t="s">
        <v>25</v>
      </c>
      <c r="J1939" s="106">
        <v>16149</v>
      </c>
      <c r="K1939" s="106">
        <v>23414</v>
      </c>
      <c r="L1939" s="106">
        <v>12646</v>
      </c>
      <c r="M1939" s="106">
        <v>0.17</v>
      </c>
      <c r="N1939" s="106">
        <v>0.54</v>
      </c>
      <c r="O1939" s="106">
        <v>0.44</v>
      </c>
      <c r="P1939" s="106">
        <v>7757</v>
      </c>
      <c r="Q1939" s="106">
        <v>1931.72740888667</v>
      </c>
      <c r="R1939" s="106">
        <v>0.1214625417902717</v>
      </c>
      <c r="S1939" s="106">
        <v>31770.843734398404</v>
      </c>
      <c r="T1939" s="106">
        <v>33191.213180229657</v>
      </c>
      <c r="U1939" s="106">
        <v>21029.373816786163</v>
      </c>
      <c r="V1939" s="106">
        <v>0.6644119255097487</v>
      </c>
      <c r="W1939" s="106">
        <v>113063.20825988415</v>
      </c>
      <c r="X1939" s="110">
        <v>0.56277639060196749</v>
      </c>
      <c r="Y1939" s="106">
        <v>447.87846347607052</v>
      </c>
      <c r="Z1939" s="106">
        <v>15.136020151133501</v>
      </c>
      <c r="AA1939" s="106">
        <v>80693.171944487898</v>
      </c>
      <c r="AB1939" s="106">
        <v>710.68616112103132</v>
      </c>
      <c r="AC1939" s="106">
        <v>1.2392622274012732</v>
      </c>
      <c r="AD1939" s="106">
        <v>29.133528673084975</v>
      </c>
      <c r="AE1939" s="106">
        <v>113.5426245210728</v>
      </c>
      <c r="AF1939" s="106">
        <v>-1.778120618027659E-3</v>
      </c>
      <c r="AG1939" s="106">
        <v>12632</v>
      </c>
      <c r="AH1939" s="106">
        <v>32407.888167748377</v>
      </c>
      <c r="AI1939" s="106">
        <v>32625.312031952071</v>
      </c>
      <c r="AJ1939" s="106">
        <v>32516.97453819271</v>
      </c>
      <c r="AK1939" s="104">
        <v>25792.186719920119</v>
      </c>
      <c r="AL1939" s="118">
        <v>54006000</v>
      </c>
      <c r="AM1939" s="118">
        <v>6955</v>
      </c>
      <c r="AN1939" s="118">
        <v>237077</v>
      </c>
      <c r="AO1939" s="118">
        <v>1623</v>
      </c>
      <c r="AP1939" s="118">
        <f t="shared" si="30"/>
        <v>3517</v>
      </c>
    </row>
    <row r="1940" spans="1:42">
      <c r="A1940" s="106">
        <v>2018</v>
      </c>
      <c r="B1940" s="106">
        <v>-193645</v>
      </c>
      <c r="C1940" s="106">
        <v>0</v>
      </c>
      <c r="D1940" s="106">
        <v>193645</v>
      </c>
      <c r="E1940" s="106" t="s">
        <v>3028</v>
      </c>
      <c r="F1940" s="106" t="s">
        <v>1583</v>
      </c>
      <c r="G1940" s="106" t="s">
        <v>69</v>
      </c>
      <c r="H1940" s="106">
        <v>6</v>
      </c>
      <c r="I1940" s="106" t="s">
        <v>3640</v>
      </c>
      <c r="J1940" s="106">
        <v>36618</v>
      </c>
      <c r="K1940" s="107">
        <v>27821</v>
      </c>
      <c r="L1940" s="107">
        <v>27523</v>
      </c>
      <c r="M1940" s="107">
        <v>0.73</v>
      </c>
      <c r="N1940" s="107">
        <v>0.69</v>
      </c>
      <c r="O1940" s="107">
        <v>0.68</v>
      </c>
      <c r="P1940" s="107">
        <v>24333</v>
      </c>
      <c r="Q1940" s="107">
        <v>6012.8535221766679</v>
      </c>
      <c r="R1940" s="107">
        <v>0.26089380767828163</v>
      </c>
      <c r="S1940" s="107">
        <v>21245.04882594111</v>
      </c>
      <c r="T1940" s="107">
        <v>22058.688035780844</v>
      </c>
      <c r="U1940" s="107">
        <v>19753.330600074543</v>
      </c>
      <c r="V1940" s="107">
        <v>0.86234959060674266</v>
      </c>
      <c r="W1940" s="107">
        <v>77507.477040816331</v>
      </c>
      <c r="X1940" s="111">
        <v>0.51336861683990764</v>
      </c>
      <c r="Y1940" s="107">
        <v>436.82242990654208</v>
      </c>
      <c r="Z1940" s="107">
        <v>15.044859813084114</v>
      </c>
      <c r="AA1940" s="107">
        <v>57669.408052230683</v>
      </c>
      <c r="AB1940" s="107">
        <v>680.33614890885747</v>
      </c>
      <c r="AC1940" s="107">
        <v>1.7340216134944695</v>
      </c>
      <c r="AD1940" s="107">
        <v>34.367988032909494</v>
      </c>
      <c r="AE1940" s="107">
        <v>84.766050054406961</v>
      </c>
      <c r="AF1940" s="106">
        <v>0.2139886614916261</v>
      </c>
      <c r="AG1940" s="107">
        <v>35098</v>
      </c>
      <c r="AH1940" s="107">
        <v>19938.354081252328</v>
      </c>
      <c r="AI1940" s="107">
        <v>21245.04882594111</v>
      </c>
      <c r="AJ1940" s="107">
        <v>21397.957882966828</v>
      </c>
      <c r="AK1940" s="104">
        <v>19753.330600074543</v>
      </c>
      <c r="AM1940" s="118">
        <v>2538</v>
      </c>
      <c r="AN1940" s="118">
        <v>77900</v>
      </c>
      <c r="AO1940" s="118">
        <v>669</v>
      </c>
      <c r="AP1940" s="118">
        <f t="shared" si="30"/>
        <v>1520</v>
      </c>
    </row>
    <row r="1941" spans="1:42" ht="12.75">
      <c r="A1941" s="106">
        <v>2018</v>
      </c>
      <c r="B1941" s="106">
        <v>-195234</v>
      </c>
      <c r="C1941" s="106">
        <v>0</v>
      </c>
      <c r="D1941" s="106">
        <v>195234</v>
      </c>
      <c r="E1941" s="106" t="s">
        <v>3029</v>
      </c>
      <c r="F1941" s="106" t="s">
        <v>95</v>
      </c>
      <c r="G1941" s="106" t="s">
        <v>69</v>
      </c>
      <c r="H1941" s="106">
        <v>6</v>
      </c>
      <c r="I1941" s="106" t="s">
        <v>3640</v>
      </c>
      <c r="J1941" s="106">
        <v>31654</v>
      </c>
      <c r="K1941" s="106">
        <v>21892</v>
      </c>
      <c r="L1941" s="106">
        <v>18489</v>
      </c>
      <c r="M1941" s="106">
        <v>0.52</v>
      </c>
      <c r="N1941" s="106">
        <v>0.78</v>
      </c>
      <c r="O1941" s="106">
        <v>0.99</v>
      </c>
      <c r="P1941" s="106">
        <v>19348</v>
      </c>
      <c r="Q1941" s="106">
        <v>11789.04648557827</v>
      </c>
      <c r="R1941" s="106">
        <v>0.46519781779384856</v>
      </c>
      <c r="S1941" s="106">
        <v>21266.38336600392</v>
      </c>
      <c r="T1941" s="106">
        <v>22673.758330999721</v>
      </c>
      <c r="U1941" s="106">
        <v>20023.063847661721</v>
      </c>
      <c r="V1941" s="106">
        <v>0.67686748134093078</v>
      </c>
      <c r="W1941" s="106">
        <v>59409.575707154741</v>
      </c>
      <c r="X1941" s="110">
        <v>0.44097864549955301</v>
      </c>
      <c r="Y1941" s="106">
        <v>453.14842578710642</v>
      </c>
      <c r="Z1941" s="106">
        <v>16.061469265367315</v>
      </c>
      <c r="AA1941" s="106">
        <v>41741.016345592529</v>
      </c>
      <c r="AB1941" s="106">
        <v>709.70085359801487</v>
      </c>
      <c r="AC1941" s="106">
        <v>2.3957250866163706</v>
      </c>
      <c r="AD1941" s="106">
        <v>52.56213562442467</v>
      </c>
      <c r="AE1941" s="106">
        <v>58.814944541739635</v>
      </c>
      <c r="AF1941" s="106">
        <v>-1.1323134506062817E-2</v>
      </c>
      <c r="AG1941" s="106">
        <v>30546</v>
      </c>
      <c r="AH1941" s="106">
        <v>19914.978997479699</v>
      </c>
      <c r="AI1941" s="106">
        <v>21032.954634556147</v>
      </c>
      <c r="AJ1941" s="106">
        <v>22304.745729487538</v>
      </c>
      <c r="AK1941" s="104">
        <v>20023.063847661721</v>
      </c>
      <c r="AL1941" s="118">
        <v>252160</v>
      </c>
      <c r="AM1941" s="118">
        <v>2504</v>
      </c>
      <c r="AN1941" s="118">
        <v>100750</v>
      </c>
      <c r="AO1941" s="118">
        <v>534</v>
      </c>
      <c r="AP1941" s="118">
        <f t="shared" si="30"/>
        <v>1108</v>
      </c>
    </row>
    <row r="1942" spans="1:42" ht="12.75">
      <c r="A1942" s="106">
        <v>2018</v>
      </c>
      <c r="B1942" s="106">
        <v>-174899</v>
      </c>
      <c r="C1942" s="106">
        <v>0</v>
      </c>
      <c r="D1942" s="106">
        <v>174899</v>
      </c>
      <c r="E1942" s="106" t="s">
        <v>3030</v>
      </c>
      <c r="F1942" s="106" t="s">
        <v>1723</v>
      </c>
      <c r="G1942" s="106" t="s">
        <v>113</v>
      </c>
      <c r="H1942" s="106">
        <v>6</v>
      </c>
      <c r="I1942" s="106" t="s">
        <v>3640</v>
      </c>
      <c r="J1942" s="106">
        <v>36212</v>
      </c>
      <c r="K1942" s="106">
        <v>24007</v>
      </c>
      <c r="L1942" s="106">
        <v>17272</v>
      </c>
      <c r="M1942" s="106">
        <v>0.3</v>
      </c>
      <c r="N1942" s="106">
        <v>0.72</v>
      </c>
      <c r="O1942" s="106">
        <v>1</v>
      </c>
      <c r="P1942" s="106">
        <v>20766</v>
      </c>
      <c r="Q1942" s="106">
        <v>8678.7382473756279</v>
      </c>
      <c r="R1942" s="106">
        <v>0.38735577985499803</v>
      </c>
      <c r="S1942" s="106">
        <v>18124.120949338201</v>
      </c>
      <c r="T1942" s="106">
        <v>17583.362848014604</v>
      </c>
      <c r="U1942" s="106">
        <v>15225.857575993576</v>
      </c>
      <c r="V1942" s="106">
        <v>0.90151535273432404</v>
      </c>
      <c r="W1942" s="106">
        <v>81498.692037470726</v>
      </c>
      <c r="X1942" s="110">
        <v>0.60220303371709305</v>
      </c>
      <c r="Y1942" s="106">
        <v>415.73366834170855</v>
      </c>
      <c r="Z1942" s="106">
        <v>16.515075376884422</v>
      </c>
      <c r="AA1942" s="106">
        <v>40707.570407567939</v>
      </c>
      <c r="AB1942" s="106">
        <v>604.84922125325318</v>
      </c>
      <c r="AC1942" s="106">
        <v>2.4565455270061762</v>
      </c>
      <c r="AD1942" s="106">
        <v>44.525944036946477</v>
      </c>
      <c r="AE1942" s="106">
        <v>67.302013422818789</v>
      </c>
      <c r="AF1942" s="106">
        <v>8.6797498912377952E-2</v>
      </c>
      <c r="AG1942" s="106">
        <v>35634</v>
      </c>
      <c r="AH1942" s="106">
        <v>17288.833637608397</v>
      </c>
      <c r="AI1942" s="106">
        <v>17876.511182108625</v>
      </c>
      <c r="AJ1942" s="106">
        <v>19831.067549064355</v>
      </c>
      <c r="AK1942" s="104">
        <v>15838.259698767686</v>
      </c>
      <c r="AM1942" s="118">
        <v>2676</v>
      </c>
      <c r="AN1942" s="118">
        <v>110308</v>
      </c>
      <c r="AO1942" s="118">
        <v>905</v>
      </c>
      <c r="AP1942" s="118">
        <f t="shared" si="30"/>
        <v>578</v>
      </c>
    </row>
    <row r="1943" spans="1:42" ht="12.75">
      <c r="A1943" s="106">
        <v>2018</v>
      </c>
      <c r="B1943" s="106">
        <v>-206589</v>
      </c>
      <c r="C1943" s="106">
        <v>0</v>
      </c>
      <c r="D1943" s="106">
        <v>206589</v>
      </c>
      <c r="E1943" s="106" t="s">
        <v>3031</v>
      </c>
      <c r="F1943" s="106" t="s">
        <v>2340</v>
      </c>
      <c r="G1943" s="106" t="s">
        <v>82</v>
      </c>
      <c r="H1943" s="106">
        <v>7</v>
      </c>
      <c r="I1943" s="106" t="s">
        <v>3641</v>
      </c>
      <c r="J1943" s="106">
        <v>48600</v>
      </c>
      <c r="K1943" s="106">
        <v>28715</v>
      </c>
      <c r="L1943" s="106">
        <v>13127</v>
      </c>
      <c r="M1943" s="106">
        <v>0.19</v>
      </c>
      <c r="N1943" s="106">
        <v>0.49</v>
      </c>
      <c r="O1943" s="106">
        <v>0.99</v>
      </c>
      <c r="P1943" s="106">
        <v>31962</v>
      </c>
      <c r="Q1943" s="106">
        <v>25783.156116135175</v>
      </c>
      <c r="R1943" s="106">
        <v>0.5801829328505631</v>
      </c>
      <c r="S1943" s="106">
        <v>40095.117087101382</v>
      </c>
      <c r="T1943" s="106">
        <v>44627.648262732029</v>
      </c>
      <c r="U1943" s="106">
        <v>33857.715198888945</v>
      </c>
      <c r="V1943" s="106">
        <v>0.55102787854963853</v>
      </c>
      <c r="W1943" s="106">
        <v>83441.04422110552</v>
      </c>
      <c r="X1943" s="110">
        <v>0.59031184568522777</v>
      </c>
      <c r="Y1943" s="106">
        <v>325.51807228915663</v>
      </c>
      <c r="Z1943" s="106">
        <v>10.848537005163513</v>
      </c>
      <c r="AA1943" s="106">
        <v>166203.41035716276</v>
      </c>
      <c r="AB1943" s="106">
        <v>1128.3756802269229</v>
      </c>
      <c r="AC1943" s="106">
        <v>0.60167237113308936</v>
      </c>
      <c r="AD1943" s="106">
        <v>21.736922295581511</v>
      </c>
      <c r="AE1943" s="106">
        <v>147.29439252336448</v>
      </c>
      <c r="AF1943" s="106">
        <v>5.7336702571125213E-2</v>
      </c>
      <c r="AG1943" s="106">
        <v>48160</v>
      </c>
      <c r="AH1943" s="106">
        <v>32316.728224654926</v>
      </c>
      <c r="AI1943" s="106">
        <v>40201.823893384106</v>
      </c>
      <c r="AJ1943" s="106">
        <v>56234.502617801045</v>
      </c>
      <c r="AK1943" s="104">
        <v>35972.237029985721</v>
      </c>
      <c r="AL1943" s="118"/>
      <c r="AM1943" s="118">
        <v>1980</v>
      </c>
      <c r="AN1943" s="118">
        <v>63042</v>
      </c>
      <c r="AO1943" s="118">
        <v>428</v>
      </c>
      <c r="AP1943" s="118">
        <f t="shared" si="30"/>
        <v>440</v>
      </c>
    </row>
    <row r="1944" spans="1:42" ht="12.75">
      <c r="A1944" s="106">
        <v>2018</v>
      </c>
      <c r="B1944" s="106">
        <v>-235167</v>
      </c>
      <c r="C1944" s="106">
        <v>0</v>
      </c>
      <c r="D1944" s="106">
        <v>235167</v>
      </c>
      <c r="E1944" s="106" t="s">
        <v>3032</v>
      </c>
      <c r="F1944" s="106" t="s">
        <v>2814</v>
      </c>
      <c r="G1944" s="106" t="s">
        <v>182</v>
      </c>
      <c r="H1944" s="106">
        <v>2</v>
      </c>
      <c r="I1944" s="106" t="s">
        <v>25</v>
      </c>
      <c r="J1944" s="106">
        <v>7599</v>
      </c>
      <c r="K1944" s="106">
        <v>13116</v>
      </c>
      <c r="L1944" s="106">
        <v>9754</v>
      </c>
      <c r="M1944" s="106">
        <v>0.43</v>
      </c>
      <c r="N1944" s="106">
        <v>0.53</v>
      </c>
      <c r="O1944" s="106">
        <v>0.69</v>
      </c>
      <c r="P1944" s="106">
        <v>3529</v>
      </c>
      <c r="Q1944" s="106">
        <v>1211.1607142857142</v>
      </c>
      <c r="R1944" s="106">
        <v>0.10462288074665846</v>
      </c>
      <c r="S1944" s="106">
        <v>25953.218406593405</v>
      </c>
      <c r="T1944" s="106">
        <v>28053.898351648353</v>
      </c>
      <c r="U1944" s="106">
        <v>16491.59700636967</v>
      </c>
      <c r="V1944" s="106">
        <v>0.62851895511864986</v>
      </c>
      <c r="W1944" s="106">
        <v>88206.943192948092</v>
      </c>
      <c r="X1944" s="110">
        <v>0.58795305621958671</v>
      </c>
      <c r="Y1944" s="106">
        <v>909.23639774859294</v>
      </c>
      <c r="Z1944" s="106">
        <v>20.487804878048781</v>
      </c>
      <c r="AA1944" s="106">
        <v>56899.917633351281</v>
      </c>
      <c r="AB1944" s="106">
        <v>371.60481303932499</v>
      </c>
      <c r="AC1944" s="106">
        <v>1.7574717883490583</v>
      </c>
      <c r="AD1944" s="106">
        <v>28.77011180801745</v>
      </c>
      <c r="AE1944" s="106">
        <v>153.11943127962084</v>
      </c>
      <c r="AF1944" s="106">
        <v>-1.8394605362306037E-2</v>
      </c>
      <c r="AG1944" s="106">
        <v>6678</v>
      </c>
      <c r="AH1944" s="106">
        <v>26823.596703296702</v>
      </c>
      <c r="AI1944" s="106">
        <v>26823.596703296702</v>
      </c>
      <c r="AJ1944" s="106">
        <v>26637.625824175826</v>
      </c>
      <c r="AK1944" s="104">
        <v>20188.094230769231</v>
      </c>
      <c r="AL1944" s="119">
        <v>29292000</v>
      </c>
      <c r="AM1944" s="118">
        <v>3610</v>
      </c>
      <c r="AN1944" s="118">
        <v>161541</v>
      </c>
      <c r="AO1944" s="118">
        <v>933</v>
      </c>
      <c r="AP1944" s="118">
        <f t="shared" si="30"/>
        <v>921</v>
      </c>
    </row>
    <row r="1945" spans="1:42" ht="12.75">
      <c r="A1945" s="106">
        <v>2018</v>
      </c>
      <c r="B1945" s="106">
        <v>-454184</v>
      </c>
      <c r="C1945" s="106">
        <v>0</v>
      </c>
      <c r="D1945" s="106">
        <v>454184</v>
      </c>
      <c r="E1945" s="106" t="s">
        <v>4206</v>
      </c>
      <c r="F1945" s="106" t="s">
        <v>290</v>
      </c>
      <c r="G1945" s="106" t="s">
        <v>69</v>
      </c>
      <c r="H1945" s="106">
        <v>7</v>
      </c>
      <c r="I1945" s="106" t="s">
        <v>3641</v>
      </c>
      <c r="J1945" s="106">
        <v>35400</v>
      </c>
      <c r="K1945" s="106">
        <v>33305</v>
      </c>
      <c r="L1945" s="106">
        <v>26784</v>
      </c>
      <c r="M1945" s="106">
        <v>0.33</v>
      </c>
      <c r="N1945" s="106">
        <v>0.9</v>
      </c>
      <c r="O1945" s="106">
        <v>0.99</v>
      </c>
      <c r="P1945" s="106">
        <v>21212</v>
      </c>
      <c r="Q1945" s="106">
        <v>18254.517482517484</v>
      </c>
      <c r="R1945" s="106">
        <v>0.5733475037771224</v>
      </c>
      <c r="S1945" s="106">
        <v>91205.902097902101</v>
      </c>
      <c r="T1945" s="106">
        <v>42232.921328671328</v>
      </c>
      <c r="U1945" s="106">
        <v>30975.755244755244</v>
      </c>
      <c r="V1945" s="106">
        <v>0.43853556345556066</v>
      </c>
      <c r="W1945" s="106">
        <v>102784.63106796116</v>
      </c>
      <c r="X1945" s="110">
        <v>0.4382462956950654</v>
      </c>
      <c r="Y1945" s="106">
        <v>455.78761061946904</v>
      </c>
      <c r="Z1945" s="106">
        <v>15.185840707964603</v>
      </c>
      <c r="AA1945" s="106">
        <v>178971.0303030303</v>
      </c>
      <c r="AB1945" s="106">
        <v>1032.0440354147252</v>
      </c>
      <c r="AC1945" s="106">
        <v>0.55874964697181395</v>
      </c>
      <c r="AD1945" s="106">
        <v>18.09872029250457</v>
      </c>
      <c r="AE1945" s="106">
        <v>173.41414141414143</v>
      </c>
      <c r="AF1945" s="106">
        <v>3.0824932242764493</v>
      </c>
      <c r="AG1945" s="106">
        <v>34950</v>
      </c>
      <c r="AH1945" s="106">
        <v>22947.075174825175</v>
      </c>
      <c r="AI1945" s="106">
        <v>91205.902097902101</v>
      </c>
      <c r="AJ1945" s="106">
        <v>91225.594405594413</v>
      </c>
      <c r="AK1945" s="104">
        <v>30975.755244755244</v>
      </c>
      <c r="AM1945" s="118">
        <v>555</v>
      </c>
      <c r="AN1945" s="118">
        <v>17168</v>
      </c>
      <c r="AO1945" s="118">
        <v>99</v>
      </c>
      <c r="AP1945" s="118">
        <f t="shared" si="30"/>
        <v>450</v>
      </c>
    </row>
    <row r="1946" spans="1:42" ht="12.75">
      <c r="A1946" s="106">
        <v>2018</v>
      </c>
      <c r="B1946" s="106">
        <v>-117751</v>
      </c>
      <c r="C1946" s="106">
        <v>0</v>
      </c>
      <c r="D1946" s="106">
        <v>117751</v>
      </c>
      <c r="E1946" s="106" t="s">
        <v>4207</v>
      </c>
      <c r="F1946" s="106" t="s">
        <v>858</v>
      </c>
      <c r="G1946" s="106" t="s">
        <v>121</v>
      </c>
      <c r="H1946" s="106">
        <v>6</v>
      </c>
      <c r="I1946" s="106" t="s">
        <v>3640</v>
      </c>
      <c r="J1946" s="106">
        <v>33020</v>
      </c>
      <c r="K1946" s="106">
        <v>27207</v>
      </c>
      <c r="L1946" s="106">
        <v>23986</v>
      </c>
      <c r="M1946" s="106">
        <v>0.31</v>
      </c>
      <c r="N1946" s="106">
        <v>0.61</v>
      </c>
      <c r="O1946" s="106">
        <v>0.95</v>
      </c>
      <c r="P1946" s="106">
        <v>16260</v>
      </c>
      <c r="Q1946" s="106">
        <v>8651.6903914590748</v>
      </c>
      <c r="R1946" s="106">
        <v>0.39080574020336606</v>
      </c>
      <c r="S1946" s="106">
        <v>26744.372479240807</v>
      </c>
      <c r="T1946" s="106">
        <v>24824.508303677343</v>
      </c>
      <c r="U1946" s="106">
        <v>21672.073546856464</v>
      </c>
      <c r="V1946" s="106">
        <v>0.62229365373809264</v>
      </c>
      <c r="W1946" s="106">
        <v>73416.610724925515</v>
      </c>
      <c r="X1946" s="110">
        <v>0.58879528254816293</v>
      </c>
      <c r="Y1946" s="106">
        <v>328.87586206896549</v>
      </c>
      <c r="Z1946" s="106">
        <v>11.627586206896552</v>
      </c>
      <c r="AA1946" s="106">
        <v>87205.527446300723</v>
      </c>
      <c r="AB1946" s="106">
        <v>766.22802860318325</v>
      </c>
      <c r="AC1946" s="106">
        <v>1.1467163026056788</v>
      </c>
      <c r="AD1946" s="106">
        <v>28.757721345229925</v>
      </c>
      <c r="AE1946" s="106">
        <v>113.81145584725537</v>
      </c>
      <c r="AF1946" s="106">
        <v>9.9359307598422444E-2</v>
      </c>
      <c r="AG1946" s="106">
        <v>32600</v>
      </c>
      <c r="AH1946" s="106">
        <v>19409.052787663109</v>
      </c>
      <c r="AI1946" s="106">
        <v>26744.372479240807</v>
      </c>
      <c r="AJ1946" s="106">
        <v>27883.905100830369</v>
      </c>
      <c r="AK1946" s="104">
        <v>21672.073546856464</v>
      </c>
      <c r="AM1946" s="118">
        <v>1344</v>
      </c>
      <c r="AN1946" s="118">
        <v>47687</v>
      </c>
      <c r="AO1946" s="118">
        <v>285</v>
      </c>
      <c r="AP1946" s="118">
        <f t="shared" si="30"/>
        <v>420</v>
      </c>
    </row>
    <row r="1947" spans="1:42" ht="12.75">
      <c r="A1947" s="106">
        <v>2018</v>
      </c>
      <c r="B1947" s="106">
        <v>-193654</v>
      </c>
      <c r="C1947" s="106">
        <v>0</v>
      </c>
      <c r="D1947" s="106">
        <v>193654</v>
      </c>
      <c r="E1947" s="106" t="s">
        <v>3033</v>
      </c>
      <c r="F1947" s="106" t="s">
        <v>290</v>
      </c>
      <c r="G1947" s="106" t="s">
        <v>69</v>
      </c>
      <c r="H1947" s="106">
        <v>5</v>
      </c>
      <c r="I1947" s="106" t="s">
        <v>3639</v>
      </c>
      <c r="J1947" s="106">
        <v>47351</v>
      </c>
      <c r="K1947" s="106">
        <v>48447</v>
      </c>
      <c r="L1947" s="106">
        <v>37224</v>
      </c>
      <c r="M1947" s="106">
        <v>0.2</v>
      </c>
      <c r="N1947" s="106">
        <v>0.39</v>
      </c>
      <c r="O1947" s="106">
        <v>0.85</v>
      </c>
      <c r="P1947" s="106">
        <v>17567</v>
      </c>
      <c r="Q1947" s="106">
        <v>12833.804883160432</v>
      </c>
      <c r="R1947" s="106">
        <v>0.29254199798877822</v>
      </c>
      <c r="S1947" s="106">
        <v>42281.253274651579</v>
      </c>
      <c r="T1947" s="106">
        <v>42264.277480876037</v>
      </c>
      <c r="U1947" s="106">
        <v>34268.264065360447</v>
      </c>
      <c r="V1947" s="106">
        <v>0.90568206472948531</v>
      </c>
      <c r="W1947" s="106">
        <v>119692.73288896114</v>
      </c>
      <c r="X1947" s="110">
        <v>0.60846259124087587</v>
      </c>
      <c r="Y1947" s="106">
        <v>260.63864734299517</v>
      </c>
      <c r="Z1947" s="106">
        <v>9.2202898550724637</v>
      </c>
      <c r="AA1947" s="106">
        <v>110967.77874982517</v>
      </c>
      <c r="AB1947" s="106">
        <v>1212.2658352235303</v>
      </c>
      <c r="AC1947" s="106">
        <v>0.90116249173057861</v>
      </c>
      <c r="AD1947" s="106">
        <v>31.244698897370654</v>
      </c>
      <c r="AE1947" s="106">
        <v>91.537495758398364</v>
      </c>
      <c r="AF1947" s="106">
        <v>5.4785079888597106E-2</v>
      </c>
      <c r="AG1947" s="106">
        <v>46251</v>
      </c>
      <c r="AH1947" s="106">
        <v>39025.044535261448</v>
      </c>
      <c r="AI1947" s="106">
        <v>42373.572251912396</v>
      </c>
      <c r="AJ1947" s="106">
        <v>45296.447657969191</v>
      </c>
      <c r="AK1947" s="104">
        <v>37224.143351147439</v>
      </c>
      <c r="AL1947" s="118">
        <v>675000</v>
      </c>
      <c r="AM1947" s="118">
        <v>7125</v>
      </c>
      <c r="AN1947" s="118">
        <v>269761</v>
      </c>
      <c r="AO1947" s="118">
        <v>1649</v>
      </c>
      <c r="AP1947" s="118">
        <f t="shared" si="30"/>
        <v>1100</v>
      </c>
    </row>
    <row r="1948" spans="1:42" ht="12.75">
      <c r="A1948" s="106">
        <v>2018</v>
      </c>
      <c r="B1948" s="106">
        <v>2593</v>
      </c>
      <c r="C1948" s="106">
        <v>1</v>
      </c>
      <c r="D1948" s="106">
        <v>195128</v>
      </c>
      <c r="E1948" s="106" t="s">
        <v>3879</v>
      </c>
      <c r="F1948" s="106" t="s">
        <v>1528</v>
      </c>
      <c r="G1948" s="106" t="s">
        <v>69</v>
      </c>
      <c r="H1948" s="106">
        <v>6</v>
      </c>
      <c r="I1948" s="106" t="s">
        <v>3640</v>
      </c>
      <c r="J1948" s="106">
        <v>29864</v>
      </c>
      <c r="K1948" s="106">
        <v>21340</v>
      </c>
      <c r="L1948" s="106">
        <v>14759</v>
      </c>
      <c r="M1948" s="106">
        <v>0.54</v>
      </c>
      <c r="N1948" s="106">
        <v>0.85</v>
      </c>
      <c r="O1948" s="106">
        <v>1</v>
      </c>
      <c r="P1948" s="106">
        <v>17166</v>
      </c>
      <c r="Q1948" s="106">
        <v>8826.4803738317751</v>
      </c>
      <c r="R1948" s="106">
        <v>0.36169865436122817</v>
      </c>
      <c r="S1948" s="106">
        <v>21562.065420560746</v>
      </c>
      <c r="T1948" s="106">
        <v>22404.482710280376</v>
      </c>
      <c r="U1948" s="106">
        <v>19439.04677431763</v>
      </c>
      <c r="V1948" s="106">
        <v>0.8012932089243906</v>
      </c>
      <c r="W1948" s="106">
        <v>74651.188775510207</v>
      </c>
      <c r="X1948" s="110">
        <v>0.61034318628617235</v>
      </c>
      <c r="Y1948" s="106">
        <v>381.08759124087589</v>
      </c>
      <c r="Z1948" s="106">
        <v>15.620437956204379</v>
      </c>
      <c r="AA1948" s="106">
        <v>47488.082302556766</v>
      </c>
      <c r="AB1948" s="106">
        <v>796.78906121626017</v>
      </c>
      <c r="AC1948" s="106">
        <v>2.1057914986517781</v>
      </c>
      <c r="AD1948" s="106">
        <v>44.831115660184238</v>
      </c>
      <c r="AE1948" s="106">
        <v>59.599315068493148</v>
      </c>
      <c r="AF1948" s="106">
        <v>-1.1882362681596812E-3</v>
      </c>
      <c r="AG1948" s="106">
        <v>28364</v>
      </c>
      <c r="AH1948" s="106">
        <v>19860.39813084112</v>
      </c>
      <c r="AI1948" s="106">
        <v>21655.190654205606</v>
      </c>
      <c r="AJ1948" s="106">
        <v>22372.51308411215</v>
      </c>
      <c r="AK1948" s="104">
        <v>19486.785514018691</v>
      </c>
      <c r="AL1948" s="119">
        <v>254460</v>
      </c>
      <c r="AM1948" s="118">
        <v>1305</v>
      </c>
      <c r="AN1948" s="118">
        <v>52209</v>
      </c>
      <c r="AO1948" s="118">
        <v>389</v>
      </c>
      <c r="AP1948" s="118">
        <f t="shared" si="30"/>
        <v>1500</v>
      </c>
    </row>
    <row r="1949" spans="1:42" ht="12.75">
      <c r="A1949" s="106">
        <v>2018</v>
      </c>
      <c r="B1949" s="106">
        <v>-100751</v>
      </c>
      <c r="C1949" s="106">
        <v>0</v>
      </c>
      <c r="D1949" s="106">
        <v>100751</v>
      </c>
      <c r="E1949" s="106" t="s">
        <v>3034</v>
      </c>
      <c r="F1949" s="106" t="s">
        <v>2755</v>
      </c>
      <c r="G1949" s="106" t="s">
        <v>85</v>
      </c>
      <c r="H1949" s="106">
        <v>1</v>
      </c>
      <c r="I1949" s="106" t="s">
        <v>23</v>
      </c>
      <c r="J1949" s="106">
        <v>10780</v>
      </c>
      <c r="K1949" s="106">
        <v>20465</v>
      </c>
      <c r="L1949" s="106">
        <v>18515</v>
      </c>
      <c r="M1949" s="106">
        <v>0.17</v>
      </c>
      <c r="N1949" s="106">
        <v>0.43</v>
      </c>
      <c r="O1949" s="106">
        <v>0.56999999999999995</v>
      </c>
      <c r="P1949" s="106">
        <v>17464</v>
      </c>
      <c r="Q1949" s="106">
        <v>7346.5753338095501</v>
      </c>
      <c r="R1949" s="106">
        <v>0.34010195720633635</v>
      </c>
      <c r="S1949" s="106">
        <v>30614.522721028628</v>
      </c>
      <c r="T1949" s="106">
        <v>30390.650502774879</v>
      </c>
      <c r="U1949" s="106">
        <v>18223.049723424185</v>
      </c>
      <c r="V1949" s="106">
        <v>0.78222480778264536</v>
      </c>
      <c r="W1949" s="106">
        <v>102020.57298086279</v>
      </c>
      <c r="X1949" s="110">
        <v>0.56868760420050213</v>
      </c>
      <c r="Y1949" s="106">
        <v>653.1404599129894</v>
      </c>
      <c r="Z1949" s="106">
        <v>22.621504039776259</v>
      </c>
      <c r="AA1949" s="106">
        <v>74685.571876274465</v>
      </c>
      <c r="AB1949" s="106">
        <v>631.15488663862743</v>
      </c>
      <c r="AC1949" s="106">
        <v>1.3389466999819175</v>
      </c>
      <c r="AD1949" s="106">
        <v>25.127320054323221</v>
      </c>
      <c r="AE1949" s="106">
        <v>118.33160680103592</v>
      </c>
      <c r="AF1949" s="106">
        <v>8.8418095420440559E-2</v>
      </c>
      <c r="AG1949" s="106">
        <v>10780</v>
      </c>
      <c r="AH1949" s="106">
        <v>28738.261140722017</v>
      </c>
      <c r="AI1949" s="106">
        <v>30080.587697126215</v>
      </c>
      <c r="AJ1949" s="106">
        <v>33088.967498214188</v>
      </c>
      <c r="AK1949" s="104">
        <v>24011.807022363868</v>
      </c>
      <c r="AL1949" s="118">
        <v>156742802</v>
      </c>
      <c r="AM1949" s="118">
        <v>33305</v>
      </c>
      <c r="AN1949" s="118">
        <v>1050903</v>
      </c>
      <c r="AO1949" s="118">
        <v>6750</v>
      </c>
      <c r="AP1949" s="118">
        <f t="shared" si="30"/>
        <v>0</v>
      </c>
    </row>
    <row r="1950" spans="1:42" ht="12.75">
      <c r="A1950" s="106">
        <v>2018</v>
      </c>
      <c r="B1950" s="106">
        <v>-202763</v>
      </c>
      <c r="C1950" s="106">
        <v>0</v>
      </c>
      <c r="D1950" s="106">
        <v>202763</v>
      </c>
      <c r="E1950" s="106" t="s">
        <v>3035</v>
      </c>
      <c r="F1950" s="106" t="s">
        <v>3036</v>
      </c>
      <c r="G1950" s="106" t="s">
        <v>82</v>
      </c>
      <c r="H1950" s="106">
        <v>6</v>
      </c>
      <c r="I1950" s="106" t="s">
        <v>3640</v>
      </c>
      <c r="J1950" s="106">
        <v>33320</v>
      </c>
      <c r="K1950" s="106">
        <v>24122</v>
      </c>
      <c r="L1950" s="106">
        <v>19730</v>
      </c>
      <c r="M1950" s="106">
        <v>0.26</v>
      </c>
      <c r="N1950" s="106">
        <v>0.78</v>
      </c>
      <c r="O1950" s="106">
        <v>1</v>
      </c>
      <c r="P1950" s="106">
        <v>18758</v>
      </c>
      <c r="Q1950" s="106">
        <v>12079.723084384093</v>
      </c>
      <c r="R1950" s="106">
        <v>0.44416852858161027</v>
      </c>
      <c r="S1950" s="106">
        <v>22154.559408341414</v>
      </c>
      <c r="T1950" s="106">
        <v>22109.723084384092</v>
      </c>
      <c r="U1950" s="106">
        <v>19749.143307468476</v>
      </c>
      <c r="V1950" s="106">
        <v>0.76542750991899888</v>
      </c>
      <c r="W1950" s="106">
        <v>85537.912236710137</v>
      </c>
      <c r="X1950" s="110">
        <v>0.62353464004989312</v>
      </c>
      <c r="Y1950" s="106">
        <v>398.5934065934066</v>
      </c>
      <c r="Z1950" s="106">
        <v>15.106227106227106</v>
      </c>
      <c r="AA1950" s="106">
        <v>80479.710474308304</v>
      </c>
      <c r="AB1950" s="106">
        <v>748.46959086898983</v>
      </c>
      <c r="AC1950" s="106">
        <v>1.2425492016639796</v>
      </c>
      <c r="AD1950" s="106">
        <v>26.251621271076527</v>
      </c>
      <c r="AE1950" s="106">
        <v>107.52569169960475</v>
      </c>
      <c r="AF1950" s="106">
        <v>2.0035422676244818E-2</v>
      </c>
      <c r="AG1950" s="106">
        <v>32330</v>
      </c>
      <c r="AH1950" s="106">
        <v>21773.894762366635</v>
      </c>
      <c r="AI1950" s="106">
        <v>22587.056983511153</v>
      </c>
      <c r="AJ1950" s="106">
        <v>22809.979631425802</v>
      </c>
      <c r="AK1950" s="104">
        <v>19749.143307468476</v>
      </c>
      <c r="AM1950" s="118">
        <v>3562</v>
      </c>
      <c r="AN1950" s="118">
        <v>108816</v>
      </c>
      <c r="AO1950" s="118">
        <v>541</v>
      </c>
      <c r="AP1950" s="118">
        <f t="shared" si="30"/>
        <v>990</v>
      </c>
    </row>
    <row r="1951" spans="1:42" ht="12.75">
      <c r="A1951" s="106">
        <v>2018</v>
      </c>
      <c r="B1951" s="106">
        <v>-180489</v>
      </c>
      <c r="C1951" s="106">
        <v>0</v>
      </c>
      <c r="D1951" s="106">
        <v>180489</v>
      </c>
      <c r="E1951" s="106" t="s">
        <v>3037</v>
      </c>
      <c r="F1951" s="106" t="s">
        <v>3038</v>
      </c>
      <c r="G1951" s="106" t="s">
        <v>608</v>
      </c>
      <c r="H1951" s="106">
        <v>1</v>
      </c>
      <c r="I1951" s="106" t="s">
        <v>23</v>
      </c>
      <c r="J1951" s="106">
        <v>7063</v>
      </c>
      <c r="K1951" s="106">
        <v>14186</v>
      </c>
      <c r="L1951" s="106">
        <v>13051</v>
      </c>
      <c r="M1951" s="106">
        <v>0.38</v>
      </c>
      <c r="N1951" s="106">
        <v>0.56999999999999995</v>
      </c>
      <c r="O1951" s="106">
        <v>0.49</v>
      </c>
      <c r="P1951" s="106">
        <v>5229</v>
      </c>
      <c r="Q1951" s="106">
        <v>2446.3880475658098</v>
      </c>
      <c r="R1951" s="106">
        <v>0.21640586715842111</v>
      </c>
      <c r="S1951" s="106">
        <v>33895.322898668564</v>
      </c>
      <c r="T1951" s="106">
        <v>33979.328285394855</v>
      </c>
      <c r="U1951" s="106">
        <v>16744.243873820258</v>
      </c>
      <c r="V1951" s="106">
        <v>0.5290320092401597</v>
      </c>
      <c r="W1951" s="106">
        <v>106684.57051909892</v>
      </c>
      <c r="X1951" s="110">
        <v>0.65161579214873988</v>
      </c>
      <c r="Y1951" s="106">
        <v>359.56589492430993</v>
      </c>
      <c r="Z1951" s="106">
        <v>13.142030276046306</v>
      </c>
      <c r="AA1951" s="106">
        <v>53944.536828591197</v>
      </c>
      <c r="AB1951" s="106">
        <v>611.99730854777215</v>
      </c>
      <c r="AC1951" s="106">
        <v>1.8537558366243845</v>
      </c>
      <c r="AD1951" s="106">
        <v>30.857835707790237</v>
      </c>
      <c r="AE1951" s="106">
        <v>88.145055664702028</v>
      </c>
      <c r="AF1951" s="106">
        <v>0.12168089080641306</v>
      </c>
      <c r="AG1951" s="106">
        <v>5182</v>
      </c>
      <c r="AH1951" s="106">
        <v>30871.729647321881</v>
      </c>
      <c r="AI1951" s="106">
        <v>32539.437239556864</v>
      </c>
      <c r="AJ1951" s="106">
        <v>34006.322085577805</v>
      </c>
      <c r="AK1951" s="104">
        <v>29569.89948165464</v>
      </c>
      <c r="AL1951" s="118">
        <v>66366222</v>
      </c>
      <c r="AM1951" s="118">
        <v>9323</v>
      </c>
      <c r="AN1951" s="118">
        <v>269195</v>
      </c>
      <c r="AO1951" s="118">
        <v>1801</v>
      </c>
      <c r="AP1951" s="118">
        <f t="shared" si="30"/>
        <v>1881</v>
      </c>
    </row>
    <row r="1952" spans="1:42" ht="12.75">
      <c r="A1952" s="106">
        <v>2018</v>
      </c>
      <c r="B1952" s="106">
        <v>-180692</v>
      </c>
      <c r="C1952" s="106">
        <v>0</v>
      </c>
      <c r="D1952" s="106">
        <v>180692</v>
      </c>
      <c r="E1952" s="106" t="s">
        <v>3039</v>
      </c>
      <c r="F1952" s="106" t="s">
        <v>3040</v>
      </c>
      <c r="G1952" s="106" t="s">
        <v>608</v>
      </c>
      <c r="H1952" s="106">
        <v>3</v>
      </c>
      <c r="I1952" s="104" t="s">
        <v>26</v>
      </c>
      <c r="J1952" s="106">
        <v>5502</v>
      </c>
      <c r="K1952" s="106">
        <v>11999</v>
      </c>
      <c r="L1952" s="106">
        <v>10402</v>
      </c>
      <c r="M1952" s="106">
        <v>0.43</v>
      </c>
      <c r="N1952" s="106">
        <v>0.6</v>
      </c>
      <c r="O1952" s="106">
        <v>0.66</v>
      </c>
      <c r="P1952" s="106">
        <v>5918</v>
      </c>
      <c r="Q1952" s="106">
        <v>927.58309659090912</v>
      </c>
      <c r="R1952" s="106">
        <v>0.11069463833585751</v>
      </c>
      <c r="S1952" s="106">
        <v>19593.4453125</v>
      </c>
      <c r="T1952" s="106">
        <v>19693.02130681818</v>
      </c>
      <c r="U1952" s="106">
        <v>11499.518247612876</v>
      </c>
      <c r="V1952" s="106">
        <v>0.64803357003092721</v>
      </c>
      <c r="W1952" s="106">
        <v>76052.297342192702</v>
      </c>
      <c r="X1952" s="110">
        <v>0.55039257749287773</v>
      </c>
      <c r="Y1952" s="106">
        <v>546.06465517241384</v>
      </c>
      <c r="Z1952" s="106">
        <v>18.206896551724139</v>
      </c>
      <c r="AA1952" s="106">
        <v>37479.911325553076</v>
      </c>
      <c r="AB1952" s="106">
        <v>383.41712312957753</v>
      </c>
      <c r="AC1952" s="106">
        <v>2.6680959602970544</v>
      </c>
      <c r="AD1952" s="106">
        <v>31.905465288035451</v>
      </c>
      <c r="AE1952" s="106">
        <v>97.75231481481481</v>
      </c>
      <c r="AF1952" s="106">
        <v>1.8436419390718752E-2</v>
      </c>
      <c r="AG1952" s="106">
        <v>4308</v>
      </c>
      <c r="AH1952" s="106">
        <v>18410.104403409092</v>
      </c>
      <c r="AI1952" s="106">
        <v>18849.930397727272</v>
      </c>
      <c r="AJ1952" s="106">
        <v>19688.17755681818</v>
      </c>
      <c r="AK1952" s="104">
        <v>14751.175426136364</v>
      </c>
      <c r="AL1952" s="118">
        <v>7835762</v>
      </c>
      <c r="AM1952" s="118">
        <v>1538</v>
      </c>
      <c r="AN1952" s="118">
        <v>42229</v>
      </c>
      <c r="AO1952" s="118">
        <v>418</v>
      </c>
      <c r="AP1952" s="118">
        <f t="shared" si="30"/>
        <v>1194</v>
      </c>
    </row>
    <row r="1953" spans="1:42" ht="12.75">
      <c r="A1953" s="106">
        <v>2018</v>
      </c>
      <c r="B1953" s="106">
        <v>-137847</v>
      </c>
      <c r="C1953" s="106">
        <v>0</v>
      </c>
      <c r="D1953" s="106">
        <v>137847</v>
      </c>
      <c r="E1953" s="106" t="s">
        <v>3041</v>
      </c>
      <c r="F1953" s="106" t="s">
        <v>1194</v>
      </c>
      <c r="G1953" s="106" t="s">
        <v>258</v>
      </c>
      <c r="H1953" s="106">
        <v>6</v>
      </c>
      <c r="I1953" s="106" t="s">
        <v>3640</v>
      </c>
      <c r="J1953" s="106">
        <v>28426</v>
      </c>
      <c r="K1953" s="106">
        <v>30683</v>
      </c>
      <c r="L1953" s="106">
        <v>27430</v>
      </c>
      <c r="M1953" s="106">
        <v>0.22</v>
      </c>
      <c r="N1953" s="106">
        <v>0.82</v>
      </c>
      <c r="O1953" s="106">
        <v>0.9</v>
      </c>
      <c r="P1953" s="106">
        <v>10648</v>
      </c>
      <c r="Q1953" s="106">
        <v>7418.5017182130587</v>
      </c>
      <c r="R1953" s="106">
        <v>0.28765276570759341</v>
      </c>
      <c r="S1953" s="106">
        <v>24774.557560137458</v>
      </c>
      <c r="T1953" s="106">
        <v>20549.060889175256</v>
      </c>
      <c r="U1953" s="106">
        <v>15198.139477690595</v>
      </c>
      <c r="V1953" s="106">
        <v>1.2087847275269656</v>
      </c>
      <c r="W1953" s="106">
        <v>86135.559322033892</v>
      </c>
      <c r="X1953" s="110">
        <v>0.39837383142258315</v>
      </c>
      <c r="Y1953" s="106">
        <v>540.64215364412348</v>
      </c>
      <c r="Z1953" s="106">
        <v>18.342744583059751</v>
      </c>
      <c r="AA1953" s="106">
        <v>70691.845562564849</v>
      </c>
      <c r="AB1953" s="106">
        <v>515.63791076583198</v>
      </c>
      <c r="AC1953" s="106">
        <v>1.4145903138360756</v>
      </c>
      <c r="AD1953" s="106">
        <v>23.884514435695539</v>
      </c>
      <c r="AE1953" s="106">
        <v>137.0959040959041</v>
      </c>
      <c r="AF1953" s="106">
        <v>9.7248291135612092E-2</v>
      </c>
      <c r="AG1953" s="106">
        <v>26504</v>
      </c>
      <c r="AH1953" s="106">
        <v>24465.247100515466</v>
      </c>
      <c r="AI1953" s="106">
        <v>24776.314540378007</v>
      </c>
      <c r="AJ1953" s="106">
        <v>25184.424935567011</v>
      </c>
      <c r="AK1953" s="104">
        <v>15240.157538659794</v>
      </c>
      <c r="AL1953" s="118"/>
      <c r="AM1953" s="118">
        <v>7971</v>
      </c>
      <c r="AN1953" s="118">
        <v>274466</v>
      </c>
      <c r="AO1953" s="118">
        <v>1562</v>
      </c>
      <c r="AP1953" s="118">
        <f t="shared" si="30"/>
        <v>1922</v>
      </c>
    </row>
    <row r="1954" spans="1:42" ht="12.75">
      <c r="A1954" s="106">
        <v>2018</v>
      </c>
      <c r="B1954" s="106">
        <v>-221740</v>
      </c>
      <c r="C1954" s="106">
        <v>0</v>
      </c>
      <c r="D1954" s="106">
        <v>221740</v>
      </c>
      <c r="E1954" s="106" t="s">
        <v>3042</v>
      </c>
      <c r="F1954" s="106" t="s">
        <v>715</v>
      </c>
      <c r="G1954" s="106" t="s">
        <v>255</v>
      </c>
      <c r="H1954" s="106">
        <v>2</v>
      </c>
      <c r="I1954" s="106" t="s">
        <v>25</v>
      </c>
      <c r="J1954" s="106">
        <v>8664</v>
      </c>
      <c r="K1954" s="106">
        <v>13934</v>
      </c>
      <c r="L1954" s="106">
        <v>8305</v>
      </c>
      <c r="M1954" s="106">
        <v>0.35</v>
      </c>
      <c r="N1954" s="106">
        <v>0.95</v>
      </c>
      <c r="O1954" s="106">
        <v>0.48</v>
      </c>
      <c r="P1954" s="106">
        <v>3919</v>
      </c>
      <c r="Q1954" s="106">
        <v>1562.2811759127549</v>
      </c>
      <c r="R1954" s="106">
        <v>0.14507461985230286</v>
      </c>
      <c r="S1954" s="106">
        <v>17818.62807017544</v>
      </c>
      <c r="T1954" s="106">
        <v>18379.496443812233</v>
      </c>
      <c r="U1954" s="106">
        <v>14875.83563627645</v>
      </c>
      <c r="V1954" s="106">
        <v>0.61889161351997501</v>
      </c>
      <c r="W1954" s="106">
        <v>85301.75953146533</v>
      </c>
      <c r="X1954" s="110">
        <v>0.63877067024663459</v>
      </c>
      <c r="Y1954" s="106">
        <v>547.30175015087502</v>
      </c>
      <c r="Z1954" s="106">
        <v>19.091732045866021</v>
      </c>
      <c r="AA1954" s="106">
        <v>62446.531363270369</v>
      </c>
      <c r="AB1954" s="106">
        <v>518.91934905715698</v>
      </c>
      <c r="AC1954" s="106">
        <v>1.6013699691063661</v>
      </c>
      <c r="AD1954" s="106">
        <v>24.137599692514652</v>
      </c>
      <c r="AE1954" s="106">
        <v>120.33957006369427</v>
      </c>
      <c r="AF1954" s="106">
        <v>5.1979703577707231E-2</v>
      </c>
      <c r="AG1954" s="106">
        <v>6888</v>
      </c>
      <c r="AH1954" s="106">
        <v>19180.127074442866</v>
      </c>
      <c r="AI1954" s="106">
        <v>19311.860218112848</v>
      </c>
      <c r="AJ1954" s="106">
        <v>18256.038691322901</v>
      </c>
      <c r="AK1954" s="104">
        <v>17163.983878615458</v>
      </c>
      <c r="AL1954" s="119">
        <v>52706390</v>
      </c>
      <c r="AM1954" s="118">
        <v>10176</v>
      </c>
      <c r="AN1954" s="118">
        <v>302293</v>
      </c>
      <c r="AO1954" s="118">
        <v>2009</v>
      </c>
      <c r="AP1954" s="118">
        <f t="shared" si="30"/>
        <v>1776</v>
      </c>
    </row>
    <row r="1955" spans="1:42" ht="12.75">
      <c r="A1955" s="106">
        <v>2018</v>
      </c>
      <c r="B1955" s="106">
        <v>-221759</v>
      </c>
      <c r="C1955" s="106">
        <v>0</v>
      </c>
      <c r="D1955" s="106">
        <v>221759</v>
      </c>
      <c r="E1955" s="106" t="s">
        <v>3043</v>
      </c>
      <c r="F1955" s="106" t="s">
        <v>2436</v>
      </c>
      <c r="G1955" s="106" t="s">
        <v>255</v>
      </c>
      <c r="H1955" s="106">
        <v>1</v>
      </c>
      <c r="I1955" s="106" t="s">
        <v>23</v>
      </c>
      <c r="J1955" s="106">
        <v>12970</v>
      </c>
      <c r="K1955" s="106">
        <v>21019</v>
      </c>
      <c r="L1955" s="106">
        <v>10501</v>
      </c>
      <c r="M1955" s="106">
        <v>0.27</v>
      </c>
      <c r="N1955" s="106">
        <v>0.45</v>
      </c>
      <c r="O1955" s="106">
        <v>0.53</v>
      </c>
      <c r="P1955" s="106">
        <v>7210</v>
      </c>
      <c r="Q1955" s="106">
        <v>3369.7420368043749</v>
      </c>
      <c r="R1955" s="106">
        <v>0.19403500193679751</v>
      </c>
      <c r="S1955" s="106">
        <v>46804.849419850711</v>
      </c>
      <c r="T1955" s="106">
        <v>45972.093969403591</v>
      </c>
      <c r="U1955" s="106">
        <v>17395.218128201934</v>
      </c>
      <c r="V1955" s="106">
        <v>0.80464233548517228</v>
      </c>
      <c r="W1955" s="106">
        <v>102960.76759587914</v>
      </c>
      <c r="X1955" s="110">
        <v>0.63730293859680331</v>
      </c>
      <c r="Y1955" s="106">
        <v>418.8170189098999</v>
      </c>
      <c r="Z1955" s="106">
        <v>15.051167964404895</v>
      </c>
      <c r="AA1955" s="106">
        <v>67048.766982680638</v>
      </c>
      <c r="AB1955" s="106">
        <v>625.13780005046362</v>
      </c>
      <c r="AC1955" s="106">
        <v>1.4914517372978835</v>
      </c>
      <c r="AD1955" s="106">
        <v>26.915852022234997</v>
      </c>
      <c r="AE1955" s="106">
        <v>107.2543797179889</v>
      </c>
      <c r="AF1955" s="106">
        <v>6.036441689130962E-2</v>
      </c>
      <c r="AG1955" s="106">
        <v>11110</v>
      </c>
      <c r="AH1955" s="106">
        <v>47436.484960461166</v>
      </c>
      <c r="AI1955" s="106">
        <v>47840.943093636837</v>
      </c>
      <c r="AJ1955" s="106">
        <v>47964.399637868599</v>
      </c>
      <c r="AK1955" s="104">
        <v>37621.08362279211</v>
      </c>
      <c r="AL1955" s="119">
        <v>332462338</v>
      </c>
      <c r="AM1955" s="118">
        <v>22317</v>
      </c>
      <c r="AN1955" s="118">
        <v>753033</v>
      </c>
      <c r="AO1955" s="118">
        <v>4723</v>
      </c>
      <c r="AP1955" s="118">
        <f t="shared" si="30"/>
        <v>1860</v>
      </c>
    </row>
    <row r="1956" spans="1:42" ht="12.75">
      <c r="A1956" s="106">
        <v>2018</v>
      </c>
      <c r="B1956" s="106">
        <v>-221768</v>
      </c>
      <c r="C1956" s="106">
        <v>0</v>
      </c>
      <c r="D1956" s="106">
        <v>221768</v>
      </c>
      <c r="E1956" s="106" t="s">
        <v>3044</v>
      </c>
      <c r="F1956" s="106" t="s">
        <v>3045</v>
      </c>
      <c r="G1956" s="106" t="s">
        <v>255</v>
      </c>
      <c r="H1956" s="106">
        <v>2</v>
      </c>
      <c r="I1956" s="106" t="s">
        <v>25</v>
      </c>
      <c r="J1956" s="106">
        <v>9236</v>
      </c>
      <c r="K1956" s="106">
        <v>10731</v>
      </c>
      <c r="L1956" s="106">
        <v>7150</v>
      </c>
      <c r="M1956" s="106">
        <v>0.51</v>
      </c>
      <c r="N1956" s="106">
        <v>0.54</v>
      </c>
      <c r="O1956" s="106">
        <v>0.81</v>
      </c>
      <c r="P1956" s="106">
        <v>3368</v>
      </c>
      <c r="Q1956" s="106">
        <v>2270.9323654995728</v>
      </c>
      <c r="R1956" s="106">
        <v>0.22402084140650008</v>
      </c>
      <c r="S1956" s="106">
        <v>19016.439624252776</v>
      </c>
      <c r="T1956" s="106">
        <v>20681.884201537148</v>
      </c>
      <c r="U1956" s="106">
        <v>16492.400930355554</v>
      </c>
      <c r="V1956" s="106">
        <v>0.47695998931234962</v>
      </c>
      <c r="W1956" s="106">
        <v>85726.974562798103</v>
      </c>
      <c r="X1956" s="110">
        <v>0.59373120856966521</v>
      </c>
      <c r="Y1956" s="106">
        <v>510.72798434442268</v>
      </c>
      <c r="Z1956" s="106">
        <v>17.18688845401174</v>
      </c>
      <c r="AA1956" s="106">
        <v>76274.097509661748</v>
      </c>
      <c r="AB1956" s="106">
        <v>554.99808864537647</v>
      </c>
      <c r="AC1956" s="106">
        <v>1.3110610713857722</v>
      </c>
      <c r="AD1956" s="106">
        <v>22.187171398527866</v>
      </c>
      <c r="AE1956" s="106">
        <v>137.43127962085308</v>
      </c>
      <c r="AF1956" s="106">
        <v>-1.23730326890034E-2</v>
      </c>
      <c r="AG1956" s="106">
        <v>7818</v>
      </c>
      <c r="AH1956" s="106">
        <v>19299.996413321947</v>
      </c>
      <c r="AI1956" s="106">
        <v>19639.074124679762</v>
      </c>
      <c r="AJ1956" s="106">
        <v>19444.761912894963</v>
      </c>
      <c r="AK1956" s="104">
        <v>19111.122971818957</v>
      </c>
      <c r="AL1956" s="119">
        <v>33644813</v>
      </c>
      <c r="AM1956" s="118">
        <v>6330</v>
      </c>
      <c r="AN1956" s="118">
        <v>173988</v>
      </c>
      <c r="AO1956" s="118">
        <v>1156</v>
      </c>
      <c r="AP1956" s="118">
        <f t="shared" si="30"/>
        <v>1418</v>
      </c>
    </row>
    <row r="1957" spans="1:42" ht="12.75">
      <c r="A1957" s="106">
        <v>2018</v>
      </c>
      <c r="B1957" s="106">
        <v>1606</v>
      </c>
      <c r="C1957" s="106">
        <v>1</v>
      </c>
      <c r="D1957" s="106">
        <v>228778</v>
      </c>
      <c r="E1957" s="106" t="s">
        <v>3880</v>
      </c>
      <c r="F1957" s="106" t="s">
        <v>252</v>
      </c>
      <c r="G1957" s="106" t="s">
        <v>60</v>
      </c>
      <c r="H1957" s="106">
        <v>1</v>
      </c>
      <c r="I1957" s="106" t="s">
        <v>23</v>
      </c>
      <c r="J1957" s="106">
        <v>10398</v>
      </c>
      <c r="K1957" s="106">
        <v>14156</v>
      </c>
      <c r="L1957" s="106">
        <v>11374</v>
      </c>
      <c r="M1957" s="106">
        <v>0.43</v>
      </c>
      <c r="N1957" s="106">
        <v>0.39</v>
      </c>
      <c r="O1957" s="106">
        <v>0.44</v>
      </c>
      <c r="P1957" s="106">
        <v>5021</v>
      </c>
      <c r="Q1957" s="106">
        <v>2559.3095106743003</v>
      </c>
      <c r="R1957" s="106">
        <v>0.22787728644149874</v>
      </c>
      <c r="S1957" s="106">
        <v>60185.563491805937</v>
      </c>
      <c r="T1957" s="106">
        <v>64720.06471801766</v>
      </c>
      <c r="U1957" s="106">
        <v>28564.422696652153</v>
      </c>
      <c r="V1957" s="106">
        <v>0.30358663504728783</v>
      </c>
      <c r="W1957" s="106">
        <v>155722.52105984639</v>
      </c>
      <c r="X1957" s="110">
        <v>0.59401354737664902</v>
      </c>
      <c r="Y1957" s="106">
        <v>387.5230928561985</v>
      </c>
      <c r="Z1957" s="106">
        <v>14.259287823366092</v>
      </c>
      <c r="AA1957" s="106">
        <v>96417.889299282571</v>
      </c>
      <c r="AB1957" s="106">
        <v>1051.0556202930532</v>
      </c>
      <c r="AC1957" s="106">
        <v>1.0371519302771552</v>
      </c>
      <c r="AD1957" s="106">
        <v>32.013145107154664</v>
      </c>
      <c r="AE1957" s="106">
        <v>91.734335878818229</v>
      </c>
      <c r="AF1957" s="106">
        <v>5.8335556037504815E-2</v>
      </c>
      <c r="AG1957" s="106">
        <v>10398</v>
      </c>
      <c r="AH1957" s="106">
        <v>57412.348828260816</v>
      </c>
      <c r="AI1957" s="106">
        <v>58954.295227277995</v>
      </c>
      <c r="AJ1957" s="106">
        <v>64901.084128786999</v>
      </c>
      <c r="AK1957" s="104">
        <v>42979.364122296654</v>
      </c>
      <c r="AL1957" s="119">
        <v>2022686412</v>
      </c>
      <c r="AM1957" s="118">
        <v>186244</v>
      </c>
      <c r="AN1957" s="118">
        <v>5862191</v>
      </c>
      <c r="AO1957" s="118">
        <v>39197</v>
      </c>
      <c r="AP1957" s="118">
        <f t="shared" si="30"/>
        <v>0</v>
      </c>
    </row>
    <row r="1958" spans="1:42" ht="12.75">
      <c r="A1958" s="106">
        <v>2018</v>
      </c>
      <c r="B1958" s="106">
        <v>-233897</v>
      </c>
      <c r="C1958" s="106">
        <v>0</v>
      </c>
      <c r="D1958" s="106">
        <v>233897</v>
      </c>
      <c r="E1958" s="106" t="s">
        <v>3046</v>
      </c>
      <c r="F1958" s="106" t="s">
        <v>3047</v>
      </c>
      <c r="G1958" s="106" t="s">
        <v>261</v>
      </c>
      <c r="H1958" s="106">
        <v>3</v>
      </c>
      <c r="I1958" s="104" t="s">
        <v>26</v>
      </c>
      <c r="J1958" s="106">
        <v>9825</v>
      </c>
      <c r="K1958" s="106">
        <v>9874</v>
      </c>
      <c r="L1958" s="106">
        <v>8034</v>
      </c>
      <c r="M1958" s="106">
        <v>0.44</v>
      </c>
      <c r="N1958" s="106">
        <v>0.46</v>
      </c>
      <c r="O1958" s="106">
        <v>0.79</v>
      </c>
      <c r="P1958" s="106">
        <v>7435</v>
      </c>
      <c r="Q1958" s="106">
        <v>5448.0607446113654</v>
      </c>
      <c r="R1958" s="106">
        <v>0.48715049310885772</v>
      </c>
      <c r="S1958" s="106">
        <v>25923.269105160027</v>
      </c>
      <c r="T1958" s="106">
        <v>32403.423905943826</v>
      </c>
      <c r="U1958" s="106">
        <v>16577.148215792105</v>
      </c>
      <c r="V1958" s="106">
        <v>0.34598631122759371</v>
      </c>
      <c r="W1958" s="106">
        <v>74386.88275862069</v>
      </c>
      <c r="X1958" s="110">
        <v>0.50731190521390979</v>
      </c>
      <c r="Y1958" s="106">
        <v>370.37096774193549</v>
      </c>
      <c r="Z1958" s="106">
        <v>12.346774193548388</v>
      </c>
      <c r="AA1958" s="106">
        <v>93307.404111682772</v>
      </c>
      <c r="AB1958" s="106">
        <v>552.61973431994318</v>
      </c>
      <c r="AC1958" s="106">
        <v>1.0717263110257214</v>
      </c>
      <c r="AD1958" s="106">
        <v>17.358008934269304</v>
      </c>
      <c r="AE1958" s="106">
        <v>168.84558823529412</v>
      </c>
      <c r="AF1958" s="106">
        <v>3.2749240669673121E-2</v>
      </c>
      <c r="AG1958" s="106">
        <v>5366</v>
      </c>
      <c r="AH1958" s="106">
        <v>24070.173742651863</v>
      </c>
      <c r="AI1958" s="106">
        <v>24857.657086871324</v>
      </c>
      <c r="AJ1958" s="106">
        <v>30515.413455258</v>
      </c>
      <c r="AK1958" s="104">
        <v>21921.331809274983</v>
      </c>
      <c r="AL1958" s="119">
        <v>18670391</v>
      </c>
      <c r="AM1958" s="118">
        <v>2095</v>
      </c>
      <c r="AN1958" s="118">
        <v>45926</v>
      </c>
      <c r="AO1958" s="118">
        <v>272</v>
      </c>
      <c r="AP1958" s="118">
        <f t="shared" si="30"/>
        <v>4459</v>
      </c>
    </row>
    <row r="1959" spans="1:42" ht="12.75">
      <c r="A1959" s="106">
        <v>2018</v>
      </c>
      <c r="B1959" s="106">
        <v>-138354</v>
      </c>
      <c r="C1959" s="106">
        <v>0</v>
      </c>
      <c r="D1959" s="106">
        <v>138354</v>
      </c>
      <c r="E1959" s="106" t="s">
        <v>3048</v>
      </c>
      <c r="F1959" s="106" t="s">
        <v>2443</v>
      </c>
      <c r="G1959" s="106" t="s">
        <v>258</v>
      </c>
      <c r="H1959" s="106">
        <v>1</v>
      </c>
      <c r="I1959" s="106" t="s">
        <v>23</v>
      </c>
      <c r="J1959" s="106">
        <v>5776</v>
      </c>
      <c r="K1959" s="106">
        <v>9091</v>
      </c>
      <c r="L1959" s="106">
        <v>4622</v>
      </c>
      <c r="M1959" s="106">
        <v>0.35</v>
      </c>
      <c r="N1959" s="106">
        <v>0.35</v>
      </c>
      <c r="O1959" s="106">
        <v>0.76</v>
      </c>
      <c r="P1959" s="106">
        <v>3984</v>
      </c>
      <c r="Q1959" s="106">
        <v>1994.1044361406534</v>
      </c>
      <c r="R1959" s="106">
        <v>0.23999810607329505</v>
      </c>
      <c r="S1959" s="106">
        <v>24098.109801667146</v>
      </c>
      <c r="T1959" s="106">
        <v>25227.67490658235</v>
      </c>
      <c r="U1959" s="106">
        <v>10600.528275605209</v>
      </c>
      <c r="V1959" s="106">
        <v>0.59569952096839773</v>
      </c>
      <c r="W1959" s="106">
        <v>86291.621870882736</v>
      </c>
      <c r="X1959" s="110">
        <v>0.49749359519734587</v>
      </c>
      <c r="Y1959" s="106">
        <v>665.94477172312224</v>
      </c>
      <c r="Z1959" s="106">
        <v>23.056701030927833</v>
      </c>
      <c r="AA1959" s="106">
        <v>25213.699547058241</v>
      </c>
      <c r="AB1959" s="106">
        <v>367.01723866396713</v>
      </c>
      <c r="AC1959" s="106">
        <v>3.9660978672868858</v>
      </c>
      <c r="AD1959" s="106">
        <v>45.770313966830081</v>
      </c>
      <c r="AE1959" s="106">
        <v>68.698951686417502</v>
      </c>
      <c r="AF1959" s="106">
        <v>-7.6607214690408649E-3</v>
      </c>
      <c r="AG1959" s="106">
        <v>3735</v>
      </c>
      <c r="AH1959" s="106">
        <v>22102.238765928905</v>
      </c>
      <c r="AI1959" s="106">
        <v>22906.131838650952</v>
      </c>
      <c r="AJ1959" s="106">
        <v>24282.714573153204</v>
      </c>
      <c r="AK1959" s="104">
        <v>22091.298936476</v>
      </c>
      <c r="AL1959" s="119">
        <v>129126491</v>
      </c>
      <c r="AM1959" s="118">
        <v>10002</v>
      </c>
      <c r="AN1959" s="118">
        <v>301451</v>
      </c>
      <c r="AO1959" s="118">
        <v>3325</v>
      </c>
      <c r="AP1959" s="118">
        <f t="shared" si="30"/>
        <v>2041</v>
      </c>
    </row>
    <row r="1960" spans="1:42" ht="12.75">
      <c r="A1960" s="106">
        <v>2018</v>
      </c>
      <c r="B1960" s="106">
        <v>-216357</v>
      </c>
      <c r="C1960" s="106">
        <v>0</v>
      </c>
      <c r="D1960" s="106">
        <v>216357</v>
      </c>
      <c r="E1960" s="106" t="s">
        <v>3049</v>
      </c>
      <c r="F1960" s="106" t="s">
        <v>1082</v>
      </c>
      <c r="G1960" s="106" t="s">
        <v>104</v>
      </c>
      <c r="H1960" s="106">
        <v>7</v>
      </c>
      <c r="I1960" s="106" t="s">
        <v>3641</v>
      </c>
      <c r="J1960" s="106">
        <v>30830</v>
      </c>
      <c r="K1960" s="106">
        <v>24031</v>
      </c>
      <c r="L1960" s="106">
        <v>20265</v>
      </c>
      <c r="M1960" s="106">
        <v>0.55000000000000004</v>
      </c>
      <c r="N1960" s="106">
        <v>0.85</v>
      </c>
      <c r="O1960" s="106">
        <v>0.98</v>
      </c>
      <c r="P1960" s="106">
        <v>17033</v>
      </c>
      <c r="Q1960" s="106">
        <v>17297.689345314506</v>
      </c>
      <c r="R1960" s="106">
        <v>0.61167683631401848</v>
      </c>
      <c r="S1960" s="106">
        <v>31747.269576379975</v>
      </c>
      <c r="T1960" s="106">
        <v>34365.032092426191</v>
      </c>
      <c r="U1960" s="106">
        <v>26514.354300385108</v>
      </c>
      <c r="V1960" s="106">
        <v>0.41416967833249624</v>
      </c>
      <c r="W1960" s="106">
        <v>61708.926163723918</v>
      </c>
      <c r="X1960" s="110">
        <v>0.47869684979955446</v>
      </c>
      <c r="Y1960" s="106">
        <v>341.88292682926834</v>
      </c>
      <c r="Z1960" s="106">
        <v>11.4</v>
      </c>
      <c r="AA1960" s="106">
        <v>134121.31168831169</v>
      </c>
      <c r="AB1960" s="106">
        <v>884.11445937847782</v>
      </c>
      <c r="AC1960" s="106">
        <v>0.74559366249260095</v>
      </c>
      <c r="AD1960" s="106">
        <v>20.343461030383093</v>
      </c>
      <c r="AE1960" s="106">
        <v>151.7012987012987</v>
      </c>
      <c r="AF1960" s="106">
        <v>-8.7115832303574781E-3</v>
      </c>
      <c r="AG1960" s="106">
        <v>29000</v>
      </c>
      <c r="AH1960" s="106">
        <v>22897.284980744545</v>
      </c>
      <c r="AI1960" s="106">
        <v>29650.40051347882</v>
      </c>
      <c r="AJ1960" s="106">
        <v>33858.835686777922</v>
      </c>
      <c r="AK1960" s="105">
        <v>28725.261874197688</v>
      </c>
      <c r="AM1960" s="118">
        <v>766</v>
      </c>
      <c r="AN1960" s="119">
        <v>23362</v>
      </c>
      <c r="AO1960" s="119">
        <v>154</v>
      </c>
      <c r="AP1960" s="118">
        <f t="shared" si="30"/>
        <v>1830</v>
      </c>
    </row>
    <row r="1961" spans="1:42" ht="12.75">
      <c r="A1961" s="106">
        <v>2018</v>
      </c>
      <c r="B1961" s="106">
        <v>-124292</v>
      </c>
      <c r="C1961" s="106">
        <v>0</v>
      </c>
      <c r="D1961" s="106">
        <v>124292</v>
      </c>
      <c r="E1961" s="106" t="s">
        <v>3050</v>
      </c>
      <c r="F1961" s="106" t="s">
        <v>3051</v>
      </c>
      <c r="G1961" s="106" t="s">
        <v>121</v>
      </c>
      <c r="H1961" s="106">
        <v>7</v>
      </c>
      <c r="I1961" s="106" t="s">
        <v>3641</v>
      </c>
      <c r="J1961" s="106">
        <v>24500</v>
      </c>
      <c r="K1961" s="106">
        <v>20746</v>
      </c>
      <c r="L1961" s="106">
        <v>14452</v>
      </c>
      <c r="M1961" s="106">
        <v>0.23</v>
      </c>
      <c r="N1961" s="106">
        <v>0.69</v>
      </c>
      <c r="O1961" s="106">
        <v>0.5</v>
      </c>
      <c r="P1961" s="106">
        <v>11542</v>
      </c>
      <c r="Q1961" s="106">
        <v>7422.2937219730939</v>
      </c>
      <c r="R1961" s="106">
        <v>0.36638109979308808</v>
      </c>
      <c r="S1961" s="106">
        <v>74398.201793721979</v>
      </c>
      <c r="T1961" s="106">
        <v>45638.5</v>
      </c>
      <c r="U1961" s="106">
        <v>34623.769058295962</v>
      </c>
      <c r="V1961" s="106">
        <v>0.37073095991950888</v>
      </c>
      <c r="W1961" s="106">
        <v>97771.569767441862</v>
      </c>
      <c r="X1961" s="110">
        <v>0.41309013007319023</v>
      </c>
      <c r="Y1961" s="106">
        <v>390.11650485436888</v>
      </c>
      <c r="Z1961" s="106">
        <v>12.990291262135921</v>
      </c>
      <c r="AA1961" s="106">
        <v>179560.47674418605</v>
      </c>
      <c r="AB1961" s="106">
        <v>1152.9192922203972</v>
      </c>
      <c r="AC1961" s="106">
        <v>0.55691542934844585</v>
      </c>
      <c r="AD1961" s="106">
        <v>23.306233062330623</v>
      </c>
      <c r="AE1961" s="106">
        <v>155.74418604651163</v>
      </c>
      <c r="AF1961" s="106">
        <v>0.13754109669689599</v>
      </c>
      <c r="AG1961" s="106">
        <v>24500</v>
      </c>
      <c r="AH1961" s="106">
        <v>20306.065022421524</v>
      </c>
      <c r="AI1961" s="106">
        <v>72125.852017937214</v>
      </c>
      <c r="AJ1961" s="106">
        <v>77905.542600896864</v>
      </c>
      <c r="AK1961" s="104">
        <v>34623.769058295962</v>
      </c>
      <c r="AM1961" s="118">
        <v>369</v>
      </c>
      <c r="AN1961" s="118">
        <v>13394</v>
      </c>
      <c r="AO1961" s="118">
        <v>86</v>
      </c>
      <c r="AP1961" s="118">
        <f t="shared" si="30"/>
        <v>0</v>
      </c>
    </row>
    <row r="1962" spans="1:42" ht="12.75">
      <c r="A1962" s="106">
        <v>2018</v>
      </c>
      <c r="B1962" s="106">
        <v>-161563</v>
      </c>
      <c r="C1962" s="106">
        <v>0</v>
      </c>
      <c r="D1962" s="106">
        <v>161563</v>
      </c>
      <c r="E1962" s="106" t="s">
        <v>3052</v>
      </c>
      <c r="F1962" s="106" t="s">
        <v>809</v>
      </c>
      <c r="G1962" s="106" t="s">
        <v>301</v>
      </c>
      <c r="H1962" s="106">
        <v>6</v>
      </c>
      <c r="I1962" s="106" t="s">
        <v>3640</v>
      </c>
      <c r="J1962" s="106">
        <v>26110</v>
      </c>
      <c r="K1962" s="106">
        <v>21526</v>
      </c>
      <c r="L1962" s="106">
        <v>18787</v>
      </c>
      <c r="M1962" s="106">
        <v>0.46</v>
      </c>
      <c r="N1962" s="106">
        <v>0.94</v>
      </c>
      <c r="O1962" s="106">
        <v>1</v>
      </c>
      <c r="P1962" s="106">
        <v>13179</v>
      </c>
      <c r="Q1962" s="106">
        <v>8393.5740570377184</v>
      </c>
      <c r="R1962" s="106">
        <v>0.43735731311823395</v>
      </c>
      <c r="S1962" s="106">
        <v>21274.082796688133</v>
      </c>
      <c r="T1962" s="106">
        <v>18573.888684452621</v>
      </c>
      <c r="U1962" s="106">
        <v>14168.437286147846</v>
      </c>
      <c r="V1962" s="106">
        <v>0.76211631685502457</v>
      </c>
      <c r="W1962" s="106">
        <v>63462.715767634858</v>
      </c>
      <c r="X1962" s="110">
        <v>0.50502404256561617</v>
      </c>
      <c r="Y1962" s="106">
        <v>661.51034482758621</v>
      </c>
      <c r="Z1962" s="106">
        <v>22.489655172413791</v>
      </c>
      <c r="AA1962" s="106">
        <v>70972.771106187603</v>
      </c>
      <c r="AB1962" s="106">
        <v>481.69053044890092</v>
      </c>
      <c r="AC1962" s="106">
        <v>1.4089910601120903</v>
      </c>
      <c r="AD1962" s="106">
        <v>17.904290429042906</v>
      </c>
      <c r="AE1962" s="106">
        <v>147.34101382488478</v>
      </c>
      <c r="AF1962" s="106">
        <v>9.7952049085792983E-2</v>
      </c>
      <c r="AG1962" s="106">
        <v>25200</v>
      </c>
      <c r="AH1962" s="106">
        <v>17012.611775528978</v>
      </c>
      <c r="AI1962" s="106">
        <v>21721.624655013798</v>
      </c>
      <c r="AJ1962" s="106">
        <v>23068.073597056118</v>
      </c>
      <c r="AK1962" s="104">
        <v>14769.738730450781</v>
      </c>
      <c r="AL1962" s="118"/>
      <c r="AM1962" s="118">
        <v>1663</v>
      </c>
      <c r="AN1962" s="118">
        <v>31973</v>
      </c>
      <c r="AO1962" s="118">
        <v>146</v>
      </c>
      <c r="AP1962" s="118">
        <f t="shared" si="30"/>
        <v>910</v>
      </c>
    </row>
    <row r="1963" spans="1:42" ht="12.75">
      <c r="A1963" s="106">
        <v>2018</v>
      </c>
      <c r="B1963" s="106">
        <v>-187046</v>
      </c>
      <c r="C1963" s="106">
        <v>0</v>
      </c>
      <c r="D1963" s="106">
        <v>187046</v>
      </c>
      <c r="E1963" s="106" t="s">
        <v>3053</v>
      </c>
      <c r="F1963" s="106" t="s">
        <v>2199</v>
      </c>
      <c r="G1963" s="106" t="s">
        <v>234</v>
      </c>
      <c r="H1963" s="106">
        <v>2</v>
      </c>
      <c r="I1963" s="106" t="s">
        <v>25</v>
      </c>
      <c r="J1963" s="106">
        <v>7300</v>
      </c>
      <c r="K1963" s="106"/>
      <c r="L1963" s="106"/>
      <c r="M1963" s="106"/>
      <c r="N1963" s="106"/>
      <c r="O1963" s="106"/>
      <c r="P1963" s="106"/>
      <c r="Q1963" s="106">
        <v>25.910537738123946</v>
      </c>
      <c r="R1963" s="106">
        <v>2.1480152873295045E-3</v>
      </c>
      <c r="S1963" s="106">
        <v>17748.807089462262</v>
      </c>
      <c r="T1963" s="106">
        <v>18859.245478659272</v>
      </c>
      <c r="U1963" s="106">
        <v>14414.805172828997</v>
      </c>
      <c r="V1963" s="106">
        <v>0.83501909495214888</v>
      </c>
      <c r="W1963" s="106">
        <v>161612.16286307055</v>
      </c>
      <c r="X1963" s="110">
        <v>0.66400518833497668</v>
      </c>
      <c r="Y1963" s="106"/>
      <c r="Z1963" s="106"/>
      <c r="AA1963" s="106">
        <v>23250.951789856808</v>
      </c>
      <c r="AB1963" s="106">
        <v>494.37380229183537</v>
      </c>
      <c r="AC1963" s="106">
        <v>4.3008992020543797</v>
      </c>
      <c r="AD1963" s="106">
        <v>53.163771712158812</v>
      </c>
      <c r="AE1963" s="106">
        <v>47.031116297160636</v>
      </c>
      <c r="AF1963" s="106">
        <v>-0.10685793526069462</v>
      </c>
      <c r="AG1963" s="106">
        <v>7300</v>
      </c>
      <c r="AH1963" s="106">
        <v>17101.489510489511</v>
      </c>
      <c r="AI1963" s="106">
        <v>17332.249819146371</v>
      </c>
      <c r="AJ1963" s="106">
        <v>17832.448275862069</v>
      </c>
      <c r="AK1963" s="104">
        <v>18763.989389920425</v>
      </c>
      <c r="AL1963" s="119">
        <v>4292000</v>
      </c>
      <c r="AM1963" s="118">
        <v>11141</v>
      </c>
      <c r="AN1963" s="118">
        <v>120917</v>
      </c>
      <c r="AO1963" s="118">
        <v>2303</v>
      </c>
      <c r="AP1963" s="118">
        <f t="shared" si="30"/>
        <v>0</v>
      </c>
    </row>
    <row r="1964" spans="1:42" ht="12.75">
      <c r="A1964" s="106">
        <v>2018</v>
      </c>
      <c r="B1964" s="106">
        <v>-157809</v>
      </c>
      <c r="C1964" s="106">
        <v>0</v>
      </c>
      <c r="D1964" s="106">
        <v>157809</v>
      </c>
      <c r="E1964" s="106" t="s">
        <v>3054</v>
      </c>
      <c r="F1964" s="106" t="s">
        <v>3055</v>
      </c>
      <c r="G1964" s="106" t="s">
        <v>118</v>
      </c>
      <c r="H1964" s="106">
        <v>6</v>
      </c>
      <c r="I1964" s="106" t="s">
        <v>3640</v>
      </c>
      <c r="J1964" s="106">
        <v>30270</v>
      </c>
      <c r="K1964" s="106">
        <v>18517</v>
      </c>
      <c r="L1964" s="106">
        <v>15237</v>
      </c>
      <c r="M1964" s="106">
        <v>0.46</v>
      </c>
      <c r="N1964" s="106">
        <v>0.75</v>
      </c>
      <c r="O1964" s="106">
        <v>0.99</v>
      </c>
      <c r="P1964" s="106">
        <v>15516</v>
      </c>
      <c r="Q1964" s="106">
        <v>9670.0750988142299</v>
      </c>
      <c r="R1964" s="106">
        <v>0.43107551581763209</v>
      </c>
      <c r="S1964" s="106">
        <v>18817.549971767363</v>
      </c>
      <c r="T1964" s="106">
        <v>16884.1976284585</v>
      </c>
      <c r="U1964" s="106">
        <v>15352.173348390739</v>
      </c>
      <c r="V1964" s="106">
        <v>0.8313066395710953</v>
      </c>
      <c r="W1964" s="106">
        <v>73752.970731707319</v>
      </c>
      <c r="X1964" s="110">
        <v>0.50563181340164376</v>
      </c>
      <c r="Y1964" s="106">
        <v>502.03215434083597</v>
      </c>
      <c r="Z1964" s="106">
        <v>17.083601286173632</v>
      </c>
      <c r="AA1964" s="106">
        <v>67465.754342431756</v>
      </c>
      <c r="AB1964" s="106">
        <v>522.41755053416341</v>
      </c>
      <c r="AC1964" s="106">
        <v>1.4822334823744232</v>
      </c>
      <c r="AD1964" s="106">
        <v>23.553477498538868</v>
      </c>
      <c r="AE1964" s="106">
        <v>129.14143920595532</v>
      </c>
      <c r="AF1964" s="106">
        <v>0.19379886480979377</v>
      </c>
      <c r="AG1964" s="106">
        <v>28850</v>
      </c>
      <c r="AH1964" s="106">
        <v>14966.224731789949</v>
      </c>
      <c r="AI1964" s="106">
        <v>18817.549971767363</v>
      </c>
      <c r="AJ1964" s="106">
        <v>20261.431959345002</v>
      </c>
      <c r="AK1964" s="104">
        <v>15352.173348390739</v>
      </c>
      <c r="AL1964" s="118"/>
      <c r="AM1964" s="118">
        <v>1880</v>
      </c>
      <c r="AN1964" s="118">
        <v>52044</v>
      </c>
      <c r="AO1964" s="118">
        <v>343</v>
      </c>
      <c r="AP1964" s="118">
        <f t="shared" si="30"/>
        <v>1420</v>
      </c>
    </row>
    <row r="1965" spans="1:42" ht="12.75">
      <c r="A1965" s="106">
        <v>2018</v>
      </c>
      <c r="B1965" s="106">
        <v>-183275</v>
      </c>
      <c r="C1965" s="106">
        <v>0</v>
      </c>
      <c r="D1965" s="106">
        <v>183275</v>
      </c>
      <c r="E1965" s="106" t="s">
        <v>3056</v>
      </c>
      <c r="F1965" s="106" t="s">
        <v>3057</v>
      </c>
      <c r="G1965" s="106" t="s">
        <v>179</v>
      </c>
      <c r="H1965" s="106">
        <v>7</v>
      </c>
      <c r="I1965" s="106" t="s">
        <v>3641</v>
      </c>
      <c r="J1965" s="106">
        <v>21000</v>
      </c>
      <c r="K1965" s="106">
        <v>16909</v>
      </c>
      <c r="L1965" s="106">
        <v>11751</v>
      </c>
      <c r="M1965" s="106">
        <v>0.38</v>
      </c>
      <c r="N1965" s="106">
        <v>0.77</v>
      </c>
      <c r="O1965" s="106">
        <v>1</v>
      </c>
      <c r="P1965" s="106">
        <v>13753</v>
      </c>
      <c r="Q1965" s="106">
        <v>10990.608695652174</v>
      </c>
      <c r="R1965" s="106">
        <v>0.51622046745619221</v>
      </c>
      <c r="S1965" s="106">
        <v>42620.75</v>
      </c>
      <c r="T1965" s="106">
        <v>32203.684782608696</v>
      </c>
      <c r="U1965" s="106">
        <v>28373.684782608696</v>
      </c>
      <c r="V1965" s="106">
        <v>0.36300973919879065</v>
      </c>
      <c r="W1965" s="106">
        <v>61514.353846153841</v>
      </c>
      <c r="X1965" s="110">
        <v>0.44985771612011721</v>
      </c>
      <c r="Y1965" s="106">
        <v>307.44444444444446</v>
      </c>
      <c r="Z1965" s="106">
        <v>10.222222222222221</v>
      </c>
      <c r="AA1965" s="106">
        <v>87012.633333333331</v>
      </c>
      <c r="AB1965" s="106">
        <v>943.39681966028195</v>
      </c>
      <c r="AC1965" s="106">
        <v>1.1492584027070398</v>
      </c>
      <c r="AD1965" s="106">
        <v>33.333333333333329</v>
      </c>
      <c r="AE1965" s="106">
        <v>92.233333333333334</v>
      </c>
      <c r="AF1965" s="106">
        <v>0.56319225749627855</v>
      </c>
      <c r="AG1965" s="106">
        <v>21000</v>
      </c>
      <c r="AH1965" s="106">
        <v>21911.608695652172</v>
      </c>
      <c r="AI1965" s="106">
        <v>42620.75</v>
      </c>
      <c r="AJ1965" s="106">
        <v>42879.434782608696</v>
      </c>
      <c r="AK1965" s="104">
        <v>28373.684782608696</v>
      </c>
      <c r="AL1965" s="118"/>
      <c r="AM1965" s="118">
        <v>90</v>
      </c>
      <c r="AN1965" s="118">
        <v>2767</v>
      </c>
      <c r="AO1965" s="118">
        <v>30</v>
      </c>
      <c r="AP1965" s="118">
        <f t="shared" si="30"/>
        <v>0</v>
      </c>
    </row>
    <row r="1966" spans="1:42" ht="12.75">
      <c r="A1966" s="106">
        <v>2018</v>
      </c>
      <c r="B1966" s="106">
        <v>-233754</v>
      </c>
      <c r="C1966" s="106">
        <v>0</v>
      </c>
      <c r="D1966" s="106">
        <v>233754</v>
      </c>
      <c r="E1966" s="106" t="s">
        <v>3058</v>
      </c>
      <c r="F1966" s="106" t="s">
        <v>1423</v>
      </c>
      <c r="G1966" s="106" t="s">
        <v>261</v>
      </c>
      <c r="H1966" s="106">
        <v>4</v>
      </c>
      <c r="I1966" s="106" t="s">
        <v>24</v>
      </c>
      <c r="J1966" s="106">
        <v>4679</v>
      </c>
      <c r="K1966" s="106">
        <v>6627</v>
      </c>
      <c r="L1966" s="106">
        <v>5663</v>
      </c>
      <c r="M1966" s="106">
        <v>0.44</v>
      </c>
      <c r="N1966" s="106">
        <v>0.18</v>
      </c>
      <c r="O1966" s="106">
        <v>0.02</v>
      </c>
      <c r="P1966" s="106">
        <v>1742</v>
      </c>
      <c r="Q1966" s="106">
        <v>63.648439014931164</v>
      </c>
      <c r="R1966" s="106">
        <v>1.2730901398318289E-2</v>
      </c>
      <c r="S1966" s="106">
        <v>11451.768082218345</v>
      </c>
      <c r="T1966" s="106">
        <v>12185.179367849525</v>
      </c>
      <c r="U1966" s="106">
        <v>9323.2631057703547</v>
      </c>
      <c r="V1966" s="106">
        <v>0.52941495603919964</v>
      </c>
      <c r="W1966" s="106">
        <v>70885.275390625</v>
      </c>
      <c r="X1966" s="110">
        <v>0.57755976904140849</v>
      </c>
      <c r="Y1966" s="106">
        <v>703.2</v>
      </c>
      <c r="Z1966" s="106">
        <v>23.440909090909091</v>
      </c>
      <c r="AA1966" s="106">
        <v>29660.74511811087</v>
      </c>
      <c r="AB1966" s="106">
        <v>310.78748989332996</v>
      </c>
      <c r="AC1966" s="106">
        <v>3.3714594694703046</v>
      </c>
      <c r="AD1966" s="106">
        <v>36.85766257389723</v>
      </c>
      <c r="AE1966" s="106">
        <v>95.43738433066008</v>
      </c>
      <c r="AF1966" s="106">
        <v>-6.4732372582298359E-2</v>
      </c>
      <c r="AG1966" s="106">
        <v>4313</v>
      </c>
      <c r="AH1966" s="106">
        <v>10660.079891409734</v>
      </c>
      <c r="AI1966" s="106">
        <v>10689.692069032382</v>
      </c>
      <c r="AJ1966" s="106">
        <v>11475.000775644754</v>
      </c>
      <c r="AK1966" s="104">
        <v>11340.113631956563</v>
      </c>
      <c r="AL1966" s="118">
        <v>23941235</v>
      </c>
      <c r="AM1966" s="118">
        <v>8286</v>
      </c>
      <c r="AN1966" s="118">
        <v>154704</v>
      </c>
      <c r="AO1966" s="118">
        <v>908</v>
      </c>
      <c r="AP1966" s="118">
        <f t="shared" si="30"/>
        <v>366</v>
      </c>
    </row>
    <row r="1967" spans="1:42" ht="12.75">
      <c r="A1967" s="106">
        <v>2018</v>
      </c>
      <c r="B1967" s="106">
        <v>-141167</v>
      </c>
      <c r="C1967" s="106">
        <v>0</v>
      </c>
      <c r="D1967" s="106">
        <v>141167</v>
      </c>
      <c r="E1967" s="106" t="s">
        <v>3059</v>
      </c>
      <c r="F1967" s="106" t="s">
        <v>1003</v>
      </c>
      <c r="G1967" s="106" t="s">
        <v>63</v>
      </c>
      <c r="H1967" s="106">
        <v>6</v>
      </c>
      <c r="I1967" s="106" t="s">
        <v>3640</v>
      </c>
      <c r="J1967" s="106">
        <v>16940</v>
      </c>
      <c r="K1967" s="106">
        <v>17420</v>
      </c>
      <c r="L1967" s="106">
        <v>17256</v>
      </c>
      <c r="M1967" s="106">
        <v>0.93</v>
      </c>
      <c r="N1967" s="106">
        <v>0.93</v>
      </c>
      <c r="O1967" s="106">
        <v>0.93</v>
      </c>
      <c r="P1967" s="106">
        <v>6525</v>
      </c>
      <c r="Q1967" s="106">
        <v>4712.9682779456198</v>
      </c>
      <c r="R1967" s="106">
        <v>0.21141875473619251</v>
      </c>
      <c r="S1967" s="106">
        <v>21942.483383685802</v>
      </c>
      <c r="T1967" s="106">
        <v>23406.253776435045</v>
      </c>
      <c r="U1967" s="106">
        <v>22401.030211480364</v>
      </c>
      <c r="V1967" s="106">
        <v>0.78474662837178</v>
      </c>
      <c r="W1967" s="106">
        <v>57523.025844930424</v>
      </c>
      <c r="X1967" s="110">
        <v>0.62244151961866256</v>
      </c>
      <c r="Y1967" s="106">
        <v>238.99576271186439</v>
      </c>
      <c r="Z1967" s="106">
        <v>8.4152542372881349</v>
      </c>
      <c r="AA1967" s="106">
        <v>38518.135064935064</v>
      </c>
      <c r="AB1967" s="106">
        <v>788.76027870857934</v>
      </c>
      <c r="AC1967" s="106">
        <v>2.5961796912393842</v>
      </c>
      <c r="AD1967" s="106">
        <v>36.877394636015325</v>
      </c>
      <c r="AE1967" s="106">
        <v>48.833766233766234</v>
      </c>
      <c r="AF1967" s="106">
        <v>-3.5255621321778834E-2</v>
      </c>
      <c r="AG1967" s="106">
        <v>15940</v>
      </c>
      <c r="AH1967" s="106">
        <v>20836.58912386707</v>
      </c>
      <c r="AI1967" s="106">
        <v>21942.483383685802</v>
      </c>
      <c r="AJ1967" s="106">
        <v>22571.324773413897</v>
      </c>
      <c r="AK1967" s="104">
        <v>22401.030211480364</v>
      </c>
      <c r="AM1967" s="118">
        <v>1118</v>
      </c>
      <c r="AN1967" s="118">
        <v>18801</v>
      </c>
      <c r="AO1967" s="118">
        <v>186</v>
      </c>
      <c r="AP1967" s="118">
        <f t="shared" si="30"/>
        <v>1000</v>
      </c>
    </row>
    <row r="1968" spans="1:42" ht="12.75">
      <c r="A1968" s="106">
        <v>2018</v>
      </c>
      <c r="B1968" s="106">
        <v>-179645</v>
      </c>
      <c r="C1968" s="106">
        <v>0</v>
      </c>
      <c r="D1968" s="106">
        <v>179645</v>
      </c>
      <c r="E1968" s="106" t="s">
        <v>4259</v>
      </c>
      <c r="F1968" s="106" t="s">
        <v>3061</v>
      </c>
      <c r="G1968" s="106" t="s">
        <v>264</v>
      </c>
      <c r="H1968" s="106">
        <v>4</v>
      </c>
      <c r="I1968" s="106" t="s">
        <v>24</v>
      </c>
      <c r="J1968" s="106">
        <v>3810</v>
      </c>
      <c r="K1968" s="106">
        <v>8074</v>
      </c>
      <c r="L1968" s="106">
        <v>7687</v>
      </c>
      <c r="M1968" s="106">
        <v>0.69</v>
      </c>
      <c r="N1968" s="106">
        <v>0.11</v>
      </c>
      <c r="O1968" s="106">
        <v>0.23</v>
      </c>
      <c r="P1968" s="106">
        <v>4531</v>
      </c>
      <c r="Q1968" s="106">
        <v>630.66723622383597</v>
      </c>
      <c r="R1968" s="106">
        <v>0.137657708393259</v>
      </c>
      <c r="S1968" s="106">
        <v>12296.328064929517</v>
      </c>
      <c r="T1968" s="106">
        <v>10192.205467748825</v>
      </c>
      <c r="U1968" s="106">
        <v>8332.0572404955146</v>
      </c>
      <c r="V1968" s="106">
        <v>0.4741624680741372</v>
      </c>
      <c r="W1968" s="106">
        <v>53102.364265927979</v>
      </c>
      <c r="X1968" s="110">
        <v>0.5356242319504988</v>
      </c>
      <c r="Y1968" s="106">
        <v>636.47129909365549</v>
      </c>
      <c r="Z1968" s="106">
        <v>21.217522658610271</v>
      </c>
      <c r="AA1968" s="106">
        <v>19085.465753424658</v>
      </c>
      <c r="AB1968" s="106">
        <v>277.75897129186603</v>
      </c>
      <c r="AC1968" s="106">
        <v>5.2395891874976224</v>
      </c>
      <c r="AD1968" s="106">
        <v>45.002201673271685</v>
      </c>
      <c r="AE1968" s="106">
        <v>68.712328767123282</v>
      </c>
      <c r="AF1968" s="106">
        <v>0.22923891654348766</v>
      </c>
      <c r="AG1968" s="106">
        <v>2760</v>
      </c>
      <c r="AH1968" s="106">
        <v>10470.207603588211</v>
      </c>
      <c r="AI1968" s="106">
        <v>12064.413071337036</v>
      </c>
      <c r="AJ1968" s="106">
        <v>12386.452370781717</v>
      </c>
      <c r="AK1968" s="104">
        <v>8603.6988466467319</v>
      </c>
      <c r="AL1968" s="118">
        <v>8229772</v>
      </c>
      <c r="AM1968" s="118">
        <v>3226</v>
      </c>
      <c r="AN1968" s="118">
        <v>70224</v>
      </c>
      <c r="AO1968" s="118">
        <v>485</v>
      </c>
      <c r="AP1968" s="118">
        <f t="shared" si="30"/>
        <v>1050</v>
      </c>
    </row>
    <row r="1969" spans="1:42" ht="12.75">
      <c r="A1969" s="106">
        <v>2018</v>
      </c>
      <c r="B1969" s="106">
        <v>-129808</v>
      </c>
      <c r="C1969" s="106">
        <v>0</v>
      </c>
      <c r="D1969" s="106">
        <v>129808</v>
      </c>
      <c r="E1969" s="106" t="s">
        <v>3946</v>
      </c>
      <c r="F1969" s="106" t="s">
        <v>3060</v>
      </c>
      <c r="G1969" s="106" t="s">
        <v>99</v>
      </c>
      <c r="H1969" s="106">
        <v>4</v>
      </c>
      <c r="I1969" s="106" t="s">
        <v>24</v>
      </c>
      <c r="J1969" s="106">
        <v>4356</v>
      </c>
      <c r="K1969" s="106">
        <v>6681</v>
      </c>
      <c r="L1969" s="106">
        <v>6610</v>
      </c>
      <c r="M1969" s="106">
        <v>0.53</v>
      </c>
      <c r="N1969" s="106">
        <v>0.05</v>
      </c>
      <c r="O1969" s="106">
        <v>0</v>
      </c>
      <c r="P1969" s="106">
        <v>350</v>
      </c>
      <c r="Q1969" s="106">
        <v>1031.0512704174228</v>
      </c>
      <c r="R1969" s="106">
        <v>0.15227327689718162</v>
      </c>
      <c r="S1969" s="106">
        <v>16062.097096188747</v>
      </c>
      <c r="T1969" s="106">
        <v>17951.527223230489</v>
      </c>
      <c r="U1969" s="106">
        <v>14076.725045372052</v>
      </c>
      <c r="V1969" s="106">
        <v>0.40776581491980268</v>
      </c>
      <c r="W1969" s="106">
        <v>123451.53200568991</v>
      </c>
      <c r="X1969" s="110">
        <v>0.73116864971576256</v>
      </c>
      <c r="Y1969" s="106">
        <v>455.01605504587161</v>
      </c>
      <c r="Z1969" s="106">
        <v>15.165137614678901</v>
      </c>
      <c r="AA1969" s="106">
        <v>58208.446529080677</v>
      </c>
      <c r="AB1969" s="106">
        <v>469.160307883077</v>
      </c>
      <c r="AC1969" s="106">
        <v>1.7179637314326959</v>
      </c>
      <c r="AD1969" s="106">
        <v>23.214285714285715</v>
      </c>
      <c r="AE1969" s="106">
        <v>124.06941838649156</v>
      </c>
      <c r="AF1969" s="106">
        <v>-4.2941074902204245E-2</v>
      </c>
      <c r="AG1969" s="106">
        <v>3816</v>
      </c>
      <c r="AH1969" s="106">
        <v>15439.308076225045</v>
      </c>
      <c r="AI1969" s="106">
        <v>15468.595735027224</v>
      </c>
      <c r="AJ1969" s="106">
        <v>16140.087114337568</v>
      </c>
      <c r="AK1969" s="104">
        <v>15107.987295825771</v>
      </c>
      <c r="AL1969" s="118">
        <v>19139070</v>
      </c>
      <c r="AM1969" s="118">
        <v>4187</v>
      </c>
      <c r="AN1969" s="118">
        <v>66129</v>
      </c>
      <c r="AO1969" s="118">
        <v>472</v>
      </c>
      <c r="AP1969" s="118">
        <f t="shared" si="30"/>
        <v>540</v>
      </c>
    </row>
    <row r="1970" spans="1:42" ht="12.75">
      <c r="A1970" s="106">
        <v>2018</v>
      </c>
      <c r="B1970" s="106">
        <v>-233772</v>
      </c>
      <c r="C1970" s="106">
        <v>0</v>
      </c>
      <c r="D1970" s="106">
        <v>233772</v>
      </c>
      <c r="E1970" s="106" t="s">
        <v>3062</v>
      </c>
      <c r="F1970" s="106" t="s">
        <v>2185</v>
      </c>
      <c r="G1970" s="106" t="s">
        <v>261</v>
      </c>
      <c r="H1970" s="106">
        <v>4</v>
      </c>
      <c r="I1970" s="106" t="s">
        <v>24</v>
      </c>
      <c r="J1970" s="106">
        <v>5434</v>
      </c>
      <c r="K1970" s="106">
        <v>7618</v>
      </c>
      <c r="L1970" s="106">
        <v>6487</v>
      </c>
      <c r="M1970" s="106">
        <v>0.54</v>
      </c>
      <c r="N1970" s="106">
        <v>0.27</v>
      </c>
      <c r="O1970" s="106">
        <v>7.0000000000000007E-2</v>
      </c>
      <c r="P1970" s="106">
        <v>1289</v>
      </c>
      <c r="Q1970" s="106">
        <v>83.888273006544679</v>
      </c>
      <c r="R1970" s="106">
        <v>1.7668164548289542E-2</v>
      </c>
      <c r="S1970" s="106">
        <v>10542.187124348871</v>
      </c>
      <c r="T1970" s="106">
        <v>10908.688793909443</v>
      </c>
      <c r="U1970" s="106">
        <v>8496.6148521925297</v>
      </c>
      <c r="V1970" s="106">
        <v>0.54893649505086806</v>
      </c>
      <c r="W1970" s="106">
        <v>69442.745266781407</v>
      </c>
      <c r="X1970" s="110">
        <v>0.57632759977418824</v>
      </c>
      <c r="Y1970" s="106">
        <v>743.3066740209598</v>
      </c>
      <c r="Z1970" s="106">
        <v>24.777716492002209</v>
      </c>
      <c r="AA1970" s="106">
        <v>29167.425675545837</v>
      </c>
      <c r="AB1970" s="106">
        <v>283.22995246431122</v>
      </c>
      <c r="AC1970" s="106">
        <v>3.4284822086249687</v>
      </c>
      <c r="AD1970" s="106">
        <v>33.318056828597612</v>
      </c>
      <c r="AE1970" s="106">
        <v>102.98143053645117</v>
      </c>
      <c r="AF1970" s="106">
        <v>-1.4285067019515214E-2</v>
      </c>
      <c r="AG1970" s="106">
        <v>4313</v>
      </c>
      <c r="AH1970" s="106">
        <v>9868.0601709630027</v>
      </c>
      <c r="AI1970" s="106">
        <v>9963.8641645518892</v>
      </c>
      <c r="AJ1970" s="106">
        <v>10601.812808868706</v>
      </c>
      <c r="AK1970" s="104">
        <v>10001.243088019233</v>
      </c>
      <c r="AL1970" s="119">
        <v>56916515</v>
      </c>
      <c r="AM1970" s="118">
        <v>22776</v>
      </c>
      <c r="AN1970" s="118">
        <v>449205</v>
      </c>
      <c r="AO1970" s="118">
        <v>2688</v>
      </c>
      <c r="AP1970" s="118">
        <f t="shared" si="30"/>
        <v>1121</v>
      </c>
    </row>
    <row r="1971" spans="1:42" ht="12.75">
      <c r="A1971" s="106">
        <v>2018</v>
      </c>
      <c r="B1971" s="106">
        <v>-206048</v>
      </c>
      <c r="C1971" s="106">
        <v>0</v>
      </c>
      <c r="D1971" s="106">
        <v>206048</v>
      </c>
      <c r="E1971" s="106" t="s">
        <v>3063</v>
      </c>
      <c r="F1971" s="106" t="s">
        <v>1454</v>
      </c>
      <c r="G1971" s="106" t="s">
        <v>82</v>
      </c>
      <c r="H1971" s="106">
        <v>6</v>
      </c>
      <c r="I1971" s="106" t="s">
        <v>3640</v>
      </c>
      <c r="J1971" s="106">
        <v>24000</v>
      </c>
      <c r="K1971" s="106">
        <v>20474</v>
      </c>
      <c r="L1971" s="106">
        <v>17871</v>
      </c>
      <c r="M1971" s="106">
        <v>0.51</v>
      </c>
      <c r="N1971" s="106">
        <v>0.85</v>
      </c>
      <c r="O1971" s="106">
        <v>0.96</v>
      </c>
      <c r="P1971" s="106">
        <v>13458</v>
      </c>
      <c r="Q1971" s="106">
        <v>6757.8848421782868</v>
      </c>
      <c r="R1971" s="106">
        <v>0.37662608748636006</v>
      </c>
      <c r="S1971" s="106">
        <v>15833.992022199098</v>
      </c>
      <c r="T1971" s="106">
        <v>15516.224765868887</v>
      </c>
      <c r="U1971" s="106">
        <v>13385.85535900104</v>
      </c>
      <c r="V1971" s="106">
        <v>0.83560856699213015</v>
      </c>
      <c r="W1971" s="106">
        <v>62034.87254063302</v>
      </c>
      <c r="X1971" s="110">
        <v>0.54037897872715601</v>
      </c>
      <c r="Y1971" s="106">
        <v>503.09330628803252</v>
      </c>
      <c r="Z1971" s="106">
        <v>17.543610547667345</v>
      </c>
      <c r="AA1971" s="106">
        <v>47820.843866171002</v>
      </c>
      <c r="AB1971" s="106">
        <v>466.78465074085273</v>
      </c>
      <c r="AC1971" s="106">
        <v>2.0911383387515063</v>
      </c>
      <c r="AD1971" s="106">
        <v>33.907563025210088</v>
      </c>
      <c r="AE1971" s="106">
        <v>102.44733581164807</v>
      </c>
      <c r="AF1971" s="106">
        <v>2.7130894920159656E-2</v>
      </c>
      <c r="AG1971" s="106">
        <v>23700</v>
      </c>
      <c r="AH1971" s="106">
        <v>15318.263961151579</v>
      </c>
      <c r="AI1971" s="106">
        <v>15839.429760665973</v>
      </c>
      <c r="AJ1971" s="106">
        <v>16023.94901144641</v>
      </c>
      <c r="AK1971" s="104">
        <v>13385.85535900104</v>
      </c>
      <c r="AL1971" s="118"/>
      <c r="AM1971" s="118">
        <v>2243</v>
      </c>
      <c r="AN1971" s="118">
        <v>82675</v>
      </c>
      <c r="AO1971" s="118">
        <v>426</v>
      </c>
      <c r="AP1971" s="118">
        <f t="shared" si="30"/>
        <v>300</v>
      </c>
    </row>
    <row r="1972" spans="1:42" ht="12.75">
      <c r="A1972" s="106">
        <v>2018</v>
      </c>
      <c r="B1972" s="106">
        <v>-420723</v>
      </c>
      <c r="C1972" s="106">
        <v>0</v>
      </c>
      <c r="D1972" s="106">
        <v>420723</v>
      </c>
      <c r="E1972" s="106" t="s">
        <v>3064</v>
      </c>
      <c r="F1972" s="106" t="s">
        <v>3065</v>
      </c>
      <c r="G1972" s="106" t="s">
        <v>405</v>
      </c>
      <c r="H1972" s="106">
        <v>4</v>
      </c>
      <c r="I1972" s="106" t="s">
        <v>24</v>
      </c>
      <c r="J1972" s="106">
        <v>3852</v>
      </c>
      <c r="K1972" s="106">
        <v>5058</v>
      </c>
      <c r="L1972" s="106">
        <v>5195</v>
      </c>
      <c r="M1972" s="106">
        <v>0.64</v>
      </c>
      <c r="N1972" s="106">
        <v>0.1</v>
      </c>
      <c r="O1972" s="106">
        <v>0.33</v>
      </c>
      <c r="P1972" s="106">
        <v>1850</v>
      </c>
      <c r="Q1972" s="106">
        <v>853.12367491166083</v>
      </c>
      <c r="R1972" s="106">
        <v>0.21697797812911157</v>
      </c>
      <c r="S1972" s="106">
        <v>23966.159010600706</v>
      </c>
      <c r="T1972" s="106">
        <v>19950.763250883392</v>
      </c>
      <c r="U1972" s="106">
        <v>15322.31448763251</v>
      </c>
      <c r="V1972" s="106">
        <v>0.20093053504035202</v>
      </c>
      <c r="W1972" s="106">
        <v>73752.776223776222</v>
      </c>
      <c r="X1972" s="110">
        <v>0.62265460587956289</v>
      </c>
      <c r="Y1972" s="106">
        <v>695.34545454545446</v>
      </c>
      <c r="Z1972" s="106">
        <v>15.436363636363634</v>
      </c>
      <c r="AA1972" s="106">
        <v>47650.714285714283</v>
      </c>
      <c r="AB1972" s="106">
        <v>340.14865076874804</v>
      </c>
      <c r="AC1972" s="106">
        <v>2.0986044280553431</v>
      </c>
      <c r="AD1972" s="106">
        <v>53.846153846153847</v>
      </c>
      <c r="AE1972" s="106">
        <v>140.08791208791209</v>
      </c>
      <c r="AF1972" s="106">
        <v>0.10898155773502034</v>
      </c>
      <c r="AG1972" s="106">
        <v>3456</v>
      </c>
      <c r="AH1972" s="106">
        <v>23412.50883392226</v>
      </c>
      <c r="AI1972" s="106">
        <v>23412.50883392226</v>
      </c>
      <c r="AJ1972" s="106">
        <v>24338.68551236749</v>
      </c>
      <c r="AK1972" s="104">
        <v>16755.95406360424</v>
      </c>
      <c r="AL1972" s="118">
        <v>4409057</v>
      </c>
      <c r="AM1972" s="118">
        <v>294</v>
      </c>
      <c r="AN1972" s="118">
        <v>12748</v>
      </c>
      <c r="AO1972" s="118">
        <v>87</v>
      </c>
      <c r="AP1972" s="118">
        <f t="shared" si="30"/>
        <v>396</v>
      </c>
    </row>
    <row r="1973" spans="1:42">
      <c r="A1973" s="106">
        <v>2018</v>
      </c>
      <c r="B1973" s="106">
        <v>-141185</v>
      </c>
      <c r="C1973" s="106">
        <v>0</v>
      </c>
      <c r="D1973" s="106">
        <v>141185</v>
      </c>
      <c r="E1973" s="106" t="s">
        <v>3066</v>
      </c>
      <c r="F1973" s="106" t="s">
        <v>3067</v>
      </c>
      <c r="G1973" s="106" t="s">
        <v>63</v>
      </c>
      <c r="H1973" s="106">
        <v>7</v>
      </c>
      <c r="I1973" s="106" t="s">
        <v>3641</v>
      </c>
      <c r="J1973" s="107">
        <v>22104</v>
      </c>
      <c r="K1973" s="107">
        <v>21934</v>
      </c>
      <c r="L1973" s="107">
        <v>20629</v>
      </c>
      <c r="M1973" s="107">
        <v>0.51</v>
      </c>
      <c r="N1973" s="107">
        <v>0.66</v>
      </c>
      <c r="O1973" s="107">
        <v>0.82</v>
      </c>
      <c r="P1973" s="107">
        <v>9663</v>
      </c>
      <c r="Q1973" s="107">
        <v>6254.8933582787649</v>
      </c>
      <c r="R1973" s="107">
        <v>0.37801060309610585</v>
      </c>
      <c r="S1973" s="107">
        <v>15509.650140318054</v>
      </c>
      <c r="T1973" s="107">
        <v>13919.071094480823</v>
      </c>
      <c r="U1973" s="107">
        <v>11455.677131012299</v>
      </c>
      <c r="V1973" s="107">
        <v>0.89841737876469319</v>
      </c>
      <c r="W1973" s="107">
        <v>55277.089887640446</v>
      </c>
      <c r="X1973" s="111">
        <v>0.5510562964973188</v>
      </c>
      <c r="Y1973" s="107">
        <v>464.86956521739131</v>
      </c>
      <c r="Z1973" s="107">
        <v>15.492753623188406</v>
      </c>
      <c r="AA1973" s="107">
        <v>85042.492035084346</v>
      </c>
      <c r="AB1973" s="107">
        <v>381.78447602731472</v>
      </c>
      <c r="AC1973" s="107">
        <v>1.175882757042737</v>
      </c>
      <c r="AD1973" s="107">
        <v>13.284132841328415</v>
      </c>
      <c r="AE1973" s="107">
        <v>222.75</v>
      </c>
      <c r="AF1973" s="107">
        <v>9.1935573629569778E-2</v>
      </c>
      <c r="AG1973" s="107">
        <v>21334</v>
      </c>
      <c r="AH1973" s="107">
        <v>14846.193638914874</v>
      </c>
      <c r="AI1973" s="107">
        <v>15586.099158091674</v>
      </c>
      <c r="AJ1973" s="107">
        <v>15606.637043966324</v>
      </c>
      <c r="AK1973" s="104">
        <v>11792.264733395697</v>
      </c>
      <c r="AM1973" s="118">
        <v>1411</v>
      </c>
      <c r="AN1973" s="118">
        <v>32076</v>
      </c>
      <c r="AO1973" s="118">
        <v>143</v>
      </c>
      <c r="AP1973" s="118">
        <f t="shared" si="30"/>
        <v>770</v>
      </c>
    </row>
    <row r="1974" spans="1:42" ht="12.75">
      <c r="A1974" s="106">
        <v>2018</v>
      </c>
      <c r="B1974" s="106">
        <v>-196565</v>
      </c>
      <c r="C1974" s="106">
        <v>0</v>
      </c>
      <c r="D1974" s="106">
        <v>196565</v>
      </c>
      <c r="E1974" s="106" t="s">
        <v>3068</v>
      </c>
      <c r="F1974" s="106" t="s">
        <v>3069</v>
      </c>
      <c r="G1974" s="106" t="s">
        <v>69</v>
      </c>
      <c r="H1974" s="106">
        <v>4</v>
      </c>
      <c r="I1974" s="106" t="s">
        <v>24</v>
      </c>
      <c r="J1974" s="106">
        <v>6014</v>
      </c>
      <c r="K1974" s="106">
        <v>10017</v>
      </c>
      <c r="L1974" s="106">
        <v>8415</v>
      </c>
      <c r="M1974" s="106">
        <v>0.7</v>
      </c>
      <c r="N1974" s="106">
        <v>0.56999999999999995</v>
      </c>
      <c r="O1974" s="106">
        <v>0.2</v>
      </c>
      <c r="P1974" s="106">
        <v>1626</v>
      </c>
      <c r="Q1974" s="106"/>
      <c r="R1974" s="106"/>
      <c r="S1974" s="106">
        <v>13204.991633006348</v>
      </c>
      <c r="T1974" s="106">
        <v>14801.358049624929</v>
      </c>
      <c r="U1974" s="106">
        <v>13562.100403923832</v>
      </c>
      <c r="V1974" s="106">
        <v>0.44905889090469692</v>
      </c>
      <c r="W1974" s="106">
        <v>93217.450980392154</v>
      </c>
      <c r="X1974" s="110">
        <v>0.55601758443470284</v>
      </c>
      <c r="Y1974" s="106">
        <v>881.17796610169489</v>
      </c>
      <c r="Z1974" s="106">
        <v>29.372881355932204</v>
      </c>
      <c r="AA1974" s="106">
        <v>69742.195845697323</v>
      </c>
      <c r="AB1974" s="106">
        <v>452.07436116908224</v>
      </c>
      <c r="AC1974" s="106">
        <v>1.4338521864331204</v>
      </c>
      <c r="AD1974" s="106">
        <v>32.110528823249169</v>
      </c>
      <c r="AE1974" s="106">
        <v>154.27151335311572</v>
      </c>
      <c r="AF1974" s="106">
        <v>-0.31998134128537864</v>
      </c>
      <c r="AG1974" s="106">
        <v>4950</v>
      </c>
      <c r="AH1974" s="106">
        <v>12975.635603000577</v>
      </c>
      <c r="AI1974" s="106">
        <v>12975.635603000577</v>
      </c>
      <c r="AJ1974" s="106">
        <v>13204.991633006348</v>
      </c>
      <c r="AK1974" s="104">
        <v>14801.358049624929</v>
      </c>
      <c r="AL1974" s="118">
        <v>19648489</v>
      </c>
      <c r="AM1974" s="118">
        <v>2632</v>
      </c>
      <c r="AN1974" s="118">
        <v>103979</v>
      </c>
      <c r="AO1974" s="118">
        <v>662</v>
      </c>
      <c r="AP1974" s="118">
        <f t="shared" si="30"/>
        <v>1064</v>
      </c>
    </row>
    <row r="1975" spans="1:42" ht="12.75">
      <c r="A1975" s="106">
        <v>2018</v>
      </c>
      <c r="B1975" s="106">
        <v>-176406</v>
      </c>
      <c r="C1975" s="106">
        <v>0</v>
      </c>
      <c r="D1975" s="106">
        <v>176406</v>
      </c>
      <c r="E1975" s="106" t="s">
        <v>3070</v>
      </c>
      <c r="F1975" s="106" t="s">
        <v>3071</v>
      </c>
      <c r="G1975" s="106" t="s">
        <v>107</v>
      </c>
      <c r="H1975" s="106">
        <v>7</v>
      </c>
      <c r="I1975" s="106" t="s">
        <v>3641</v>
      </c>
      <c r="J1975" s="106">
        <v>10600</v>
      </c>
      <c r="K1975" s="106">
        <v>11796</v>
      </c>
      <c r="L1975" s="106">
        <v>12202</v>
      </c>
      <c r="M1975" s="106">
        <v>0.78</v>
      </c>
      <c r="N1975" s="106">
        <v>0.66</v>
      </c>
      <c r="O1975" s="106">
        <v>0.51</v>
      </c>
      <c r="P1975" s="106">
        <v>8382</v>
      </c>
      <c r="Q1975" s="107">
        <v>3301.7182254196641</v>
      </c>
      <c r="R1975" s="106">
        <v>0.32265689583554258</v>
      </c>
      <c r="S1975" s="106">
        <v>30624.841726618706</v>
      </c>
      <c r="T1975" s="106">
        <v>29711.645083932854</v>
      </c>
      <c r="U1975" s="106">
        <v>17736.009495493341</v>
      </c>
      <c r="V1975" s="106">
        <v>0.39079757203571852</v>
      </c>
      <c r="W1975" s="106">
        <v>57229.696815286617</v>
      </c>
      <c r="X1975" s="110">
        <v>0.60433409665210513</v>
      </c>
      <c r="Y1975" s="106">
        <v>363.2912621359223</v>
      </c>
      <c r="Z1975" s="106">
        <v>12.145631067961164</v>
      </c>
      <c r="AA1975" s="106">
        <v>107969.57605285727</v>
      </c>
      <c r="AB1975" s="106">
        <v>592.95405753393118</v>
      </c>
      <c r="AC1975" s="106">
        <v>0.92618683573458038</v>
      </c>
      <c r="AD1975" s="106">
        <v>17.385786802030456</v>
      </c>
      <c r="AE1975" s="106">
        <v>182.08759124087592</v>
      </c>
      <c r="AF1975" s="106">
        <v>0.50417566455494445</v>
      </c>
      <c r="AG1975" s="106">
        <v>10130</v>
      </c>
      <c r="AH1975" s="106">
        <v>18673.001199040766</v>
      </c>
      <c r="AI1975" s="106">
        <v>26507.225419664268</v>
      </c>
      <c r="AJ1975" s="106">
        <v>32004.158273381294</v>
      </c>
      <c r="AK1975" s="104">
        <v>26167.348920863311</v>
      </c>
      <c r="AL1975" s="118"/>
      <c r="AM1975" s="118">
        <v>793</v>
      </c>
      <c r="AN1975" s="118">
        <v>24946</v>
      </c>
      <c r="AO1975" s="118">
        <v>130</v>
      </c>
      <c r="AP1975" s="118">
        <f t="shared" si="30"/>
        <v>470</v>
      </c>
    </row>
    <row r="1976" spans="1:42" ht="12.75">
      <c r="A1976" s="106">
        <v>2018</v>
      </c>
      <c r="B1976" s="106">
        <v>-196592</v>
      </c>
      <c r="C1976" s="106">
        <v>0</v>
      </c>
      <c r="D1976" s="106">
        <v>196592</v>
      </c>
      <c r="E1976" s="106" t="s">
        <v>3072</v>
      </c>
      <c r="F1976" s="106" t="s">
        <v>290</v>
      </c>
      <c r="G1976" s="106" t="s">
        <v>69</v>
      </c>
      <c r="H1976" s="106">
        <v>6</v>
      </c>
      <c r="I1976" s="106" t="s">
        <v>3640</v>
      </c>
      <c r="J1976" s="106">
        <v>17054</v>
      </c>
      <c r="K1976" s="106">
        <v>19643</v>
      </c>
      <c r="L1976" s="106">
        <v>16725</v>
      </c>
      <c r="M1976" s="106">
        <v>0.51</v>
      </c>
      <c r="N1976" s="106">
        <v>0.21</v>
      </c>
      <c r="O1976" s="106">
        <v>0.89</v>
      </c>
      <c r="P1976" s="106">
        <v>5016</v>
      </c>
      <c r="Q1976" s="106">
        <v>3206.5619223659887</v>
      </c>
      <c r="R1976" s="106">
        <v>0.13173232083531086</v>
      </c>
      <c r="S1976" s="106">
        <v>24988.415249537891</v>
      </c>
      <c r="T1976" s="106">
        <v>22392.513863216267</v>
      </c>
      <c r="U1976" s="106">
        <v>21814.695009242143</v>
      </c>
      <c r="V1976" s="106">
        <v>0.96883936704302331</v>
      </c>
      <c r="W1976" s="106">
        <v>89172.433352240492</v>
      </c>
      <c r="X1976" s="110">
        <v>0.64886271240305915</v>
      </c>
      <c r="Y1976" s="106">
        <v>306.73745173745175</v>
      </c>
      <c r="Z1976" s="106">
        <v>13.925353925353924</v>
      </c>
      <c r="AA1976" s="106">
        <v>55058.315838581759</v>
      </c>
      <c r="AB1976" s="106">
        <v>990.34971783414107</v>
      </c>
      <c r="AC1976" s="106">
        <v>1.8162560637193634</v>
      </c>
      <c r="AD1976" s="106">
        <v>46.012665020929482</v>
      </c>
      <c r="AE1976" s="106">
        <v>55.59482155353394</v>
      </c>
      <c r="AF1976" s="106">
        <v>8.3405901210624481E-2</v>
      </c>
      <c r="AG1976" s="106">
        <v>16354</v>
      </c>
      <c r="AH1976" s="106">
        <v>24401.446672828097</v>
      </c>
      <c r="AI1976" s="106">
        <v>24988.415249537891</v>
      </c>
      <c r="AJ1976" s="106">
        <v>25221.31728280961</v>
      </c>
      <c r="AK1976" s="104">
        <v>21814.695009242143</v>
      </c>
      <c r="AL1976" s="118"/>
      <c r="AM1976" s="118">
        <v>6426</v>
      </c>
      <c r="AN1976" s="118">
        <v>238335</v>
      </c>
      <c r="AO1976" s="118">
        <v>1843</v>
      </c>
      <c r="AP1976" s="118">
        <f t="shared" si="30"/>
        <v>700</v>
      </c>
    </row>
    <row r="1977" spans="1:42" ht="12.75">
      <c r="A1977" s="106">
        <v>2018</v>
      </c>
      <c r="B1977" s="106">
        <v>-459727</v>
      </c>
      <c r="C1977" s="106">
        <v>0</v>
      </c>
      <c r="D1977" s="106">
        <v>459727</v>
      </c>
      <c r="E1977" s="106" t="s">
        <v>3073</v>
      </c>
      <c r="F1977" s="106" t="s">
        <v>3074</v>
      </c>
      <c r="G1977" s="106" t="s">
        <v>121</v>
      </c>
      <c r="H1977" s="106">
        <v>6</v>
      </c>
      <c r="I1977" s="106" t="s">
        <v>3640</v>
      </c>
      <c r="J1977" s="106">
        <v>14600</v>
      </c>
      <c r="K1977" s="106">
        <v>19045</v>
      </c>
      <c r="L1977" s="106">
        <v>18093</v>
      </c>
      <c r="M1977" s="106">
        <v>0.69</v>
      </c>
      <c r="N1977" s="106">
        <v>0.23</v>
      </c>
      <c r="O1977" s="106">
        <v>0.35</v>
      </c>
      <c r="P1977" s="106">
        <v>1133</v>
      </c>
      <c r="Q1977" s="106">
        <v>4030.0958421423538</v>
      </c>
      <c r="R1977" s="106">
        <v>0.31399612928674248</v>
      </c>
      <c r="S1977" s="106">
        <v>8955.9436222692038</v>
      </c>
      <c r="T1977" s="106">
        <v>10987.133897110642</v>
      </c>
      <c r="U1977" s="106">
        <v>10715.542635658914</v>
      </c>
      <c r="V1977" s="106">
        <v>0.8216814405188172</v>
      </c>
      <c r="W1977" s="106">
        <v>88703.617924528313</v>
      </c>
      <c r="X1977" s="110">
        <v>0.40205838810889255</v>
      </c>
      <c r="Y1977" s="106">
        <v>839.18181818181813</v>
      </c>
      <c r="Z1977" s="106">
        <v>32.25</v>
      </c>
      <c r="AA1977" s="106">
        <v>36995.997566909973</v>
      </c>
      <c r="AB1977" s="106">
        <v>411.80140288159464</v>
      </c>
      <c r="AC1977" s="106">
        <v>2.7029950961355391</v>
      </c>
      <c r="AD1977" s="106">
        <v>43.492063492063494</v>
      </c>
      <c r="AE1977" s="106">
        <v>89.839416058394164</v>
      </c>
      <c r="AF1977" s="106"/>
      <c r="AG1977" s="106">
        <v>14400</v>
      </c>
      <c r="AH1977" s="106">
        <v>8917.2191684284699</v>
      </c>
      <c r="AI1977" s="106">
        <v>8955.9436222692038</v>
      </c>
      <c r="AJ1977" s="106">
        <v>8958.1571529245939</v>
      </c>
      <c r="AK1977" s="104">
        <v>10715.542635658914</v>
      </c>
      <c r="AL1977" s="118"/>
      <c r="AM1977" s="118">
        <v>538</v>
      </c>
      <c r="AN1977" s="118">
        <v>36924</v>
      </c>
      <c r="AO1977" s="118">
        <v>156</v>
      </c>
      <c r="AP1977" s="118">
        <f t="shared" si="30"/>
        <v>200</v>
      </c>
    </row>
    <row r="1978" spans="1:42" ht="12.75">
      <c r="A1978" s="106">
        <v>2018</v>
      </c>
      <c r="B1978" s="106">
        <v>-164076</v>
      </c>
      <c r="C1978" s="106">
        <v>0</v>
      </c>
      <c r="D1978" s="106">
        <v>164076</v>
      </c>
      <c r="E1978" s="106" t="s">
        <v>3075</v>
      </c>
      <c r="F1978" s="106" t="s">
        <v>3076</v>
      </c>
      <c r="G1978" s="106" t="s">
        <v>124</v>
      </c>
      <c r="H1978" s="106">
        <v>2</v>
      </c>
      <c r="I1978" s="106" t="s">
        <v>25</v>
      </c>
      <c r="J1978" s="106">
        <v>9694</v>
      </c>
      <c r="K1978" s="106">
        <v>16148</v>
      </c>
      <c r="L1978" s="106">
        <v>9390</v>
      </c>
      <c r="M1978" s="106">
        <v>0.28999999999999998</v>
      </c>
      <c r="N1978" s="106">
        <v>0.57999999999999996</v>
      </c>
      <c r="O1978" s="106">
        <v>0.46</v>
      </c>
      <c r="P1978" s="106">
        <v>4894</v>
      </c>
      <c r="Q1978" s="107">
        <v>2121.2709917971665</v>
      </c>
      <c r="R1978" s="106">
        <v>0.22450264244115101</v>
      </c>
      <c r="S1978" s="106">
        <v>21426.600447427292</v>
      </c>
      <c r="T1978" s="106">
        <v>21058.524036788465</v>
      </c>
      <c r="U1978" s="106">
        <v>12787.572882252904</v>
      </c>
      <c r="V1978" s="106">
        <v>0.5730161947805541</v>
      </c>
      <c r="W1978" s="106">
        <v>91979.429405789735</v>
      </c>
      <c r="X1978" s="110">
        <v>0.57006870223116546</v>
      </c>
      <c r="Y1978" s="106">
        <v>503.55025553662693</v>
      </c>
      <c r="Z1978" s="106">
        <v>17.133730834752981</v>
      </c>
      <c r="AA1978" s="106">
        <v>44874.743287947866</v>
      </c>
      <c r="AB1978" s="106">
        <v>435.10817318683888</v>
      </c>
      <c r="AC1978" s="106">
        <v>2.2284250042018021</v>
      </c>
      <c r="AD1978" s="106">
        <v>28.779434653813325</v>
      </c>
      <c r="AE1978" s="106">
        <v>103.13468248429868</v>
      </c>
      <c r="AF1978" s="106">
        <v>4.3679894004376059E-2</v>
      </c>
      <c r="AG1978" s="106">
        <v>6692</v>
      </c>
      <c r="AH1978" s="106">
        <v>20874.602336564752</v>
      </c>
      <c r="AI1978" s="106">
        <v>20874.897738006464</v>
      </c>
      <c r="AJ1978" s="106">
        <v>21685.716679095203</v>
      </c>
      <c r="AK1978" s="104">
        <v>14751.706189410887</v>
      </c>
      <c r="AL1978" s="119">
        <v>117705641</v>
      </c>
      <c r="AM1978" s="118">
        <v>19596</v>
      </c>
      <c r="AN1978" s="118">
        <v>591168</v>
      </c>
      <c r="AO1978" s="118">
        <v>4609</v>
      </c>
      <c r="AP1978" s="118">
        <f t="shared" si="30"/>
        <v>3002</v>
      </c>
    </row>
    <row r="1979" spans="1:42" ht="12.75">
      <c r="A1979" s="106">
        <v>2018</v>
      </c>
      <c r="B1979" s="106">
        <v>-157818</v>
      </c>
      <c r="C1979" s="106">
        <v>0</v>
      </c>
      <c r="D1979" s="106">
        <v>157818</v>
      </c>
      <c r="E1979" s="106" t="s">
        <v>3077</v>
      </c>
      <c r="F1979" s="106" t="s">
        <v>413</v>
      </c>
      <c r="G1979" s="106" t="s">
        <v>118</v>
      </c>
      <c r="H1979" s="106">
        <v>7</v>
      </c>
      <c r="I1979" s="106" t="s">
        <v>3641</v>
      </c>
      <c r="J1979" s="106">
        <v>37290</v>
      </c>
      <c r="K1979" s="106">
        <v>26125</v>
      </c>
      <c r="L1979" s="106">
        <v>21048</v>
      </c>
      <c r="M1979" s="106">
        <v>0.28000000000000003</v>
      </c>
      <c r="N1979" s="106">
        <v>0.65</v>
      </c>
      <c r="O1979" s="106">
        <v>1</v>
      </c>
      <c r="P1979" s="107">
        <v>19281</v>
      </c>
      <c r="Q1979" s="107">
        <v>15498.596858638743</v>
      </c>
      <c r="R1979" s="106">
        <v>0.50369023436491933</v>
      </c>
      <c r="S1979" s="106">
        <v>27410.013961605586</v>
      </c>
      <c r="T1979" s="106">
        <v>34582.987783595112</v>
      </c>
      <c r="U1979" s="106">
        <v>27543.746292093994</v>
      </c>
      <c r="V1979" s="106">
        <v>0.55444524377510329</v>
      </c>
      <c r="W1979" s="106">
        <v>69111.759537572259</v>
      </c>
      <c r="X1979" s="110">
        <v>0.50280509962327513</v>
      </c>
      <c r="Y1979" s="106">
        <v>386.41573033707863</v>
      </c>
      <c r="Z1979" s="106">
        <v>12.876404494382022</v>
      </c>
      <c r="AA1979" s="106">
        <v>149597.78791819772</v>
      </c>
      <c r="AB1979" s="106">
        <v>917.83121312958963</v>
      </c>
      <c r="AC1979" s="106">
        <v>0.66845908212681249</v>
      </c>
      <c r="AD1979" s="106">
        <v>21.887966804979254</v>
      </c>
      <c r="AE1979" s="106">
        <v>162.99052132701422</v>
      </c>
      <c r="AF1979" s="106">
        <v>-1.7887330249182924E-2</v>
      </c>
      <c r="AG1979" s="106">
        <v>35770</v>
      </c>
      <c r="AH1979" s="106">
        <v>23147.290575916231</v>
      </c>
      <c r="AI1979" s="106">
        <v>27410.013961605586</v>
      </c>
      <c r="AJ1979" s="106">
        <v>30840.648342059336</v>
      </c>
      <c r="AK1979" s="104">
        <v>27623.743455497381</v>
      </c>
      <c r="AM1979" s="118">
        <v>966</v>
      </c>
      <c r="AN1979" s="118">
        <v>34391</v>
      </c>
      <c r="AO1979" s="118">
        <v>211</v>
      </c>
      <c r="AP1979" s="118">
        <f t="shared" si="30"/>
        <v>1520</v>
      </c>
    </row>
    <row r="1980" spans="1:42" ht="12.75">
      <c r="A1980" s="106">
        <v>2018</v>
      </c>
      <c r="B1980" s="106">
        <v>-210234</v>
      </c>
      <c r="C1980" s="106">
        <v>0</v>
      </c>
      <c r="D1980" s="106">
        <v>210234</v>
      </c>
      <c r="E1980" s="106" t="s">
        <v>3078</v>
      </c>
      <c r="F1980" s="106" t="s">
        <v>3079</v>
      </c>
      <c r="G1980" s="106" t="s">
        <v>405</v>
      </c>
      <c r="H1980" s="106">
        <v>4</v>
      </c>
      <c r="I1980" s="106" t="s">
        <v>24</v>
      </c>
      <c r="J1980" s="106">
        <v>5203</v>
      </c>
      <c r="K1980" s="107">
        <v>10707</v>
      </c>
      <c r="L1980" s="107">
        <v>9937</v>
      </c>
      <c r="M1980" s="107">
        <v>0.64</v>
      </c>
      <c r="N1980" s="107">
        <v>0.49</v>
      </c>
      <c r="O1980" s="107">
        <v>0.42</v>
      </c>
      <c r="P1980" s="107">
        <v>1922</v>
      </c>
      <c r="Q1980" s="106">
        <v>446.09720062208396</v>
      </c>
      <c r="R1980" s="106">
        <v>7.9607386733337226E-2</v>
      </c>
      <c r="S1980" s="106">
        <v>23941.65163297045</v>
      </c>
      <c r="T1980" s="106">
        <v>23750.465007776049</v>
      </c>
      <c r="U1980" s="106">
        <v>15445.501555209954</v>
      </c>
      <c r="V1980" s="106">
        <v>0.33392369649671261</v>
      </c>
      <c r="W1980" s="106">
        <v>71009.413570274643</v>
      </c>
      <c r="X1980" s="110">
        <v>0.47970277933168404</v>
      </c>
      <c r="Y1980" s="106">
        <v>638.11764705882365</v>
      </c>
      <c r="Z1980" s="106">
        <v>14.183823529411766</v>
      </c>
      <c r="AA1980" s="106">
        <v>48094.225181598064</v>
      </c>
      <c r="AB1980" s="106">
        <v>343.31642353429203</v>
      </c>
      <c r="AC1980" s="106">
        <v>2.0792517110403987</v>
      </c>
      <c r="AD1980" s="106">
        <v>35.389888603256217</v>
      </c>
      <c r="AE1980" s="106">
        <v>140.08716707021793</v>
      </c>
      <c r="AF1980" s="106">
        <v>-3.8472212201933371E-2</v>
      </c>
      <c r="AG1980" s="106">
        <v>4257</v>
      </c>
      <c r="AH1980" s="106">
        <v>21184.974339035769</v>
      </c>
      <c r="AI1980" s="106">
        <v>21184.974339035769</v>
      </c>
      <c r="AJ1980" s="106">
        <v>23964.015552099532</v>
      </c>
      <c r="AK1980" s="104">
        <v>18702.613530326595</v>
      </c>
      <c r="AL1980" s="118">
        <v>11122350</v>
      </c>
      <c r="AM1980" s="118">
        <v>1793</v>
      </c>
      <c r="AN1980" s="118">
        <v>57856</v>
      </c>
      <c r="AO1980" s="118">
        <v>258</v>
      </c>
      <c r="AP1980" s="118">
        <f t="shared" si="30"/>
        <v>946</v>
      </c>
    </row>
    <row r="1981" spans="1:42" ht="12.75">
      <c r="A1981" s="106">
        <v>2018</v>
      </c>
      <c r="B1981" s="106">
        <v>-221892</v>
      </c>
      <c r="C1981" s="106">
        <v>0</v>
      </c>
      <c r="D1981" s="106">
        <v>221892</v>
      </c>
      <c r="E1981" s="106" t="s">
        <v>3080</v>
      </c>
      <c r="F1981" s="106" t="s">
        <v>331</v>
      </c>
      <c r="G1981" s="106" t="s">
        <v>255</v>
      </c>
      <c r="H1981" s="106">
        <v>5</v>
      </c>
      <c r="I1981" s="106" t="s">
        <v>3639</v>
      </c>
      <c r="J1981" s="106">
        <v>25100</v>
      </c>
      <c r="K1981" s="106">
        <v>18996</v>
      </c>
      <c r="L1981" s="106">
        <v>14688</v>
      </c>
      <c r="M1981" s="106">
        <v>0.38</v>
      </c>
      <c r="N1981" s="106">
        <v>0.56000000000000005</v>
      </c>
      <c r="O1981" s="106">
        <v>1</v>
      </c>
      <c r="P1981" s="107">
        <v>13133</v>
      </c>
      <c r="Q1981" s="107">
        <v>5062.1795195954492</v>
      </c>
      <c r="R1981" s="106">
        <v>0.38243439394228451</v>
      </c>
      <c r="S1981" s="106">
        <v>16525.673198482931</v>
      </c>
      <c r="T1981" s="106">
        <v>16630.396333754739</v>
      </c>
      <c r="U1981" s="106">
        <v>14285.753160556258</v>
      </c>
      <c r="V1981" s="106">
        <v>0.57221673932170491</v>
      </c>
      <c r="W1981" s="106">
        <v>68395.378378378373</v>
      </c>
      <c r="X1981" s="110">
        <v>0.52903218167789956</v>
      </c>
      <c r="Y1981" s="106">
        <v>591.96818181818185</v>
      </c>
      <c r="Z1981" s="106">
        <v>21.572727272727274</v>
      </c>
      <c r="AA1981" s="106">
        <v>54327.070913461539</v>
      </c>
      <c r="AB1981" s="106">
        <v>520.60679320909446</v>
      </c>
      <c r="AC1981" s="106">
        <v>1.8407029556092136</v>
      </c>
      <c r="AD1981" s="106">
        <v>34.652228238234066</v>
      </c>
      <c r="AE1981" s="107">
        <v>104.35336538461539</v>
      </c>
      <c r="AF1981" s="106">
        <v>6.9672371103060557E-2</v>
      </c>
      <c r="AG1981" s="106">
        <v>24200</v>
      </c>
      <c r="AH1981" s="106">
        <v>10738.412768647282</v>
      </c>
      <c r="AI1981" s="106">
        <v>11797.395385587863</v>
      </c>
      <c r="AJ1981" s="106">
        <v>18271.697534766117</v>
      </c>
      <c r="AK1981" s="104">
        <v>14285.753160556258</v>
      </c>
      <c r="AL1981" s="118"/>
      <c r="AM1981" s="118">
        <v>2219</v>
      </c>
      <c r="AN1981" s="118">
        <v>86822</v>
      </c>
      <c r="AO1981" s="118">
        <v>409</v>
      </c>
      <c r="AP1981" s="118">
        <f t="shared" si="30"/>
        <v>900</v>
      </c>
    </row>
    <row r="1982" spans="1:42" ht="12.75">
      <c r="A1982" s="106">
        <v>2018</v>
      </c>
      <c r="B1982" s="106">
        <v>-199795</v>
      </c>
      <c r="C1982" s="106">
        <v>0</v>
      </c>
      <c r="D1982" s="106">
        <v>199795</v>
      </c>
      <c r="E1982" s="106" t="s">
        <v>3081</v>
      </c>
      <c r="F1982" s="106" t="s">
        <v>3082</v>
      </c>
      <c r="G1982" s="106" t="s">
        <v>90</v>
      </c>
      <c r="H1982" s="106">
        <v>4</v>
      </c>
      <c r="I1982" s="106" t="s">
        <v>24</v>
      </c>
      <c r="J1982" s="106">
        <v>2363</v>
      </c>
      <c r="K1982" s="106">
        <v>6523</v>
      </c>
      <c r="L1982" s="106">
        <v>6137</v>
      </c>
      <c r="M1982" s="106">
        <v>0.78</v>
      </c>
      <c r="N1982" s="106">
        <v>0</v>
      </c>
      <c r="O1982" s="106">
        <v>0.1</v>
      </c>
      <c r="P1982" s="106">
        <v>985</v>
      </c>
      <c r="Q1982" s="108">
        <v>187.49035187287174</v>
      </c>
      <c r="R1982" s="106">
        <v>0.1401085385466217</v>
      </c>
      <c r="S1982" s="106">
        <v>12223.255391600454</v>
      </c>
      <c r="T1982" s="106">
        <v>13568.567536889897</v>
      </c>
      <c r="U1982" s="106">
        <v>12211.379114642452</v>
      </c>
      <c r="V1982" s="106">
        <v>9.42308791645462E-2</v>
      </c>
      <c r="W1982" s="106">
        <v>49089.877880184336</v>
      </c>
      <c r="X1982" s="110">
        <v>0.59408764062765085</v>
      </c>
      <c r="Y1982" s="106">
        <v>288.99082568807341</v>
      </c>
      <c r="Z1982" s="106">
        <v>12.123853211009175</v>
      </c>
      <c r="AA1982" s="106">
        <v>55454.768041237112</v>
      </c>
      <c r="AB1982" s="106">
        <v>512.29642857142858</v>
      </c>
      <c r="AC1982" s="106">
        <v>1.803271450448378</v>
      </c>
      <c r="AD1982" s="106">
        <v>33.162393162393158</v>
      </c>
      <c r="AE1982" s="108">
        <v>108.24742268041237</v>
      </c>
      <c r="AF1982" s="106">
        <v>0.13403051001821495</v>
      </c>
      <c r="AG1982" s="106">
        <v>2304</v>
      </c>
      <c r="AH1982" s="106">
        <v>10889.346197502839</v>
      </c>
      <c r="AI1982" s="106">
        <v>10926.627695800227</v>
      </c>
      <c r="AJ1982" s="106">
        <v>12225.430192962542</v>
      </c>
      <c r="AK1982" s="105">
        <v>13550.540295119183</v>
      </c>
      <c r="AL1982" s="119">
        <v>8072572</v>
      </c>
      <c r="AM1982" s="119">
        <v>1026</v>
      </c>
      <c r="AN1982" s="119">
        <v>21000</v>
      </c>
      <c r="AO1982" s="119">
        <v>173</v>
      </c>
      <c r="AP1982" s="118">
        <f t="shared" si="30"/>
        <v>59</v>
      </c>
    </row>
    <row r="1983" spans="1:42" ht="12.75">
      <c r="A1983" s="106">
        <v>2018</v>
      </c>
      <c r="B1983" s="106">
        <v>-218885</v>
      </c>
      <c r="C1983" s="106">
        <v>0</v>
      </c>
      <c r="D1983" s="106">
        <v>218885</v>
      </c>
      <c r="E1983" s="106" t="s">
        <v>3083</v>
      </c>
      <c r="F1983" s="106" t="s">
        <v>404</v>
      </c>
      <c r="G1983" s="106" t="s">
        <v>79</v>
      </c>
      <c r="H1983" s="106">
        <v>4</v>
      </c>
      <c r="I1983" s="106" t="s">
        <v>24</v>
      </c>
      <c r="J1983" s="106">
        <v>4172</v>
      </c>
      <c r="K1983" s="107">
        <v>9299</v>
      </c>
      <c r="L1983" s="107">
        <v>6368</v>
      </c>
      <c r="M1983" s="107">
        <v>0.37</v>
      </c>
      <c r="N1983" s="107">
        <v>0.2</v>
      </c>
      <c r="O1983" s="107">
        <v>0.06</v>
      </c>
      <c r="P1983" s="107">
        <v>1678</v>
      </c>
      <c r="Q1983" s="107">
        <v>17.852879799666109</v>
      </c>
      <c r="R1983" s="107">
        <v>2.6453854210385492E-3</v>
      </c>
      <c r="S1983" s="107">
        <v>12606.019824707846</v>
      </c>
      <c r="T1983" s="107">
        <v>14333.206594323874</v>
      </c>
      <c r="U1983" s="107">
        <v>10223.229340567612</v>
      </c>
      <c r="V1983" s="107">
        <v>0.65838635721804051</v>
      </c>
      <c r="W1983" s="106">
        <v>68747.782087447107</v>
      </c>
      <c r="X1983" s="110">
        <v>0.47310059881435651</v>
      </c>
      <c r="Y1983" s="106">
        <v>648.59999999999991</v>
      </c>
      <c r="Z1983" s="107">
        <v>21.618045112781953</v>
      </c>
      <c r="AA1983" s="107">
        <v>24180.510858835143</v>
      </c>
      <c r="AB1983" s="107">
        <v>340.74349843155528</v>
      </c>
      <c r="AC1983" s="106">
        <v>4.1355619235588534</v>
      </c>
      <c r="AD1983" s="106">
        <v>47.514071294559102</v>
      </c>
      <c r="AE1983" s="107">
        <v>70.963968410661408</v>
      </c>
      <c r="AF1983" s="106">
        <v>-0.10313494743392418</v>
      </c>
      <c r="AG1983" s="107">
        <v>3980</v>
      </c>
      <c r="AH1983" s="107">
        <v>14043.796535893156</v>
      </c>
      <c r="AI1983" s="107">
        <v>14043.796535893156</v>
      </c>
      <c r="AJ1983" s="107">
        <v>12643.156510851419</v>
      </c>
      <c r="AK1983" s="104">
        <v>11430.640859766278</v>
      </c>
      <c r="AL1983" s="119">
        <v>15750460</v>
      </c>
      <c r="AM1983" s="118">
        <v>6069</v>
      </c>
      <c r="AN1983" s="118">
        <v>143773</v>
      </c>
      <c r="AO1983" s="118">
        <v>936</v>
      </c>
      <c r="AP1983" s="118">
        <f t="shared" si="30"/>
        <v>192</v>
      </c>
    </row>
    <row r="1984" spans="1:42" ht="12.75">
      <c r="A1984" s="106">
        <v>2018</v>
      </c>
      <c r="B1984" s="106">
        <v>-218894</v>
      </c>
      <c r="C1984" s="106">
        <v>0</v>
      </c>
      <c r="D1984" s="106">
        <v>218894</v>
      </c>
      <c r="E1984" s="106" t="s">
        <v>3084</v>
      </c>
      <c r="F1984" s="106" t="s">
        <v>620</v>
      </c>
      <c r="G1984" s="106" t="s">
        <v>79</v>
      </c>
      <c r="H1984" s="106">
        <v>4</v>
      </c>
      <c r="I1984" s="106" t="s">
        <v>24</v>
      </c>
      <c r="J1984" s="106">
        <v>4394</v>
      </c>
      <c r="K1984" s="106">
        <v>5129</v>
      </c>
      <c r="L1984" s="106">
        <v>3212</v>
      </c>
      <c r="M1984" s="106">
        <v>0.49</v>
      </c>
      <c r="N1984" s="106">
        <v>0.34</v>
      </c>
      <c r="O1984" s="106">
        <v>0.11</v>
      </c>
      <c r="P1984" s="106">
        <v>1111</v>
      </c>
      <c r="Q1984" s="106">
        <v>183.21338397944365</v>
      </c>
      <c r="R1984" s="106">
        <v>3.0319539675707573E-2</v>
      </c>
      <c r="S1984" s="106">
        <v>12592.239749748631</v>
      </c>
      <c r="T1984" s="106">
        <v>12655.190816668528</v>
      </c>
      <c r="U1984" s="106">
        <v>9656.2425427326561</v>
      </c>
      <c r="V1984" s="106">
        <v>0.60681327289393672</v>
      </c>
      <c r="W1984" s="106">
        <v>73801.106184364064</v>
      </c>
      <c r="X1984" s="110">
        <v>0.55834603741197664</v>
      </c>
      <c r="Y1984" s="106">
        <v>695.03451251078525</v>
      </c>
      <c r="Z1984" s="106">
        <v>23.169111302847284</v>
      </c>
      <c r="AA1984" s="106">
        <v>34230.901782178218</v>
      </c>
      <c r="AB1984" s="106">
        <v>321.89273224959499</v>
      </c>
      <c r="AC1984" s="106">
        <v>2.9213370023474936</v>
      </c>
      <c r="AD1984" s="106">
        <v>31.096059113300495</v>
      </c>
      <c r="AE1984" s="106">
        <v>106.34257425742574</v>
      </c>
      <c r="AF1984" s="106">
        <v>0.41298441017722526</v>
      </c>
      <c r="AG1984" s="106">
        <v>4248</v>
      </c>
      <c r="AH1984" s="106">
        <v>12500.846497598033</v>
      </c>
      <c r="AI1984" s="106">
        <v>12500.846497598033</v>
      </c>
      <c r="AJ1984" s="106">
        <v>12600.963244330242</v>
      </c>
      <c r="AK1984" s="104">
        <v>11390.45257513127</v>
      </c>
      <c r="AL1984" s="119">
        <v>32046154</v>
      </c>
      <c r="AM1984" s="118">
        <v>13271</v>
      </c>
      <c r="AN1984" s="118">
        <v>268515</v>
      </c>
      <c r="AO1984" s="118">
        <v>1541</v>
      </c>
      <c r="AP1984" s="118">
        <f t="shared" si="30"/>
        <v>146</v>
      </c>
    </row>
    <row r="1985" spans="1:42" ht="12.75">
      <c r="A1985" s="106">
        <v>2018</v>
      </c>
      <c r="B1985" s="106">
        <v>1967</v>
      </c>
      <c r="C1985" s="106">
        <v>1</v>
      </c>
      <c r="D1985" s="106">
        <v>152567</v>
      </c>
      <c r="E1985" s="106" t="s">
        <v>3881</v>
      </c>
      <c r="F1985" s="106" t="s">
        <v>3085</v>
      </c>
      <c r="G1985" s="106" t="s">
        <v>161</v>
      </c>
      <c r="H1985" s="106">
        <v>7</v>
      </c>
      <c r="I1985" s="106" t="s">
        <v>3641</v>
      </c>
      <c r="J1985" s="106">
        <v>31540</v>
      </c>
      <c r="K1985" s="106">
        <v>24973</v>
      </c>
      <c r="L1985" s="106">
        <v>20300</v>
      </c>
      <c r="M1985" s="106">
        <v>0.32</v>
      </c>
      <c r="N1985" s="106">
        <v>0.82</v>
      </c>
      <c r="O1985" s="106">
        <v>0.98</v>
      </c>
      <c r="P1985" s="106">
        <v>19561</v>
      </c>
      <c r="Q1985" s="106">
        <v>10401.75318224154</v>
      </c>
      <c r="R1985" s="106">
        <v>0.43139748575604214</v>
      </c>
      <c r="S1985" s="106">
        <v>21063.643588947532</v>
      </c>
      <c r="T1985" s="106">
        <v>18183.02142191866</v>
      </c>
      <c r="U1985" s="106">
        <v>15660.039739211425</v>
      </c>
      <c r="V1985" s="106">
        <v>0.87547722102509173</v>
      </c>
      <c r="W1985" s="106">
        <v>65121.22239747634</v>
      </c>
      <c r="X1985" s="110">
        <v>0.46996310855752249</v>
      </c>
      <c r="Y1985" s="106">
        <v>557.5809716599191</v>
      </c>
      <c r="Z1985" s="106">
        <v>19.560728744939272</v>
      </c>
      <c r="AA1985" s="106">
        <v>57778.909507445591</v>
      </c>
      <c r="AB1985" s="106">
        <v>549.37633284321737</v>
      </c>
      <c r="AC1985" s="106">
        <v>1.7307353297679262</v>
      </c>
      <c r="AD1985" s="106">
        <v>25.107851596203624</v>
      </c>
      <c r="AE1985" s="106">
        <v>105.17182130584193</v>
      </c>
      <c r="AF1985" s="106">
        <v>9.3238720219065249E-2</v>
      </c>
      <c r="AG1985" s="106">
        <v>31080</v>
      </c>
      <c r="AH1985" s="106">
        <v>19524.362309841665</v>
      </c>
      <c r="AI1985" s="106">
        <v>22218.128221049363</v>
      </c>
      <c r="AJ1985" s="106">
        <v>21899.646072648247</v>
      </c>
      <c r="AK1985" s="104">
        <v>15660.039739211425</v>
      </c>
      <c r="AM1985" s="118">
        <v>4466</v>
      </c>
      <c r="AN1985" s="118">
        <v>91815</v>
      </c>
      <c r="AO1985" s="118">
        <v>536</v>
      </c>
      <c r="AP1985" s="118">
        <f t="shared" si="30"/>
        <v>460</v>
      </c>
    </row>
    <row r="1986" spans="1:42" ht="12.75">
      <c r="A1986" s="106">
        <v>2018</v>
      </c>
      <c r="B1986" s="106">
        <v>-128258</v>
      </c>
      <c r="C1986" s="106">
        <v>0</v>
      </c>
      <c r="D1986" s="106">
        <v>128258</v>
      </c>
      <c r="E1986" s="106" t="s">
        <v>3086</v>
      </c>
      <c r="F1986" s="106" t="s">
        <v>3087</v>
      </c>
      <c r="G1986" s="106" t="s">
        <v>66</v>
      </c>
      <c r="H1986" s="106">
        <v>4</v>
      </c>
      <c r="I1986" s="106" t="s">
        <v>24</v>
      </c>
      <c r="J1986" s="106">
        <v>3907</v>
      </c>
      <c r="K1986" s="106">
        <v>11281</v>
      </c>
      <c r="L1986" s="106">
        <v>9397</v>
      </c>
      <c r="M1986" s="106">
        <v>0.57999999999999996</v>
      </c>
      <c r="N1986" s="106">
        <v>0.2</v>
      </c>
      <c r="O1986" s="106">
        <v>0.66</v>
      </c>
      <c r="P1986" s="106">
        <v>3405</v>
      </c>
      <c r="Q1986" s="106">
        <v>1033.4875827814569</v>
      </c>
      <c r="R1986" s="106">
        <v>0.14220463179687698</v>
      </c>
      <c r="S1986" s="106">
        <v>13237.937086092716</v>
      </c>
      <c r="T1986" s="106">
        <v>13918.052152317881</v>
      </c>
      <c r="U1986" s="106">
        <v>9938.3969178227762</v>
      </c>
      <c r="V1986" s="106">
        <v>0.62727630144730351</v>
      </c>
      <c r="W1986" s="106">
        <v>78100.074534161497</v>
      </c>
      <c r="X1986" s="110">
        <v>0.74788001932075565</v>
      </c>
      <c r="Y1986" s="106">
        <v>449.42975206611578</v>
      </c>
      <c r="Z1986" s="106">
        <v>14.97520661157025</v>
      </c>
      <c r="AA1986" s="106">
        <v>13627.223015584466</v>
      </c>
      <c r="AB1986" s="106">
        <v>331.15196879599256</v>
      </c>
      <c r="AC1986" s="106">
        <v>7.3382522532754662</v>
      </c>
      <c r="AD1986" s="106">
        <v>84.79307025986526</v>
      </c>
      <c r="AE1986" s="106">
        <v>41.150964812712829</v>
      </c>
      <c r="AF1986" s="106">
        <v>5.4887372886708155E-2</v>
      </c>
      <c r="AG1986" s="106">
        <v>3469</v>
      </c>
      <c r="AH1986" s="106">
        <v>13833.369205298013</v>
      </c>
      <c r="AI1986" s="106">
        <v>13840.086092715232</v>
      </c>
      <c r="AJ1986" s="106">
        <v>13298.844370860927</v>
      </c>
      <c r="AK1986" s="104">
        <v>10283.288907284768</v>
      </c>
      <c r="AL1986" s="118">
        <v>2209881</v>
      </c>
      <c r="AM1986" s="118">
        <v>1663</v>
      </c>
      <c r="AN1986" s="118">
        <v>36254</v>
      </c>
      <c r="AO1986" s="118">
        <v>312</v>
      </c>
      <c r="AP1986" s="118">
        <f t="shared" si="30"/>
        <v>438</v>
      </c>
    </row>
    <row r="1987" spans="1:42" ht="12.75">
      <c r="A1987" s="106">
        <v>2018</v>
      </c>
      <c r="B1987" s="106">
        <v>-149505</v>
      </c>
      <c r="C1987" s="106">
        <v>0</v>
      </c>
      <c r="D1987" s="106">
        <v>149505</v>
      </c>
      <c r="E1987" s="106" t="s">
        <v>3088</v>
      </c>
      <c r="F1987" s="106" t="s">
        <v>3089</v>
      </c>
      <c r="G1987" s="106" t="s">
        <v>243</v>
      </c>
      <c r="H1987" s="106">
        <v>7</v>
      </c>
      <c r="I1987" s="106" t="s">
        <v>3641</v>
      </c>
      <c r="J1987" s="106">
        <v>28675</v>
      </c>
      <c r="K1987" s="106">
        <v>23368</v>
      </c>
      <c r="L1987" s="106">
        <v>18824</v>
      </c>
      <c r="M1987" s="106">
        <v>0.32</v>
      </c>
      <c r="N1987" s="106">
        <v>0.7</v>
      </c>
      <c r="O1987" s="106">
        <v>0.96</v>
      </c>
      <c r="P1987" s="106">
        <v>15554</v>
      </c>
      <c r="Q1987" s="106">
        <v>8944.8293289146641</v>
      </c>
      <c r="R1987" s="106">
        <v>0.37943742835516775</v>
      </c>
      <c r="S1987" s="106">
        <v>24218.532725766363</v>
      </c>
      <c r="T1987" s="106">
        <v>24444.836785418393</v>
      </c>
      <c r="U1987" s="106">
        <v>19408.860018392239</v>
      </c>
      <c r="V1987" s="106">
        <v>0.75373284488036929</v>
      </c>
      <c r="W1987" s="106">
        <v>72753.953271028033</v>
      </c>
      <c r="X1987" s="110">
        <v>0.52768646908288308</v>
      </c>
      <c r="Y1987" s="106">
        <v>368.56701030927837</v>
      </c>
      <c r="Z1987" s="106">
        <v>12.443298969072165</v>
      </c>
      <c r="AA1987" s="106">
        <v>76808.177187539128</v>
      </c>
      <c r="AB1987" s="106">
        <v>655.26821745404141</v>
      </c>
      <c r="AC1987" s="106">
        <v>1.3019447103377344</v>
      </c>
      <c r="AD1987" s="106">
        <v>28.692380056444026</v>
      </c>
      <c r="AE1987" s="106">
        <v>117.21639344262294</v>
      </c>
      <c r="AF1987" s="106">
        <v>3.0454622973709242E-2</v>
      </c>
      <c r="AG1987" s="106">
        <v>28200</v>
      </c>
      <c r="AH1987" s="106">
        <v>19563.729080364541</v>
      </c>
      <c r="AI1987" s="106">
        <v>24285.734051367024</v>
      </c>
      <c r="AJ1987" s="106">
        <v>25857.90472245236</v>
      </c>
      <c r="AK1987" s="104">
        <v>19860.967688483845</v>
      </c>
      <c r="AM1987" s="118">
        <v>1107</v>
      </c>
      <c r="AN1987" s="118">
        <v>35751</v>
      </c>
      <c r="AO1987" s="118">
        <v>265</v>
      </c>
      <c r="AP1987" s="118">
        <f t="shared" si="30"/>
        <v>475</v>
      </c>
    </row>
    <row r="1988" spans="1:42" ht="12.75">
      <c r="A1988" s="106">
        <v>2018</v>
      </c>
      <c r="B1988" s="106">
        <v>-130590</v>
      </c>
      <c r="C1988" s="106">
        <v>0</v>
      </c>
      <c r="D1988" s="106">
        <v>130590</v>
      </c>
      <c r="E1988" s="106" t="s">
        <v>3090</v>
      </c>
      <c r="F1988" s="106" t="s">
        <v>591</v>
      </c>
      <c r="G1988" s="106" t="s">
        <v>99</v>
      </c>
      <c r="H1988" s="106">
        <v>7</v>
      </c>
      <c r="I1988" s="106" t="s">
        <v>3641</v>
      </c>
      <c r="J1988" s="106">
        <v>54770</v>
      </c>
      <c r="K1988" s="106">
        <v>24962</v>
      </c>
      <c r="L1988" s="106">
        <v>5388</v>
      </c>
      <c r="M1988" s="106">
        <v>0.16</v>
      </c>
      <c r="N1988" s="106">
        <v>0.46</v>
      </c>
      <c r="O1988" s="106">
        <v>0.52</v>
      </c>
      <c r="P1988" s="106">
        <v>44875</v>
      </c>
      <c r="Q1988" s="106">
        <v>21561.428212641273</v>
      </c>
      <c r="R1988" s="106">
        <v>0.42107280979489531</v>
      </c>
      <c r="S1988" s="106">
        <v>57494.264127249895</v>
      </c>
      <c r="T1988" s="106">
        <v>61602.257848472167</v>
      </c>
      <c r="U1988" s="106">
        <v>50642.682307008632</v>
      </c>
      <c r="V1988" s="106">
        <v>0.58536610792136423</v>
      </c>
      <c r="W1988" s="106">
        <v>104164.16707859613</v>
      </c>
      <c r="X1988" s="110">
        <v>0.47728764623596925</v>
      </c>
      <c r="Y1988" s="106">
        <v>292.17053206002726</v>
      </c>
      <c r="Z1988" s="106">
        <v>9.7776261937244193</v>
      </c>
      <c r="AA1988" s="106">
        <v>211143.74874597491</v>
      </c>
      <c r="AB1988" s="106">
        <v>1694.7815152821049</v>
      </c>
      <c r="AC1988" s="106">
        <v>0.47361099058778711</v>
      </c>
      <c r="AD1988" s="106">
        <v>26.248282180485571</v>
      </c>
      <c r="AE1988" s="106">
        <v>124.5846422338569</v>
      </c>
      <c r="AF1988" s="106">
        <v>4.3044606568816805E-2</v>
      </c>
      <c r="AG1988" s="106">
        <v>52280</v>
      </c>
      <c r="AH1988" s="106">
        <v>43904.868145667642</v>
      </c>
      <c r="AI1988" s="106">
        <v>57655.334449560483</v>
      </c>
      <c r="AJ1988" s="106">
        <v>74799.371703641693</v>
      </c>
      <c r="AK1988" s="104">
        <v>52735.812892423608</v>
      </c>
      <c r="AM1988" s="118">
        <v>2221</v>
      </c>
      <c r="AN1988" s="118">
        <v>71387</v>
      </c>
      <c r="AO1988" s="118">
        <v>551</v>
      </c>
      <c r="AP1988" s="118">
        <f t="shared" si="30"/>
        <v>2490</v>
      </c>
    </row>
    <row r="1989" spans="1:42" ht="12.75">
      <c r="A1989" s="106">
        <v>2018</v>
      </c>
      <c r="B1989" s="106">
        <v>-135610</v>
      </c>
      <c r="C1989" s="106">
        <v>0</v>
      </c>
      <c r="D1989" s="106">
        <v>135610</v>
      </c>
      <c r="E1989" s="106" t="s">
        <v>3091</v>
      </c>
      <c r="F1989" s="106" t="s">
        <v>4208</v>
      </c>
      <c r="G1989" s="106" t="s">
        <v>258</v>
      </c>
      <c r="H1989" s="106">
        <v>7</v>
      </c>
      <c r="I1989" s="106" t="s">
        <v>3641</v>
      </c>
      <c r="J1989" s="106">
        <v>12450</v>
      </c>
      <c r="K1989" s="106"/>
      <c r="L1989" s="106"/>
      <c r="M1989" s="106"/>
      <c r="N1989" s="106"/>
      <c r="O1989" s="106"/>
      <c r="P1989" s="106"/>
      <c r="Q1989" s="106">
        <v>408.22981366459629</v>
      </c>
      <c r="R1989" s="106">
        <v>2.4891439617097891E-2</v>
      </c>
      <c r="S1989" s="106">
        <v>16084.223602484471</v>
      </c>
      <c r="T1989" s="106">
        <v>20005.732919254657</v>
      </c>
      <c r="U1989" s="106">
        <v>19964.068322981366</v>
      </c>
      <c r="V1989" s="106">
        <v>0.80104815639277394</v>
      </c>
      <c r="W1989" s="106">
        <v>48673.216981132085</v>
      </c>
      <c r="X1989" s="110">
        <v>0.5339422892133715</v>
      </c>
      <c r="Y1989" s="106">
        <v>232.89473684210526</v>
      </c>
      <c r="Z1989" s="106">
        <v>8.473684210526315</v>
      </c>
      <c r="AA1989" s="106">
        <v>60645.566037735851</v>
      </c>
      <c r="AB1989" s="106">
        <v>726.3762711864407</v>
      </c>
      <c r="AC1989" s="106">
        <v>1.6489251652425241</v>
      </c>
      <c r="AD1989" s="106">
        <v>34.868421052631575</v>
      </c>
      <c r="AE1989" s="106">
        <v>83.490566037735846</v>
      </c>
      <c r="AF1989" s="106">
        <v>0.2714010948101292</v>
      </c>
      <c r="AG1989" s="106">
        <v>11880</v>
      </c>
      <c r="AH1989" s="106">
        <v>15993.732919254659</v>
      </c>
      <c r="AI1989" s="106">
        <v>16084.223602484471</v>
      </c>
      <c r="AJ1989" s="106">
        <v>16224.751552795031</v>
      </c>
      <c r="AK1989" s="104">
        <v>19964.068322981366</v>
      </c>
      <c r="AM1989" s="118">
        <v>156</v>
      </c>
      <c r="AN1989" s="118">
        <v>4425</v>
      </c>
      <c r="AO1989" s="118">
        <v>26</v>
      </c>
      <c r="AP1989" s="118">
        <f t="shared" si="30"/>
        <v>570</v>
      </c>
    </row>
    <row r="1990" spans="1:42" ht="12.75">
      <c r="A1990" s="106">
        <v>2018</v>
      </c>
      <c r="B1990" s="106">
        <v>-149514</v>
      </c>
      <c r="C1990" s="106">
        <v>0</v>
      </c>
      <c r="D1990" s="106">
        <v>149514</v>
      </c>
      <c r="E1990" s="106" t="s">
        <v>3092</v>
      </c>
      <c r="F1990" s="106" t="s">
        <v>3093</v>
      </c>
      <c r="G1990" s="106" t="s">
        <v>243</v>
      </c>
      <c r="H1990" s="106">
        <v>5</v>
      </c>
      <c r="I1990" s="106" t="s">
        <v>3639</v>
      </c>
      <c r="J1990" s="106">
        <v>30750</v>
      </c>
      <c r="K1990" s="106">
        <v>19318</v>
      </c>
      <c r="L1990" s="106">
        <v>19894</v>
      </c>
      <c r="M1990" s="106">
        <v>0.49</v>
      </c>
      <c r="N1990" s="106">
        <v>0.93</v>
      </c>
      <c r="O1990" s="106">
        <v>0.99</v>
      </c>
      <c r="P1990" s="106">
        <v>20964</v>
      </c>
      <c r="Q1990" s="106">
        <v>10094.318007662836</v>
      </c>
      <c r="R1990" s="106">
        <v>0.4799815674858729</v>
      </c>
      <c r="S1990" s="106">
        <v>24564.737164750957</v>
      </c>
      <c r="T1990" s="106">
        <v>28990.682758620689</v>
      </c>
      <c r="U1990" s="106">
        <v>24139.167049808428</v>
      </c>
      <c r="V1990" s="106">
        <v>0.45305286430888475</v>
      </c>
      <c r="W1990" s="106">
        <v>53036.431524547806</v>
      </c>
      <c r="X1990" s="110">
        <v>0.54252068989479274</v>
      </c>
      <c r="Y1990" s="106">
        <v>244.69745958429564</v>
      </c>
      <c r="Z1990" s="106">
        <v>9.0415704387990772</v>
      </c>
      <c r="AA1990" s="106">
        <v>83780.88563829787</v>
      </c>
      <c r="AB1990" s="106">
        <v>891.94215414236362</v>
      </c>
      <c r="AC1990" s="106">
        <v>1.1935896742811234</v>
      </c>
      <c r="AD1990" s="106">
        <v>25.595643294758339</v>
      </c>
      <c r="AE1990" s="106">
        <v>93.930851063829792</v>
      </c>
      <c r="AF1990" s="106">
        <v>-3.3551671771501937E-2</v>
      </c>
      <c r="AG1990" s="106">
        <v>30200</v>
      </c>
      <c r="AH1990" s="106">
        <v>19783.177777777779</v>
      </c>
      <c r="AI1990" s="106">
        <v>24564.737164750957</v>
      </c>
      <c r="AJ1990" s="106">
        <v>26963.8091954023</v>
      </c>
      <c r="AK1990" s="104">
        <v>24139.167049808428</v>
      </c>
      <c r="AM1990" s="118">
        <v>934</v>
      </c>
      <c r="AN1990" s="118">
        <v>35318</v>
      </c>
      <c r="AO1990" s="118">
        <v>161</v>
      </c>
      <c r="AP1990" s="118">
        <f t="shared" ref="AP1990:AP2053" si="31">J1990-AG1990</f>
        <v>550</v>
      </c>
    </row>
    <row r="1991" spans="1:42" ht="12.75">
      <c r="A1991" s="106">
        <v>2018</v>
      </c>
      <c r="B1991" s="106">
        <v>-229267</v>
      </c>
      <c r="C1991" s="106">
        <v>0</v>
      </c>
      <c r="D1991" s="106">
        <v>229267</v>
      </c>
      <c r="E1991" s="106" t="s">
        <v>3094</v>
      </c>
      <c r="F1991" s="106" t="s">
        <v>2291</v>
      </c>
      <c r="G1991" s="106" t="s">
        <v>60</v>
      </c>
      <c r="H1991" s="106">
        <v>6</v>
      </c>
      <c r="I1991" s="106" t="s">
        <v>3640</v>
      </c>
      <c r="J1991" s="106">
        <v>41344</v>
      </c>
      <c r="K1991" s="106">
        <v>29335</v>
      </c>
      <c r="L1991" s="106">
        <v>13558</v>
      </c>
      <c r="M1991" s="106">
        <v>0.18</v>
      </c>
      <c r="N1991" s="106">
        <v>0.37</v>
      </c>
      <c r="O1991" s="106">
        <v>0.98</v>
      </c>
      <c r="P1991" s="106">
        <v>25681</v>
      </c>
      <c r="Q1991" s="106">
        <v>21343.102173084255</v>
      </c>
      <c r="R1991" s="106">
        <v>0.5298854065492421</v>
      </c>
      <c r="S1991" s="106">
        <v>37617.026686999619</v>
      </c>
      <c r="T1991" s="106">
        <v>51703.492184521543</v>
      </c>
      <c r="U1991" s="106">
        <v>40104.871590603536</v>
      </c>
      <c r="V1991" s="106">
        <v>0.47215238448700036</v>
      </c>
      <c r="W1991" s="106">
        <v>88413.249084249081</v>
      </c>
      <c r="X1991" s="110">
        <v>0.53392847688799427</v>
      </c>
      <c r="Y1991" s="106">
        <v>274.55830388692578</v>
      </c>
      <c r="Z1991" s="106">
        <v>9.2685512367491167</v>
      </c>
      <c r="AA1991" s="106">
        <v>165922.83624945281</v>
      </c>
      <c r="AB1991" s="106">
        <v>1353.8620100663202</v>
      </c>
      <c r="AC1991" s="106">
        <v>0.60268979400555411</v>
      </c>
      <c r="AD1991" s="106">
        <v>25.279106858054227</v>
      </c>
      <c r="AE1991" s="106">
        <v>122.55520504731861</v>
      </c>
      <c r="AF1991" s="106">
        <v>6.1221817939990548E-2</v>
      </c>
      <c r="AG1991" s="106">
        <v>40728</v>
      </c>
      <c r="AH1991" s="106">
        <v>32941.104460541363</v>
      </c>
      <c r="AI1991" s="106">
        <v>38409.962256957682</v>
      </c>
      <c r="AJ1991" s="106">
        <v>84470.685855890202</v>
      </c>
      <c r="AK1991" s="104">
        <v>44661.109797941288</v>
      </c>
      <c r="AL1991" s="118"/>
      <c r="AM1991" s="118">
        <v>2395</v>
      </c>
      <c r="AN1991" s="118">
        <v>77700</v>
      </c>
      <c r="AO1991" s="118">
        <v>537</v>
      </c>
      <c r="AP1991" s="118">
        <f t="shared" si="31"/>
        <v>616</v>
      </c>
    </row>
    <row r="1992" spans="1:42" ht="12.75">
      <c r="A1992" s="106">
        <v>2018</v>
      </c>
      <c r="B1992" s="106">
        <v>-225308</v>
      </c>
      <c r="C1992" s="106">
        <v>0</v>
      </c>
      <c r="D1992" s="106">
        <v>225308</v>
      </c>
      <c r="E1992" s="106" t="s">
        <v>3095</v>
      </c>
      <c r="F1992" s="106" t="s">
        <v>227</v>
      </c>
      <c r="G1992" s="106" t="s">
        <v>60</v>
      </c>
      <c r="H1992" s="106">
        <v>4</v>
      </c>
      <c r="I1992" s="106" t="s">
        <v>24</v>
      </c>
      <c r="J1992" s="106">
        <v>2460</v>
      </c>
      <c r="K1992" s="106">
        <v>7306</v>
      </c>
      <c r="L1992" s="106">
        <v>8283</v>
      </c>
      <c r="M1992" s="106">
        <v>0.53</v>
      </c>
      <c r="N1992" s="106">
        <v>0.23</v>
      </c>
      <c r="O1992" s="106">
        <v>0.37</v>
      </c>
      <c r="P1992" s="106">
        <v>3477</v>
      </c>
      <c r="Q1992" s="106">
        <v>1102.4199946395067</v>
      </c>
      <c r="R1992" s="106">
        <v>0.26264726990461279</v>
      </c>
      <c r="S1992" s="106">
        <v>13749.185205038864</v>
      </c>
      <c r="T1992" s="106">
        <v>12993.982042347896</v>
      </c>
      <c r="U1992" s="106">
        <v>9752.6606429084477</v>
      </c>
      <c r="V1992" s="106">
        <v>0.31734113489603843</v>
      </c>
      <c r="W1992" s="106">
        <v>81346.144839549001</v>
      </c>
      <c r="X1992" s="110">
        <v>0.64487793423617934</v>
      </c>
      <c r="Y1992" s="106">
        <v>470.45492119089312</v>
      </c>
      <c r="Z1992" s="106">
        <v>19.602451838879158</v>
      </c>
      <c r="AA1992" s="106">
        <v>25953.763807911138</v>
      </c>
      <c r="AB1992" s="106">
        <v>406.3642486077278</v>
      </c>
      <c r="AC1992" s="106">
        <v>3.8530057043024466</v>
      </c>
      <c r="AD1992" s="106">
        <v>50.268913589100038</v>
      </c>
      <c r="AE1992" s="106">
        <v>63.868226343319066</v>
      </c>
      <c r="AF1992" s="106">
        <v>7.0864764245198872E-2</v>
      </c>
      <c r="AG1992" s="106">
        <v>1080</v>
      </c>
      <c r="AH1992" s="106">
        <v>12982.58054140981</v>
      </c>
      <c r="AI1992" s="106">
        <v>12994.201018493701</v>
      </c>
      <c r="AJ1992" s="106">
        <v>13790.531760922006</v>
      </c>
      <c r="AK1992" s="104">
        <v>11027.823371750201</v>
      </c>
      <c r="AL1992" s="118">
        <v>30297387</v>
      </c>
      <c r="AM1992" s="118">
        <v>4449</v>
      </c>
      <c r="AN1992" s="118">
        <v>89543.253333333327</v>
      </c>
      <c r="AO1992" s="118">
        <v>843</v>
      </c>
      <c r="AP1992" s="118">
        <f t="shared" si="31"/>
        <v>1380</v>
      </c>
    </row>
    <row r="1993" spans="1:42" ht="12.75">
      <c r="A1993" s="106">
        <v>2018</v>
      </c>
      <c r="B1993" s="106">
        <v>-131876</v>
      </c>
      <c r="C1993" s="106">
        <v>0</v>
      </c>
      <c r="D1993" s="106">
        <v>131876</v>
      </c>
      <c r="E1993" s="106" t="s">
        <v>3096</v>
      </c>
      <c r="F1993" s="106" t="s">
        <v>155</v>
      </c>
      <c r="G1993" s="106" t="s">
        <v>156</v>
      </c>
      <c r="H1993" s="106">
        <v>6</v>
      </c>
      <c r="I1993" s="106" t="s">
        <v>3640</v>
      </c>
      <c r="J1993" s="106">
        <v>23690</v>
      </c>
      <c r="K1993" s="106">
        <v>16786</v>
      </c>
      <c r="L1993" s="106">
        <v>15055</v>
      </c>
      <c r="M1993" s="106">
        <v>0.68</v>
      </c>
      <c r="N1993" s="106">
        <v>0.55000000000000004</v>
      </c>
      <c r="O1993" s="106">
        <v>0.99</v>
      </c>
      <c r="P1993" s="106">
        <v>10660</v>
      </c>
      <c r="Q1993" s="106">
        <v>7416.7881355932204</v>
      </c>
      <c r="R1993" s="106">
        <v>0.32698188501262931</v>
      </c>
      <c r="S1993" s="106">
        <v>23029.981747066493</v>
      </c>
      <c r="T1993" s="106">
        <v>21486.589308996088</v>
      </c>
      <c r="U1993" s="106">
        <v>18702.922981359552</v>
      </c>
      <c r="V1993" s="106">
        <v>0.81622416563230715</v>
      </c>
      <c r="W1993" s="106">
        <v>76175.080834419816</v>
      </c>
      <c r="X1993" s="110">
        <v>0.5908730614784492</v>
      </c>
      <c r="Y1993" s="106">
        <v>343.29792746113992</v>
      </c>
      <c r="Z1993" s="106">
        <v>11.922279792746115</v>
      </c>
      <c r="AA1993" s="106">
        <v>65502.931172158787</v>
      </c>
      <c r="AB1993" s="106">
        <v>649.52760529319119</v>
      </c>
      <c r="AC1993" s="106">
        <v>1.5266492385993218</v>
      </c>
      <c r="AD1993" s="106">
        <v>29.336905559276627</v>
      </c>
      <c r="AE1993" s="106">
        <v>100.84703196347031</v>
      </c>
      <c r="AF1993" s="106">
        <v>5.978515358167228E-2</v>
      </c>
      <c r="AG1993" s="106">
        <v>23280</v>
      </c>
      <c r="AH1993" s="106">
        <v>18315.181877444589</v>
      </c>
      <c r="AI1993" s="106">
        <v>23114.094524119948</v>
      </c>
      <c r="AJ1993" s="106">
        <v>24823.128422425034</v>
      </c>
      <c r="AK1993" s="104">
        <v>18726.27444589309</v>
      </c>
      <c r="AL1993" s="118"/>
      <c r="AM1993" s="118">
        <v>1534</v>
      </c>
      <c r="AN1993" s="118">
        <v>44171</v>
      </c>
      <c r="AO1993" s="118">
        <v>277</v>
      </c>
      <c r="AP1993" s="118">
        <f t="shared" si="31"/>
        <v>410</v>
      </c>
    </row>
    <row r="1994" spans="1:42" ht="12.75">
      <c r="A1994" s="106">
        <v>2018</v>
      </c>
      <c r="B1994" s="106">
        <v>-149532</v>
      </c>
      <c r="C1994" s="106">
        <v>0</v>
      </c>
      <c r="D1994" s="106">
        <v>149532</v>
      </c>
      <c r="E1994" s="106" t="s">
        <v>3097</v>
      </c>
      <c r="F1994" s="106" t="s">
        <v>3098</v>
      </c>
      <c r="G1994" s="106" t="s">
        <v>243</v>
      </c>
      <c r="H1994" s="106">
        <v>4</v>
      </c>
      <c r="I1994" s="106" t="s">
        <v>24</v>
      </c>
      <c r="J1994" s="106">
        <v>4020</v>
      </c>
      <c r="K1994" s="106">
        <v>4960</v>
      </c>
      <c r="L1994" s="106">
        <v>4079</v>
      </c>
      <c r="M1994" s="106">
        <v>0.5</v>
      </c>
      <c r="N1994" s="106">
        <v>0.06</v>
      </c>
      <c r="O1994" s="106">
        <v>0.17</v>
      </c>
      <c r="P1994" s="106">
        <v>3622</v>
      </c>
      <c r="Q1994" s="106">
        <v>484.15082552431949</v>
      </c>
      <c r="R1994" s="106">
        <v>0.11604621732255437</v>
      </c>
      <c r="S1994" s="106">
        <v>14869.563290197828</v>
      </c>
      <c r="T1994" s="106">
        <v>15259.701770043135</v>
      </c>
      <c r="U1994" s="106">
        <v>12678.89833964613</v>
      </c>
      <c r="V1994" s="106">
        <v>0.29086919370193404</v>
      </c>
      <c r="W1994" s="106">
        <v>101695.97542627882</v>
      </c>
      <c r="X1994" s="110">
        <v>0.65886814117908521</v>
      </c>
      <c r="Y1994" s="106">
        <v>706.06767794632447</v>
      </c>
      <c r="Z1994" s="106">
        <v>23.534422403733959</v>
      </c>
      <c r="AA1994" s="106">
        <v>69583.864112196679</v>
      </c>
      <c r="AB1994" s="106">
        <v>422.608991261482</v>
      </c>
      <c r="AC1994" s="106">
        <v>1.4371147862493021</v>
      </c>
      <c r="AD1994" s="106">
        <v>21.57829839704069</v>
      </c>
      <c r="AE1994" s="106">
        <v>164.65306122448979</v>
      </c>
      <c r="AF1994" s="106">
        <v>-3.6581169968155823E-2</v>
      </c>
      <c r="AG1994" s="106">
        <v>3540</v>
      </c>
      <c r="AH1994" s="106">
        <v>14240.740145768259</v>
      </c>
      <c r="AI1994" s="106">
        <v>14240.740145768259</v>
      </c>
      <c r="AJ1994" s="106">
        <v>14913.489513609995</v>
      </c>
      <c r="AK1994" s="104">
        <v>14633.115870890972</v>
      </c>
      <c r="AL1994" s="118">
        <v>35088059</v>
      </c>
      <c r="AM1994" s="118">
        <v>10672</v>
      </c>
      <c r="AN1994" s="118">
        <v>201700</v>
      </c>
      <c r="AO1994" s="118">
        <v>879</v>
      </c>
      <c r="AP1994" s="118">
        <f t="shared" si="31"/>
        <v>480</v>
      </c>
    </row>
    <row r="1995" spans="1:42" ht="12.75">
      <c r="A1995" s="106">
        <v>2018</v>
      </c>
      <c r="B1995" s="106">
        <v>-102368</v>
      </c>
      <c r="C1995" s="106">
        <v>0</v>
      </c>
      <c r="D1995" s="106">
        <v>102368</v>
      </c>
      <c r="E1995" s="106" t="s">
        <v>3099</v>
      </c>
      <c r="F1995" s="106" t="s">
        <v>1528</v>
      </c>
      <c r="G1995" s="106" t="s">
        <v>85</v>
      </c>
      <c r="H1995" s="106">
        <v>2</v>
      </c>
      <c r="I1995" s="106" t="s">
        <v>25</v>
      </c>
      <c r="J1995" s="106">
        <v>8692</v>
      </c>
      <c r="K1995" s="106">
        <v>12114</v>
      </c>
      <c r="L1995" s="106">
        <v>13119</v>
      </c>
      <c r="M1995" s="106">
        <v>0.46</v>
      </c>
      <c r="N1995" s="106">
        <v>0.81</v>
      </c>
      <c r="O1995" s="106">
        <v>0.51</v>
      </c>
      <c r="P1995" s="106">
        <v>8060</v>
      </c>
      <c r="Q1995" s="106">
        <v>2555.6662248729845</v>
      </c>
      <c r="R1995" s="106">
        <v>0.22112087892555463</v>
      </c>
      <c r="S1995" s="106">
        <v>18579.033060893897</v>
      </c>
      <c r="T1995" s="106">
        <v>19071.220381415213</v>
      </c>
      <c r="U1995" s="106">
        <v>13483.194609284752</v>
      </c>
      <c r="V1995" s="106">
        <v>0.66765428507499214</v>
      </c>
      <c r="W1995" s="106">
        <v>67656.453522032811</v>
      </c>
      <c r="X1995" s="110">
        <v>0.54141272362530379</v>
      </c>
      <c r="Y1995" s="106">
        <v>474.46871215179647</v>
      </c>
      <c r="Z1995" s="106">
        <v>16.448526443278158</v>
      </c>
      <c r="AA1995" s="106">
        <v>50251.170688445723</v>
      </c>
      <c r="AB1995" s="106">
        <v>467.42530622278889</v>
      </c>
      <c r="AC1995" s="106">
        <v>1.9900033895726343</v>
      </c>
      <c r="AD1995" s="106">
        <v>27.330683267081678</v>
      </c>
      <c r="AE1995" s="106">
        <v>107.5063117453348</v>
      </c>
      <c r="AF1995" s="106">
        <v>3.67889653965447E-2</v>
      </c>
      <c r="AG1995" s="106">
        <v>7584</v>
      </c>
      <c r="AH1995" s="106">
        <v>16544.639422722921</v>
      </c>
      <c r="AI1995" s="106">
        <v>16544.639422722921</v>
      </c>
      <c r="AJ1995" s="106">
        <v>19124.797363964361</v>
      </c>
      <c r="AK1995" s="104">
        <v>18053.488402915838</v>
      </c>
      <c r="AL1995" s="118">
        <v>50145233</v>
      </c>
      <c r="AM1995" s="118">
        <v>14000</v>
      </c>
      <c r="AN1995" s="118">
        <v>391753</v>
      </c>
      <c r="AO1995" s="118">
        <v>2422</v>
      </c>
      <c r="AP1995" s="118">
        <f t="shared" si="31"/>
        <v>1108</v>
      </c>
    </row>
    <row r="1996" spans="1:42" ht="12.75">
      <c r="A1996" s="106">
        <v>2018</v>
      </c>
      <c r="B1996" s="106">
        <v>-182500</v>
      </c>
      <c r="C1996" s="106">
        <v>0</v>
      </c>
      <c r="D1996" s="106">
        <v>182500</v>
      </c>
      <c r="E1996" s="106" t="s">
        <v>3100</v>
      </c>
      <c r="F1996" s="106" t="s">
        <v>3101</v>
      </c>
      <c r="G1996" s="106" t="s">
        <v>844</v>
      </c>
      <c r="H1996" s="106">
        <v>4</v>
      </c>
      <c r="I1996" s="106" t="s">
        <v>24</v>
      </c>
      <c r="J1996" s="106">
        <v>3075</v>
      </c>
      <c r="K1996" s="106">
        <v>8479</v>
      </c>
      <c r="L1996" s="106">
        <v>7408</v>
      </c>
      <c r="M1996" s="106">
        <v>0.41</v>
      </c>
      <c r="N1996" s="106">
        <v>0.06</v>
      </c>
      <c r="O1996" s="106">
        <v>0.25</v>
      </c>
      <c r="P1996" s="106">
        <v>1943</v>
      </c>
      <c r="Q1996" s="106">
        <v>281.92</v>
      </c>
      <c r="R1996" s="106">
        <v>7.8140937513858713E-2</v>
      </c>
      <c r="S1996" s="106">
        <v>11496.8</v>
      </c>
      <c r="T1996" s="106">
        <v>11914.4</v>
      </c>
      <c r="U1996" s="106">
        <v>10413.120000000001</v>
      </c>
      <c r="V1996" s="106">
        <v>0.31939706831381948</v>
      </c>
      <c r="W1996" s="106">
        <v>77586.322869955169</v>
      </c>
      <c r="X1996" s="110">
        <v>0.61959309742832203</v>
      </c>
      <c r="Y1996" s="106">
        <v>642.07534246575347</v>
      </c>
      <c r="Z1996" s="106">
        <v>21.404109589041095</v>
      </c>
      <c r="AA1996" s="106">
        <v>25949.76076555024</v>
      </c>
      <c r="AB1996" s="106">
        <v>347.12991903395454</v>
      </c>
      <c r="AC1996" s="106">
        <v>3.8536000737531113</v>
      </c>
      <c r="AD1996" s="106">
        <v>45.850091407678242</v>
      </c>
      <c r="AE1996" s="106">
        <v>74.755183413078143</v>
      </c>
      <c r="AF1996" s="106">
        <v>4.9843929280840929E-3</v>
      </c>
      <c r="AG1996" s="106">
        <v>2850</v>
      </c>
      <c r="AH1996" s="106">
        <v>10591.68</v>
      </c>
      <c r="AI1996" s="106">
        <v>10707.36</v>
      </c>
      <c r="AJ1996" s="106">
        <v>11888.96</v>
      </c>
      <c r="AK1996" s="104">
        <v>11667.36</v>
      </c>
      <c r="AL1996" s="118">
        <v>35688000</v>
      </c>
      <c r="AM1996" s="118">
        <v>10720</v>
      </c>
      <c r="AN1996" s="118">
        <v>187486</v>
      </c>
      <c r="AO1996" s="118">
        <v>1386</v>
      </c>
      <c r="AP1996" s="118">
        <f t="shared" si="31"/>
        <v>225</v>
      </c>
    </row>
    <row r="1997" spans="1:42" ht="12.75">
      <c r="A1997" s="106">
        <v>2018</v>
      </c>
      <c r="B1997" s="106">
        <v>-141237</v>
      </c>
      <c r="C1997" s="106">
        <v>0</v>
      </c>
      <c r="D1997" s="106">
        <v>141237</v>
      </c>
      <c r="E1997" s="106" t="s">
        <v>4209</v>
      </c>
      <c r="F1997" s="106" t="s">
        <v>624</v>
      </c>
      <c r="G1997" s="106" t="s">
        <v>63</v>
      </c>
      <c r="H1997" s="106">
        <v>7</v>
      </c>
      <c r="I1997" s="106" t="s">
        <v>3641</v>
      </c>
      <c r="J1997" s="106">
        <v>19480</v>
      </c>
      <c r="K1997" s="106">
        <v>17088</v>
      </c>
      <c r="L1997" s="106">
        <v>15171</v>
      </c>
      <c r="M1997" s="106">
        <v>0.43</v>
      </c>
      <c r="N1997" s="106">
        <v>0.57999999999999996</v>
      </c>
      <c r="O1997" s="106">
        <v>0.97</v>
      </c>
      <c r="P1997" s="106">
        <v>9113</v>
      </c>
      <c r="Q1997" s="106"/>
      <c r="R1997" s="106"/>
      <c r="S1997" s="106">
        <v>13349.821066846725</v>
      </c>
      <c r="T1997" s="106">
        <v>14399.03848750844</v>
      </c>
      <c r="U1997" s="106">
        <v>12004.563133018231</v>
      </c>
      <c r="V1997" s="106">
        <v>1.0660178286919706</v>
      </c>
      <c r="W1997" s="106">
        <v>54848.673151750969</v>
      </c>
      <c r="X1997" s="110">
        <v>0.44067604108909664</v>
      </c>
      <c r="Y1997" s="106">
        <v>604.21917808219177</v>
      </c>
      <c r="Z1997" s="106">
        <v>20.287671232876711</v>
      </c>
      <c r="AA1997" s="106">
        <v>150667.44067796611</v>
      </c>
      <c r="AB1997" s="106">
        <v>403.07332003264713</v>
      </c>
      <c r="AC1997" s="106">
        <v>0.66371340450215932</v>
      </c>
      <c r="AD1997" s="106">
        <v>7.7682685977616845</v>
      </c>
      <c r="AE1997" s="106">
        <v>373.79661016949154</v>
      </c>
      <c r="AF1997" s="106">
        <v>0.11317761995477384</v>
      </c>
      <c r="AG1997" s="106">
        <v>18570</v>
      </c>
      <c r="AH1997" s="106">
        <v>15481.440918298447</v>
      </c>
      <c r="AI1997" s="106">
        <v>16988.222822417287</v>
      </c>
      <c r="AJ1997" s="106">
        <v>13446.899392302499</v>
      </c>
      <c r="AK1997" s="104">
        <v>12004.563133018231</v>
      </c>
      <c r="AL1997" s="118"/>
      <c r="AM1997" s="118">
        <v>2573</v>
      </c>
      <c r="AN1997" s="118">
        <v>44108</v>
      </c>
      <c r="AO1997" s="118">
        <v>111</v>
      </c>
      <c r="AP1997" s="118">
        <f t="shared" si="31"/>
        <v>910</v>
      </c>
    </row>
    <row r="1998" spans="1:42" ht="12.75">
      <c r="A1998" s="106">
        <v>2018</v>
      </c>
      <c r="B1998" s="106">
        <v>-178615</v>
      </c>
      <c r="C1998" s="106">
        <v>0</v>
      </c>
      <c r="D1998" s="106">
        <v>178615</v>
      </c>
      <c r="E1998" s="106" t="s">
        <v>3102</v>
      </c>
      <c r="F1998" s="106" t="s">
        <v>3103</v>
      </c>
      <c r="G1998" s="106" t="s">
        <v>264</v>
      </c>
      <c r="H1998" s="106">
        <v>2</v>
      </c>
      <c r="I1998" s="106" t="s">
        <v>25</v>
      </c>
      <c r="J1998" s="106">
        <v>7656</v>
      </c>
      <c r="K1998" s="106">
        <v>12351</v>
      </c>
      <c r="L1998" s="106">
        <v>8230</v>
      </c>
      <c r="M1998" s="106">
        <v>0.26</v>
      </c>
      <c r="N1998" s="106">
        <v>0.47</v>
      </c>
      <c r="O1998" s="106">
        <v>0.99</v>
      </c>
      <c r="P1998" s="106">
        <v>6011</v>
      </c>
      <c r="Q1998" s="106">
        <v>4345.9117432531002</v>
      </c>
      <c r="R1998" s="106">
        <v>0.44990374339747818</v>
      </c>
      <c r="S1998" s="106">
        <v>18616.00875273523</v>
      </c>
      <c r="T1998" s="106">
        <v>21067.105032822757</v>
      </c>
      <c r="U1998" s="106">
        <v>13315.11890965672</v>
      </c>
      <c r="V1998" s="106">
        <v>0.39907538021675454</v>
      </c>
      <c r="W1998" s="106">
        <v>94235.245683930945</v>
      </c>
      <c r="X1998" s="110">
        <v>0.61419466072794859</v>
      </c>
      <c r="Y1998" s="106">
        <v>477.95387634936208</v>
      </c>
      <c r="Z1998" s="106">
        <v>16.145240431795877</v>
      </c>
      <c r="AA1998" s="106">
        <v>53260.475638626878</v>
      </c>
      <c r="AB1998" s="106">
        <v>449.7835603225073</v>
      </c>
      <c r="AC1998" s="106">
        <v>1.8775649072025096</v>
      </c>
      <c r="AD1998" s="106">
        <v>23.835187760778858</v>
      </c>
      <c r="AE1998" s="106">
        <v>118.41356673960613</v>
      </c>
      <c r="AF1998" s="106">
        <v>-2.8801466989172745E-2</v>
      </c>
      <c r="AG1998" s="106">
        <v>7352</v>
      </c>
      <c r="AH1998" s="106">
        <v>18198.866885485048</v>
      </c>
      <c r="AI1998" s="106">
        <v>18537.683989788475</v>
      </c>
      <c r="AJ1998" s="106">
        <v>19262.012035010939</v>
      </c>
      <c r="AK1998" s="104">
        <v>14014.351385849744</v>
      </c>
      <c r="AL1998" s="118">
        <v>39440512</v>
      </c>
      <c r="AM1998" s="118">
        <v>5898</v>
      </c>
      <c r="AN1998" s="118">
        <v>162345</v>
      </c>
      <c r="AO1998" s="118">
        <v>1172</v>
      </c>
      <c r="AP1998" s="118">
        <f t="shared" si="31"/>
        <v>304</v>
      </c>
    </row>
    <row r="1999" spans="1:42" ht="12.75">
      <c r="A1999" s="106">
        <v>2018</v>
      </c>
      <c r="B1999" s="106">
        <v>-168148</v>
      </c>
      <c r="C1999" s="106">
        <v>0</v>
      </c>
      <c r="D1999" s="106">
        <v>168148</v>
      </c>
      <c r="E1999" s="106" t="s">
        <v>3104</v>
      </c>
      <c r="F1999" s="106" t="s">
        <v>3105</v>
      </c>
      <c r="G1999" s="106" t="s">
        <v>150</v>
      </c>
      <c r="H1999" s="106">
        <v>5</v>
      </c>
      <c r="I1999" s="106" t="s">
        <v>3639</v>
      </c>
      <c r="J1999" s="106">
        <v>54318</v>
      </c>
      <c r="K1999" s="106">
        <v>26825</v>
      </c>
      <c r="L1999" s="106">
        <v>4679</v>
      </c>
      <c r="M1999" s="106">
        <v>0.11</v>
      </c>
      <c r="N1999" s="106">
        <v>0.22</v>
      </c>
      <c r="O1999" s="106">
        <v>0.36</v>
      </c>
      <c r="P1999" s="106">
        <v>42410</v>
      </c>
      <c r="Q1999" s="107">
        <v>11970.875854993161</v>
      </c>
      <c r="R1999" s="106">
        <v>0.2564730719947832</v>
      </c>
      <c r="S1999" s="106">
        <v>73245.209045827636</v>
      </c>
      <c r="T1999" s="106">
        <v>77267.74521203831</v>
      </c>
      <c r="U1999" s="106">
        <v>46621.868605233401</v>
      </c>
      <c r="V1999" s="106">
        <v>0.74437397179443687</v>
      </c>
      <c r="W1999" s="106">
        <v>116857.98079530049</v>
      </c>
      <c r="X1999" s="110">
        <v>0.57231376137606182</v>
      </c>
      <c r="Y1999" s="106">
        <v>188.40803976658742</v>
      </c>
      <c r="Z1999" s="106">
        <v>7.5833153231035233</v>
      </c>
      <c r="AA1999" s="106">
        <v>151469.27089078052</v>
      </c>
      <c r="AB1999" s="106">
        <v>1876.5034179209392</v>
      </c>
      <c r="AC1999" s="106">
        <v>0.66019991653691057</v>
      </c>
      <c r="AD1999" s="106">
        <v>32.954961552544852</v>
      </c>
      <c r="AE1999" s="106">
        <v>80.718888888888884</v>
      </c>
      <c r="AF1999" s="106">
        <v>7.2738994691195713E-2</v>
      </c>
      <c r="AG1999" s="106">
        <v>53152</v>
      </c>
      <c r="AH1999" s="106">
        <v>63236.972298221612</v>
      </c>
      <c r="AI1999" s="106">
        <v>73590.203830369355</v>
      </c>
      <c r="AJ1999" s="106">
        <v>90189.527359781117</v>
      </c>
      <c r="AK1999" s="104">
        <v>70494.612346101232</v>
      </c>
      <c r="AL1999" s="118">
        <v>4960000</v>
      </c>
      <c r="AM1999" s="118">
        <v>5541</v>
      </c>
      <c r="AN1999" s="118">
        <v>290588</v>
      </c>
      <c r="AO1999" s="118">
        <v>1402</v>
      </c>
      <c r="AP1999" s="118">
        <f t="shared" si="31"/>
        <v>1166</v>
      </c>
    </row>
    <row r="2000" spans="1:42" ht="12.75">
      <c r="A2000" s="106">
        <v>2018</v>
      </c>
      <c r="B2000" s="106">
        <v>-160755</v>
      </c>
      <c r="C2000" s="106">
        <v>0</v>
      </c>
      <c r="D2000" s="106">
        <v>160755</v>
      </c>
      <c r="E2000" s="106" t="s">
        <v>3106</v>
      </c>
      <c r="F2000" s="106" t="s">
        <v>1031</v>
      </c>
      <c r="G2000" s="106" t="s">
        <v>306</v>
      </c>
      <c r="H2000" s="106">
        <v>5</v>
      </c>
      <c r="I2000" s="106" t="s">
        <v>3639</v>
      </c>
      <c r="J2000" s="106">
        <v>52960</v>
      </c>
      <c r="K2000" s="106">
        <v>37692</v>
      </c>
      <c r="L2000" s="106">
        <v>17108</v>
      </c>
      <c r="M2000" s="106">
        <v>0.08</v>
      </c>
      <c r="N2000" s="106">
        <v>0.28000000000000003</v>
      </c>
      <c r="O2000" s="106">
        <v>0.76</v>
      </c>
      <c r="P2000" s="106">
        <v>30555</v>
      </c>
      <c r="Q2000" s="106">
        <v>16347.736788055929</v>
      </c>
      <c r="R2000" s="106">
        <v>0.38184173235320168</v>
      </c>
      <c r="S2000" s="106">
        <v>74661.189667430284</v>
      </c>
      <c r="T2000" s="106">
        <v>76409.116043921327</v>
      </c>
      <c r="U2000" s="106">
        <v>40100.077760086795</v>
      </c>
      <c r="V2000" s="106">
        <v>0.65997686552619395</v>
      </c>
      <c r="W2000" s="106">
        <v>108426.9377382465</v>
      </c>
      <c r="X2000" s="110">
        <v>0.52932036064648391</v>
      </c>
      <c r="Y2000" s="106">
        <v>197.24969375255205</v>
      </c>
      <c r="Z2000" s="106">
        <v>7.7535728868926093</v>
      </c>
      <c r="AA2000" s="106">
        <v>126024.54924650912</v>
      </c>
      <c r="AB2000" s="106">
        <v>1576.2705115929821</v>
      </c>
      <c r="AC2000" s="106">
        <v>0.79349619259019089</v>
      </c>
      <c r="AD2000" s="106">
        <v>35.887384176764073</v>
      </c>
      <c r="AE2000" s="106">
        <v>79.951092353525326</v>
      </c>
      <c r="AF2000" s="106">
        <v>7.1933050269163704E-2</v>
      </c>
      <c r="AG2000" s="106">
        <v>48920</v>
      </c>
      <c r="AH2000" s="106">
        <v>65796.982384074567</v>
      </c>
      <c r="AI2000" s="106">
        <v>73209.732206335408</v>
      </c>
      <c r="AJ2000" s="106">
        <v>85439.84516944467</v>
      </c>
      <c r="AK2000" s="104">
        <v>57466.229559996842</v>
      </c>
      <c r="AL2000" s="118"/>
      <c r="AM2000" s="118">
        <v>7871</v>
      </c>
      <c r="AN2000" s="118">
        <v>322043</v>
      </c>
      <c r="AO2000" s="118">
        <v>1877</v>
      </c>
      <c r="AP2000" s="118">
        <f t="shared" si="31"/>
        <v>4040</v>
      </c>
    </row>
    <row r="2001" spans="1:42" ht="12.75">
      <c r="A2001" s="106">
        <v>2018</v>
      </c>
      <c r="B2001" s="106">
        <v>-207935</v>
      </c>
      <c r="C2001" s="106">
        <v>0</v>
      </c>
      <c r="D2001" s="106">
        <v>207935</v>
      </c>
      <c r="E2001" s="106" t="s">
        <v>3107</v>
      </c>
      <c r="F2001" s="106" t="s">
        <v>2376</v>
      </c>
      <c r="G2001" s="106" t="s">
        <v>271</v>
      </c>
      <c r="H2001" s="106">
        <v>4</v>
      </c>
      <c r="I2001" s="106" t="s">
        <v>24</v>
      </c>
      <c r="J2001" s="106">
        <v>3221</v>
      </c>
      <c r="K2001" s="106">
        <v>6128</v>
      </c>
      <c r="L2001" s="106">
        <v>5767</v>
      </c>
      <c r="M2001" s="106">
        <v>0.43</v>
      </c>
      <c r="N2001" s="106">
        <v>0.19</v>
      </c>
      <c r="O2001" s="106">
        <v>0.43</v>
      </c>
      <c r="P2001" s="106">
        <v>2796</v>
      </c>
      <c r="Q2001" s="106">
        <v>489.85830602720682</v>
      </c>
      <c r="R2001" s="106">
        <v>0.14398605624067373</v>
      </c>
      <c r="S2001" s="106">
        <v>13037.469863965842</v>
      </c>
      <c r="T2001" s="106">
        <v>13020.667461026711</v>
      </c>
      <c r="U2001" s="106">
        <v>10674.191982777264</v>
      </c>
      <c r="V2001" s="106">
        <v>0.27283235337845624</v>
      </c>
      <c r="W2001" s="106">
        <v>56418.108041440559</v>
      </c>
      <c r="X2001" s="110">
        <v>0.58140018333707488</v>
      </c>
      <c r="Y2001" s="106">
        <v>658.70712209302326</v>
      </c>
      <c r="Z2001" s="106">
        <v>21.957122093023258</v>
      </c>
      <c r="AA2001" s="106">
        <v>41747.490275164979</v>
      </c>
      <c r="AB2001" s="106">
        <v>355.80993244082725</v>
      </c>
      <c r="AC2001" s="106">
        <v>2.3953535731341593</v>
      </c>
      <c r="AD2001" s="106">
        <v>28.848308312794085</v>
      </c>
      <c r="AE2001" s="106">
        <v>117.33087378640776</v>
      </c>
      <c r="AF2001" s="106">
        <v>0.44838330945876737</v>
      </c>
      <c r="AG2001" s="106">
        <v>2477</v>
      </c>
      <c r="AH2001" s="106">
        <v>12392.895343064243</v>
      </c>
      <c r="AI2001" s="106">
        <v>12618.18419223513</v>
      </c>
      <c r="AJ2001" s="106">
        <v>13092.567967431238</v>
      </c>
      <c r="AK2001" s="104">
        <v>11664.627743024526</v>
      </c>
      <c r="AL2001" s="118">
        <v>69291544</v>
      </c>
      <c r="AM2001" s="118">
        <v>16897</v>
      </c>
      <c r="AN2001" s="118">
        <v>302127</v>
      </c>
      <c r="AO2001" s="118">
        <v>2229</v>
      </c>
      <c r="AP2001" s="118">
        <f t="shared" si="31"/>
        <v>744</v>
      </c>
    </row>
    <row r="2002" spans="1:42" ht="12.75">
      <c r="A2002" s="106">
        <v>2018</v>
      </c>
      <c r="B2002" s="106">
        <v>-130606</v>
      </c>
      <c r="C2002" s="106">
        <v>0</v>
      </c>
      <c r="D2002" s="106">
        <v>130606</v>
      </c>
      <c r="E2002" s="106" t="s">
        <v>3108</v>
      </c>
      <c r="F2002" s="106" t="s">
        <v>2712</v>
      </c>
      <c r="G2002" s="106" t="s">
        <v>99</v>
      </c>
      <c r="H2002" s="106">
        <v>4</v>
      </c>
      <c r="I2002" s="106" t="s">
        <v>24</v>
      </c>
      <c r="J2002" s="106">
        <v>4276</v>
      </c>
      <c r="K2002" s="106">
        <v>7333</v>
      </c>
      <c r="L2002" s="106">
        <v>7391</v>
      </c>
      <c r="M2002" s="106">
        <v>0.59</v>
      </c>
      <c r="N2002" s="106">
        <v>7.0000000000000007E-2</v>
      </c>
      <c r="O2002" s="106">
        <v>0.57999999999999996</v>
      </c>
      <c r="P2002" s="106">
        <v>844</v>
      </c>
      <c r="Q2002" s="106">
        <v>674.76059850374065</v>
      </c>
      <c r="R2002" s="106">
        <v>0.11220646929208437</v>
      </c>
      <c r="S2002" s="106">
        <v>14865.143807148796</v>
      </c>
      <c r="T2002" s="106">
        <v>15590.793433083956</v>
      </c>
      <c r="U2002" s="106">
        <v>12831.593156418394</v>
      </c>
      <c r="V2002" s="106">
        <v>0.41606694356307805</v>
      </c>
      <c r="W2002" s="106">
        <v>121148.5055401662</v>
      </c>
      <c r="X2002" s="110">
        <v>0.77726688190584159</v>
      </c>
      <c r="Y2002" s="106">
        <v>482.33853006681511</v>
      </c>
      <c r="Z2002" s="106">
        <v>16.075723830734965</v>
      </c>
      <c r="AA2002" s="106">
        <v>52683.981457922622</v>
      </c>
      <c r="AB2002" s="106">
        <v>427.66052270872223</v>
      </c>
      <c r="AC2002" s="106">
        <v>1.8981101509928118</v>
      </c>
      <c r="AD2002" s="106">
        <v>25.18263859045982</v>
      </c>
      <c r="AE2002" s="106">
        <v>123.19112627986348</v>
      </c>
      <c r="AF2002" s="106">
        <v>-2.8550382026380727E-2</v>
      </c>
      <c r="AG2002" s="106">
        <v>3816</v>
      </c>
      <c r="AH2002" s="106">
        <v>14266.923108894431</v>
      </c>
      <c r="AI2002" s="106">
        <v>14267.703241895262</v>
      </c>
      <c r="AJ2002" s="106">
        <v>14882.34995843724</v>
      </c>
      <c r="AK2002" s="104">
        <v>13783.996674979218</v>
      </c>
      <c r="AL2002" s="118">
        <v>19054123</v>
      </c>
      <c r="AM2002" s="118">
        <v>3857</v>
      </c>
      <c r="AN2002" s="118">
        <v>72190</v>
      </c>
      <c r="AO2002" s="118">
        <v>378</v>
      </c>
      <c r="AP2002" s="118">
        <f t="shared" si="31"/>
        <v>460</v>
      </c>
    </row>
    <row r="2003" spans="1:42" ht="12.75">
      <c r="A2003" s="106">
        <v>2018</v>
      </c>
      <c r="B2003" s="106">
        <v>-221953</v>
      </c>
      <c r="C2003" s="106">
        <v>0</v>
      </c>
      <c r="D2003" s="106">
        <v>221953</v>
      </c>
      <c r="E2003" s="106" t="s">
        <v>3109</v>
      </c>
      <c r="F2003" s="106" t="s">
        <v>3110</v>
      </c>
      <c r="G2003" s="106" t="s">
        <v>255</v>
      </c>
      <c r="H2003" s="106">
        <v>6</v>
      </c>
      <c r="I2003" s="106" t="s">
        <v>3640</v>
      </c>
      <c r="J2003" s="106">
        <v>23700</v>
      </c>
      <c r="K2003" s="106">
        <v>17492</v>
      </c>
      <c r="L2003" s="106">
        <v>14327</v>
      </c>
      <c r="M2003" s="106">
        <v>0.56999999999999995</v>
      </c>
      <c r="N2003" s="106">
        <v>0.68</v>
      </c>
      <c r="O2003" s="106">
        <v>0.96</v>
      </c>
      <c r="P2003" s="106">
        <v>14182</v>
      </c>
      <c r="Q2003" s="106">
        <v>8185.5364496382863</v>
      </c>
      <c r="R2003" s="106">
        <v>0.49233326644784681</v>
      </c>
      <c r="S2003" s="106">
        <v>15109.470784641069</v>
      </c>
      <c r="T2003" s="106">
        <v>17681.540901502503</v>
      </c>
      <c r="U2003" s="106">
        <v>13541.642276289827</v>
      </c>
      <c r="V2003" s="106">
        <v>0.62329742673970634</v>
      </c>
      <c r="W2003" s="106">
        <v>48159.041916167662</v>
      </c>
      <c r="X2003" s="110">
        <v>0.50623960442288662</v>
      </c>
      <c r="Y2003" s="106">
        <v>535.46391752577324</v>
      </c>
      <c r="Z2003" s="106">
        <v>18.52577319587629</v>
      </c>
      <c r="AA2003" s="106">
        <v>50070.640268503746</v>
      </c>
      <c r="AB2003" s="106">
        <v>468.50849384853331</v>
      </c>
      <c r="AC2003" s="106">
        <v>1.9971783756658619</v>
      </c>
      <c r="AD2003" s="106">
        <v>29.171668667466989</v>
      </c>
      <c r="AE2003" s="106">
        <v>106.8724279835391</v>
      </c>
      <c r="AF2003" s="106">
        <v>-3.3610733679207153E-2</v>
      </c>
      <c r="AG2003" s="106">
        <v>23700</v>
      </c>
      <c r="AH2003" s="106">
        <v>14119.176405119644</v>
      </c>
      <c r="AI2003" s="106">
        <v>15109.470784641069</v>
      </c>
      <c r="AJ2003" s="106">
        <v>16188.91040623261</v>
      </c>
      <c r="AK2003" s="104">
        <v>16007.595993322204</v>
      </c>
      <c r="AL2003" s="118"/>
      <c r="AM2003" s="118">
        <v>1488</v>
      </c>
      <c r="AN2003" s="118">
        <v>51940</v>
      </c>
      <c r="AO2003" s="118">
        <v>334</v>
      </c>
      <c r="AP2003" s="118">
        <f t="shared" si="31"/>
        <v>0</v>
      </c>
    </row>
    <row r="2004" spans="1:42" ht="12.75">
      <c r="A2004" s="106">
        <v>2018</v>
      </c>
      <c r="B2004" s="106">
        <v>-102377</v>
      </c>
      <c r="C2004" s="106">
        <v>0</v>
      </c>
      <c r="D2004" s="106">
        <v>102377</v>
      </c>
      <c r="E2004" s="106" t="s">
        <v>3111</v>
      </c>
      <c r="F2004" s="106" t="s">
        <v>3112</v>
      </c>
      <c r="G2004" s="106" t="s">
        <v>85</v>
      </c>
      <c r="H2004" s="106">
        <v>6</v>
      </c>
      <c r="I2004" s="106" t="s">
        <v>3640</v>
      </c>
      <c r="J2004" s="106">
        <v>22170</v>
      </c>
      <c r="K2004" s="106">
        <v>34743</v>
      </c>
      <c r="L2004" s="106">
        <v>34135</v>
      </c>
      <c r="M2004" s="106">
        <v>0.42</v>
      </c>
      <c r="N2004" s="106">
        <v>0.57999999999999996</v>
      </c>
      <c r="O2004" s="106">
        <v>0.26</v>
      </c>
      <c r="P2004" s="106">
        <v>6621</v>
      </c>
      <c r="Q2004" s="106">
        <v>7105.9567198177674</v>
      </c>
      <c r="R2004" s="106">
        <v>0.30877830009896584</v>
      </c>
      <c r="S2004" s="106">
        <v>41220.279205987637</v>
      </c>
      <c r="T2004" s="106">
        <v>39902.137975919301</v>
      </c>
      <c r="U2004" s="106">
        <v>21169.449999478384</v>
      </c>
      <c r="V2004" s="106">
        <v>0.75142142699783643</v>
      </c>
      <c r="W2004" s="106">
        <v>86042.483200000002</v>
      </c>
      <c r="X2004" s="110">
        <v>0.43856525976708227</v>
      </c>
      <c r="Y2004" s="106">
        <v>289.26388888888891</v>
      </c>
      <c r="Z2004" s="106">
        <v>10.670138888888889</v>
      </c>
      <c r="AA2004" s="106">
        <v>112940.48584791158</v>
      </c>
      <c r="AB2004" s="106">
        <v>780.88202631676518</v>
      </c>
      <c r="AC2004" s="106">
        <v>0.88542208092377483</v>
      </c>
      <c r="AD2004" s="106">
        <v>18.107513360578434</v>
      </c>
      <c r="AE2004" s="106">
        <v>144.63194444444446</v>
      </c>
      <c r="AF2004" s="106">
        <v>5.4169429343540527E-2</v>
      </c>
      <c r="AG2004" s="106">
        <v>19210</v>
      </c>
      <c r="AH2004" s="106">
        <v>38597.109013992842</v>
      </c>
      <c r="AI2004" s="106">
        <v>41244.367068011714</v>
      </c>
      <c r="AJ2004" s="106">
        <v>44137.20891636837</v>
      </c>
      <c r="AK2004" s="104">
        <v>34725.822974292219</v>
      </c>
      <c r="AL2004" s="118">
        <v>10652287</v>
      </c>
      <c r="AM2004" s="118">
        <v>2833</v>
      </c>
      <c r="AN2004" s="118">
        <v>83308</v>
      </c>
      <c r="AO2004" s="118">
        <v>423</v>
      </c>
      <c r="AP2004" s="118">
        <f t="shared" si="31"/>
        <v>2960</v>
      </c>
    </row>
    <row r="2005" spans="1:42" ht="12.75">
      <c r="A2005" s="106">
        <v>2018</v>
      </c>
      <c r="B2005" s="106">
        <v>-229355</v>
      </c>
      <c r="C2005" s="106">
        <v>0</v>
      </c>
      <c r="D2005" s="106">
        <v>229355</v>
      </c>
      <c r="E2005" s="106" t="s">
        <v>3113</v>
      </c>
      <c r="F2005" s="106" t="s">
        <v>3014</v>
      </c>
      <c r="G2005" s="106" t="s">
        <v>60</v>
      </c>
      <c r="H2005" s="106">
        <v>4</v>
      </c>
      <c r="I2005" s="106" t="s">
        <v>24</v>
      </c>
      <c r="J2005" s="106">
        <v>2276</v>
      </c>
      <c r="K2005" s="106">
        <v>9484</v>
      </c>
      <c r="L2005" s="106">
        <v>8249</v>
      </c>
      <c r="M2005" s="106">
        <v>0.57999999999999996</v>
      </c>
      <c r="N2005" s="106">
        <v>0.43</v>
      </c>
      <c r="O2005" s="106">
        <v>0.19</v>
      </c>
      <c r="P2005" s="106">
        <v>4051</v>
      </c>
      <c r="Q2005" s="106">
        <v>326.00741427247453</v>
      </c>
      <c r="R2005" s="106">
        <v>7.7876655555831065E-2</v>
      </c>
      <c r="S2005" s="106">
        <v>11478.129402224282</v>
      </c>
      <c r="T2005" s="106">
        <v>11667.798076923076</v>
      </c>
      <c r="U2005" s="106">
        <v>7222.3426634911048</v>
      </c>
      <c r="V2005" s="106">
        <v>0.53447957325061779</v>
      </c>
      <c r="W2005" s="106">
        <v>66107.765553869496</v>
      </c>
      <c r="X2005" s="110">
        <v>0.5767349802787396</v>
      </c>
      <c r="Y2005" s="106">
        <v>604.10108864696736</v>
      </c>
      <c r="Z2005" s="106">
        <v>20.136858475894243</v>
      </c>
      <c r="AA2005" s="106">
        <v>23767.922939860931</v>
      </c>
      <c r="AB2005" s="106">
        <v>240.74661478407779</v>
      </c>
      <c r="AC2005" s="106">
        <v>4.2073512377596556</v>
      </c>
      <c r="AD2005" s="106">
        <v>31.736237144585601</v>
      </c>
      <c r="AE2005" s="106">
        <v>98.72588638963019</v>
      </c>
      <c r="AF2005" s="106">
        <v>-1.5039875687916293E-2</v>
      </c>
      <c r="AG2005" s="106">
        <v>768</v>
      </c>
      <c r="AH2005" s="106">
        <v>11092.820898980537</v>
      </c>
      <c r="AI2005" s="106">
        <v>11092.820898980537</v>
      </c>
      <c r="AJ2005" s="106">
        <v>11512.520389249305</v>
      </c>
      <c r="AK2005" s="104">
        <v>8194.9739341983313</v>
      </c>
      <c r="AL2005" s="118">
        <v>46422376</v>
      </c>
      <c r="AM2005" s="118">
        <v>11649</v>
      </c>
      <c r="AN2005" s="118">
        <v>258958</v>
      </c>
      <c r="AO2005" s="118">
        <v>1814</v>
      </c>
      <c r="AP2005" s="118">
        <f t="shared" si="31"/>
        <v>1508</v>
      </c>
    </row>
    <row r="2006" spans="1:42" ht="12.75">
      <c r="A2006" s="106">
        <v>2018</v>
      </c>
      <c r="B2006" s="106">
        <v>-196699</v>
      </c>
      <c r="C2006" s="106">
        <v>0</v>
      </c>
      <c r="D2006" s="106">
        <v>196699</v>
      </c>
      <c r="E2006" s="106" t="s">
        <v>3114</v>
      </c>
      <c r="F2006" s="106" t="s">
        <v>3115</v>
      </c>
      <c r="G2006" s="106" t="s">
        <v>69</v>
      </c>
      <c r="H2006" s="106">
        <v>4</v>
      </c>
      <c r="I2006" s="106" t="s">
        <v>24</v>
      </c>
      <c r="J2006" s="106">
        <v>5354</v>
      </c>
      <c r="K2006" s="106">
        <v>4044</v>
      </c>
      <c r="L2006" s="106">
        <v>887</v>
      </c>
      <c r="M2006" s="106">
        <v>0.55000000000000004</v>
      </c>
      <c r="N2006" s="106">
        <v>0.19</v>
      </c>
      <c r="O2006" s="106">
        <v>0.26</v>
      </c>
      <c r="P2006" s="106">
        <v>1041</v>
      </c>
      <c r="Q2006" s="106"/>
      <c r="R2006" s="106"/>
      <c r="S2006" s="106">
        <v>13883.673547767643</v>
      </c>
      <c r="T2006" s="106">
        <v>15021.558329332693</v>
      </c>
      <c r="U2006" s="106">
        <v>13654.491443737468</v>
      </c>
      <c r="V2006" s="106">
        <v>0.3886704237491132</v>
      </c>
      <c r="W2006" s="106">
        <v>91976.343465045589</v>
      </c>
      <c r="X2006" s="110">
        <v>0.6447279835228652</v>
      </c>
      <c r="Y2006" s="106">
        <v>600.88461538461536</v>
      </c>
      <c r="Z2006" s="106">
        <v>20.028846153846153</v>
      </c>
      <c r="AA2006" s="106">
        <v>65991.428485626791</v>
      </c>
      <c r="AB2006" s="106">
        <v>455.13514813584374</v>
      </c>
      <c r="AC2006" s="106">
        <v>1.5153483156040548</v>
      </c>
      <c r="AD2006" s="106">
        <v>19.94447015270708</v>
      </c>
      <c r="AE2006" s="106">
        <v>144.99303944315545</v>
      </c>
      <c r="AF2006" s="106">
        <v>-1.5811134703374539</v>
      </c>
      <c r="AG2006" s="106">
        <v>4480</v>
      </c>
      <c r="AH2006" s="106">
        <v>13869.265962554009</v>
      </c>
      <c r="AI2006" s="106">
        <v>14050.534325492079</v>
      </c>
      <c r="AJ2006" s="106">
        <v>13883.673547767643</v>
      </c>
      <c r="AK2006" s="104">
        <v>15013.616898703793</v>
      </c>
      <c r="AL2006" s="118">
        <v>13170241</v>
      </c>
      <c r="AM2006" s="118">
        <v>3560</v>
      </c>
      <c r="AN2006" s="118">
        <v>62492</v>
      </c>
      <c r="AO2006" s="118">
        <v>337</v>
      </c>
      <c r="AP2006" s="118">
        <f t="shared" si="31"/>
        <v>874</v>
      </c>
    </row>
    <row r="2007" spans="1:42" ht="12.75">
      <c r="A2007" s="106">
        <v>2018</v>
      </c>
      <c r="B2007" s="106">
        <v>-210270</v>
      </c>
      <c r="C2007" s="106">
        <v>0</v>
      </c>
      <c r="D2007" s="106">
        <v>210270</v>
      </c>
      <c r="E2007" s="106" t="s">
        <v>3116</v>
      </c>
      <c r="F2007" s="106" t="s">
        <v>3117</v>
      </c>
      <c r="G2007" s="106" t="s">
        <v>405</v>
      </c>
      <c r="H2007" s="106">
        <v>4</v>
      </c>
      <c r="I2007" s="106" t="s">
        <v>24</v>
      </c>
      <c r="J2007" s="106">
        <v>4991</v>
      </c>
      <c r="K2007" s="106">
        <v>8235</v>
      </c>
      <c r="L2007" s="106">
        <v>7397</v>
      </c>
      <c r="M2007" s="106">
        <v>0.52</v>
      </c>
      <c r="N2007" s="106">
        <v>0.24</v>
      </c>
      <c r="O2007" s="106">
        <v>0.12</v>
      </c>
      <c r="P2007" s="106">
        <v>1918</v>
      </c>
      <c r="Q2007" s="106">
        <v>1003.2800274536719</v>
      </c>
      <c r="R2007" s="106">
        <v>0.16566842582814437</v>
      </c>
      <c r="S2007" s="106">
        <v>23024.962937542896</v>
      </c>
      <c r="T2007" s="106">
        <v>22175.785175017158</v>
      </c>
      <c r="U2007" s="106">
        <v>18104.319289208717</v>
      </c>
      <c r="V2007" s="106">
        <v>0.27908654547603762</v>
      </c>
      <c r="W2007" s="106">
        <v>77320.978149100265</v>
      </c>
      <c r="X2007" s="110">
        <v>0.62060764926306833</v>
      </c>
      <c r="Y2007" s="106">
        <v>620.42271293375404</v>
      </c>
      <c r="Z2007" s="106">
        <v>13.788643533123029</v>
      </c>
      <c r="AA2007" s="106">
        <v>66611.093950447219</v>
      </c>
      <c r="AB2007" s="106">
        <v>402.36116422674729</v>
      </c>
      <c r="AC2007" s="106">
        <v>1.5012514292948136</v>
      </c>
      <c r="AD2007" s="106">
        <v>33.788395904436861</v>
      </c>
      <c r="AE2007" s="106">
        <v>165.55050505050505</v>
      </c>
      <c r="AF2007" s="106">
        <v>0.39405270467079134</v>
      </c>
      <c r="AG2007" s="106">
        <v>4689</v>
      </c>
      <c r="AH2007" s="106">
        <v>22758.586135895675</v>
      </c>
      <c r="AI2007" s="106">
        <v>22758.586135895675</v>
      </c>
      <c r="AJ2007" s="106">
        <v>23135.960192175702</v>
      </c>
      <c r="AK2007" s="104">
        <v>19869.816746739878</v>
      </c>
      <c r="AL2007" s="118">
        <v>17569622</v>
      </c>
      <c r="AM2007" s="118">
        <v>1909</v>
      </c>
      <c r="AN2007" s="118">
        <v>65558</v>
      </c>
      <c r="AO2007" s="118">
        <v>293</v>
      </c>
      <c r="AP2007" s="118">
        <f t="shared" si="31"/>
        <v>302</v>
      </c>
    </row>
    <row r="2008" spans="1:42" ht="12.75">
      <c r="A2008" s="106">
        <v>2018</v>
      </c>
      <c r="B2008" s="106">
        <v>2247</v>
      </c>
      <c r="C2008" s="106">
        <v>1</v>
      </c>
      <c r="D2008" s="106">
        <v>157863</v>
      </c>
      <c r="E2008" s="106" t="s">
        <v>3916</v>
      </c>
      <c r="F2008" s="106" t="s">
        <v>3118</v>
      </c>
      <c r="G2008" s="106" t="s">
        <v>118</v>
      </c>
      <c r="H2008" s="106">
        <v>6</v>
      </c>
      <c r="I2008" s="106" t="s">
        <v>3640</v>
      </c>
      <c r="J2008" s="106">
        <v>26080</v>
      </c>
      <c r="K2008" s="106">
        <v>17445</v>
      </c>
      <c r="L2008" s="106">
        <v>15967</v>
      </c>
      <c r="M2008" s="106">
        <v>0.68</v>
      </c>
      <c r="N2008" s="106">
        <v>0.84</v>
      </c>
      <c r="O2008" s="106">
        <v>1</v>
      </c>
      <c r="P2008" s="106">
        <v>13555</v>
      </c>
      <c r="Q2008" s="106">
        <v>9187.7414561664191</v>
      </c>
      <c r="R2008" s="106">
        <v>0.4894081931143065</v>
      </c>
      <c r="S2008" s="106">
        <v>16867.309063893015</v>
      </c>
      <c r="T2008" s="106">
        <v>14805.903417533433</v>
      </c>
      <c r="U2008" s="106">
        <v>10592.017218184315</v>
      </c>
      <c r="V2008" s="106">
        <v>0.90496689774981609</v>
      </c>
      <c r="W2008" s="106">
        <v>43477.429530201342</v>
      </c>
      <c r="X2008" s="110">
        <v>0.43341994523890265</v>
      </c>
      <c r="Y2008" s="106">
        <v>552.90140845070425</v>
      </c>
      <c r="Z2008" s="106">
        <v>18.95774647887324</v>
      </c>
      <c r="AA2008" s="106">
        <v>51468.791247928115</v>
      </c>
      <c r="AB2008" s="106">
        <v>363.17646157723885</v>
      </c>
      <c r="AC2008" s="106">
        <v>1.9429249759974789</v>
      </c>
      <c r="AD2008" s="106">
        <v>24.710080285459412</v>
      </c>
      <c r="AE2008" s="106">
        <v>141.71841155234657</v>
      </c>
      <c r="AF2008" s="106">
        <v>0.12977038397503823</v>
      </c>
      <c r="AG2008" s="106">
        <v>24590</v>
      </c>
      <c r="AH2008" s="106">
        <v>12522.864041604755</v>
      </c>
      <c r="AI2008" s="106">
        <v>16867.309063893015</v>
      </c>
      <c r="AJ2008" s="106">
        <v>18855.965081723625</v>
      </c>
      <c r="AK2008" s="104">
        <v>11412.819465081724</v>
      </c>
      <c r="AM2008" s="118">
        <v>1094</v>
      </c>
      <c r="AN2008" s="118">
        <v>39256</v>
      </c>
      <c r="AO2008" s="118">
        <v>161</v>
      </c>
      <c r="AP2008" s="118">
        <f t="shared" si="31"/>
        <v>1490</v>
      </c>
    </row>
    <row r="2009" spans="1:42" ht="12.75">
      <c r="A2009" s="106">
        <v>2018</v>
      </c>
      <c r="B2009" s="106">
        <v>-181738</v>
      </c>
      <c r="C2009" s="106">
        <v>0</v>
      </c>
      <c r="D2009" s="106">
        <v>181738</v>
      </c>
      <c r="E2009" s="106" t="s">
        <v>3917</v>
      </c>
      <c r="F2009" s="106" t="s">
        <v>1052</v>
      </c>
      <c r="G2009" s="106" t="s">
        <v>323</v>
      </c>
      <c r="H2009" s="106">
        <v>7</v>
      </c>
      <c r="I2009" s="106" t="s">
        <v>3641</v>
      </c>
      <c r="J2009" s="106">
        <v>23070</v>
      </c>
      <c r="K2009" s="106">
        <v>22725</v>
      </c>
      <c r="L2009" s="106">
        <v>18610</v>
      </c>
      <c r="M2009" s="106">
        <v>0.42</v>
      </c>
      <c r="N2009" s="106">
        <v>0.88</v>
      </c>
      <c r="O2009" s="106">
        <v>0.99</v>
      </c>
      <c r="P2009" s="106">
        <v>9996</v>
      </c>
      <c r="Q2009" s="106">
        <v>7093.6574519230771</v>
      </c>
      <c r="R2009" s="106">
        <v>0.31447221395003516</v>
      </c>
      <c r="S2009" s="106">
        <v>31264.213942307691</v>
      </c>
      <c r="T2009" s="106">
        <v>27851.063701923078</v>
      </c>
      <c r="U2009" s="106">
        <v>20665.472635995629</v>
      </c>
      <c r="V2009" s="106">
        <v>0.74828605996742703</v>
      </c>
      <c r="W2009" s="106">
        <v>69605.036269430057</v>
      </c>
      <c r="X2009" s="110">
        <v>0.57973945805912586</v>
      </c>
      <c r="Y2009" s="106">
        <v>300.93360995850622</v>
      </c>
      <c r="Z2009" s="106">
        <v>10.356846473029046</v>
      </c>
      <c r="AA2009" s="106">
        <v>80721.47057816133</v>
      </c>
      <c r="AB2009" s="106">
        <v>711.2170934084121</v>
      </c>
      <c r="AC2009" s="106">
        <v>1.2388277775882635</v>
      </c>
      <c r="AD2009" s="106">
        <v>25.880923450789794</v>
      </c>
      <c r="AE2009" s="106">
        <v>113.49765258215963</v>
      </c>
      <c r="AF2009" s="106">
        <v>7.1499165906415724E-2</v>
      </c>
      <c r="AG2009" s="106">
        <v>21970</v>
      </c>
      <c r="AH2009" s="106">
        <v>23795.598557692309</v>
      </c>
      <c r="AI2009" s="106">
        <v>30687.787259615383</v>
      </c>
      <c r="AJ2009" s="106">
        <v>31900.23798076923</v>
      </c>
      <c r="AK2009" s="104">
        <v>21601.993990384617</v>
      </c>
      <c r="AL2009" s="118"/>
      <c r="AM2009" s="118">
        <v>781</v>
      </c>
      <c r="AN2009" s="118">
        <v>24175</v>
      </c>
      <c r="AO2009" s="118">
        <v>186</v>
      </c>
      <c r="AP2009" s="118">
        <f t="shared" si="31"/>
        <v>1100</v>
      </c>
    </row>
    <row r="2010" spans="1:42" ht="12.75">
      <c r="A2010" s="106">
        <v>2018</v>
      </c>
      <c r="B2010" s="106">
        <v>-196866</v>
      </c>
      <c r="C2010" s="106">
        <v>0</v>
      </c>
      <c r="D2010" s="106">
        <v>196866</v>
      </c>
      <c r="E2010" s="106" t="s">
        <v>3918</v>
      </c>
      <c r="F2010" s="106" t="s">
        <v>2730</v>
      </c>
      <c r="G2010" s="106" t="s">
        <v>69</v>
      </c>
      <c r="H2010" s="106">
        <v>7</v>
      </c>
      <c r="I2010" s="106" t="s">
        <v>3641</v>
      </c>
      <c r="J2010" s="106">
        <v>53490</v>
      </c>
      <c r="K2010" s="106">
        <v>39538</v>
      </c>
      <c r="L2010" s="106">
        <v>12204</v>
      </c>
      <c r="M2010" s="106">
        <v>0.12</v>
      </c>
      <c r="N2010" s="106">
        <v>0.49</v>
      </c>
      <c r="O2010" s="106">
        <v>0.81</v>
      </c>
      <c r="P2010" s="106">
        <v>27761</v>
      </c>
      <c r="Q2010" s="106">
        <v>22968.007363770252</v>
      </c>
      <c r="R2010" s="106">
        <v>0.41288333200046945</v>
      </c>
      <c r="S2010" s="106">
        <v>60479.792341678942</v>
      </c>
      <c r="T2010" s="106">
        <v>64913.804614629356</v>
      </c>
      <c r="U2010" s="106">
        <v>51675.066721233641</v>
      </c>
      <c r="V2010" s="106">
        <v>0.63203238491154934</v>
      </c>
      <c r="W2010" s="106">
        <v>89175.192604632262</v>
      </c>
      <c r="X2010" s="110">
        <v>0.55323076362280044</v>
      </c>
      <c r="Y2010" s="106">
        <v>270.36283185840711</v>
      </c>
      <c r="Z2010" s="106">
        <v>9.0132743362831853</v>
      </c>
      <c r="AA2010" s="106">
        <v>210946.11405040667</v>
      </c>
      <c r="AB2010" s="106">
        <v>1722.7277488650604</v>
      </c>
      <c r="AC2010" s="106">
        <v>0.47405471511129366</v>
      </c>
      <c r="AD2010" s="106">
        <v>22.55877034358047</v>
      </c>
      <c r="AE2010" s="106">
        <v>122.44889779559118</v>
      </c>
      <c r="AF2010" s="106">
        <v>7.0101329002326504E-2</v>
      </c>
      <c r="AG2010" s="106">
        <v>53019</v>
      </c>
      <c r="AH2010" s="106">
        <v>49614.936180657831</v>
      </c>
      <c r="AI2010" s="106">
        <v>60476.23564064801</v>
      </c>
      <c r="AJ2010" s="106">
        <v>85286.821305841921</v>
      </c>
      <c r="AK2010" s="104">
        <v>52384.559646539026</v>
      </c>
      <c r="AL2010" s="118">
        <v>140671</v>
      </c>
      <c r="AM2010" s="118">
        <v>2267</v>
      </c>
      <c r="AN2010" s="118">
        <v>61102</v>
      </c>
      <c r="AO2010" s="118">
        <v>499</v>
      </c>
      <c r="AP2010" s="118">
        <f t="shared" si="31"/>
        <v>471</v>
      </c>
    </row>
    <row r="2011" spans="1:42" ht="12.75">
      <c r="A2011" s="106">
        <v>2018</v>
      </c>
      <c r="B2011" s="106">
        <v>-187198</v>
      </c>
      <c r="C2011" s="106">
        <v>0</v>
      </c>
      <c r="D2011" s="106">
        <v>187198</v>
      </c>
      <c r="E2011" s="106" t="s">
        <v>4260</v>
      </c>
      <c r="F2011" s="106" t="s">
        <v>3119</v>
      </c>
      <c r="G2011" s="106" t="s">
        <v>234</v>
      </c>
      <c r="H2011" s="106">
        <v>4</v>
      </c>
      <c r="I2011" s="106" t="s">
        <v>24</v>
      </c>
      <c r="J2011" s="106">
        <v>4804</v>
      </c>
      <c r="K2011" s="106">
        <v>3268</v>
      </c>
      <c r="L2011" s="106">
        <v>2484</v>
      </c>
      <c r="M2011" s="106">
        <v>0.59</v>
      </c>
      <c r="N2011" s="106">
        <v>0.08</v>
      </c>
      <c r="O2011" s="106">
        <v>0.1</v>
      </c>
      <c r="P2011" s="106">
        <v>1310</v>
      </c>
      <c r="Q2011" s="106">
        <v>50.414328021435622</v>
      </c>
      <c r="R2011" s="106">
        <v>8.6605791532159727E-3</v>
      </c>
      <c r="S2011" s="106">
        <v>11406.732900860245</v>
      </c>
      <c r="T2011" s="106">
        <v>13013</v>
      </c>
      <c r="U2011" s="106">
        <v>10204.704939155643</v>
      </c>
      <c r="V2011" s="106">
        <v>0.56549526378154191</v>
      </c>
      <c r="W2011" s="106">
        <v>86356.237997957098</v>
      </c>
      <c r="X2011" s="110">
        <v>0.61080169301858767</v>
      </c>
      <c r="Y2011" s="106">
        <v>798.74342928660815</v>
      </c>
      <c r="Z2011" s="106">
        <v>26.624530663329157</v>
      </c>
      <c r="AA2011" s="106">
        <v>43200.932969285168</v>
      </c>
      <c r="AB2011" s="106">
        <v>340.15363332057547</v>
      </c>
      <c r="AC2011" s="106">
        <v>2.3147648239702976</v>
      </c>
      <c r="AD2011" s="106">
        <v>27.391659852820933</v>
      </c>
      <c r="AE2011" s="106">
        <v>127.00417910447761</v>
      </c>
      <c r="AF2011" s="106">
        <v>4.0036715589552206E-2</v>
      </c>
      <c r="AG2011" s="106">
        <v>4804</v>
      </c>
      <c r="AH2011" s="106">
        <v>10758.282047666056</v>
      </c>
      <c r="AI2011" s="106">
        <v>10808.696375687492</v>
      </c>
      <c r="AJ2011" s="106">
        <v>11439.131575236215</v>
      </c>
      <c r="AK2011" s="104">
        <v>11711.21280496404</v>
      </c>
      <c r="AL2011" s="118">
        <v>24795102</v>
      </c>
      <c r="AM2011" s="118">
        <v>9711</v>
      </c>
      <c r="AN2011" s="118">
        <v>212732</v>
      </c>
      <c r="AO2011" s="118">
        <v>1588</v>
      </c>
      <c r="AP2011" s="118">
        <f t="shared" si="31"/>
        <v>0</v>
      </c>
    </row>
    <row r="2012" spans="1:42" ht="12.75">
      <c r="A2012" s="106">
        <v>2018</v>
      </c>
      <c r="B2012" s="106">
        <v>-206279</v>
      </c>
      <c r="C2012" s="106">
        <v>0</v>
      </c>
      <c r="D2012" s="106">
        <v>206279</v>
      </c>
      <c r="E2012" s="106" t="s">
        <v>3120</v>
      </c>
      <c r="F2012" s="106" t="s">
        <v>737</v>
      </c>
      <c r="G2012" s="106" t="s">
        <v>82</v>
      </c>
      <c r="H2012" s="106">
        <v>5</v>
      </c>
      <c r="I2012" s="106" t="s">
        <v>3639</v>
      </c>
      <c r="J2012" s="106">
        <v>12896</v>
      </c>
      <c r="K2012" s="106">
        <v>22360</v>
      </c>
      <c r="L2012" s="106">
        <v>22360</v>
      </c>
      <c r="M2012" s="106">
        <v>1</v>
      </c>
      <c r="N2012" s="106">
        <v>1</v>
      </c>
      <c r="O2012" s="106">
        <v>0.5</v>
      </c>
      <c r="P2012" s="106">
        <v>2260</v>
      </c>
      <c r="Q2012" s="106">
        <v>1686.4985479186835</v>
      </c>
      <c r="R2012" s="106">
        <v>9.7960497609119082E-2</v>
      </c>
      <c r="S2012" s="106">
        <v>18906.672797676671</v>
      </c>
      <c r="T2012" s="106">
        <v>18820.74927395934</v>
      </c>
      <c r="U2012" s="106">
        <v>16375.450728022039</v>
      </c>
      <c r="V2012" s="106">
        <v>0.9483470184779913</v>
      </c>
      <c r="W2012" s="106">
        <v>51416.819832402231</v>
      </c>
      <c r="X2012" s="110">
        <v>0.63118947523160629</v>
      </c>
      <c r="Y2012" s="106">
        <v>255.18051575931233</v>
      </c>
      <c r="Z2012" s="106">
        <v>8.8796561604584525</v>
      </c>
      <c r="AA2012" s="106">
        <v>27913.928386215783</v>
      </c>
      <c r="AB2012" s="106">
        <v>569.82552725347864</v>
      </c>
      <c r="AC2012" s="106">
        <v>3.5824409454808643</v>
      </c>
      <c r="AD2012" s="106">
        <v>74.630541871921181</v>
      </c>
      <c r="AE2012" s="106">
        <v>48.986798679867988</v>
      </c>
      <c r="AF2012" s="106">
        <v>3.6378532619834855E-2</v>
      </c>
      <c r="AG2012" s="106">
        <v>12720</v>
      </c>
      <c r="AH2012" s="106">
        <v>16155.827686350436</v>
      </c>
      <c r="AI2012" s="106">
        <v>17220.174249757987</v>
      </c>
      <c r="AJ2012" s="106">
        <v>19203.907066795742</v>
      </c>
      <c r="AK2012" s="104">
        <v>18820.74927395934</v>
      </c>
      <c r="AL2012" s="118"/>
      <c r="AM2012" s="118">
        <v>813</v>
      </c>
      <c r="AN2012" s="118">
        <v>29686</v>
      </c>
      <c r="AO2012" s="118">
        <v>505</v>
      </c>
      <c r="AP2012" s="118">
        <f t="shared" si="31"/>
        <v>176</v>
      </c>
    </row>
    <row r="2013" spans="1:42" ht="12.75">
      <c r="A2013" s="106">
        <v>2018</v>
      </c>
      <c r="B2013" s="106">
        <v>-221971</v>
      </c>
      <c r="C2013" s="106">
        <v>0</v>
      </c>
      <c r="D2013" s="106">
        <v>221971</v>
      </c>
      <c r="E2013" s="106" t="s">
        <v>4261</v>
      </c>
      <c r="F2013" s="106" t="s">
        <v>273</v>
      </c>
      <c r="G2013" s="106" t="s">
        <v>255</v>
      </c>
      <c r="H2013" s="106">
        <v>5</v>
      </c>
      <c r="I2013" s="106" t="s">
        <v>3639</v>
      </c>
      <c r="J2013" s="106">
        <v>31510</v>
      </c>
      <c r="K2013" s="106">
        <v>28462</v>
      </c>
      <c r="L2013" s="106">
        <v>24430</v>
      </c>
      <c r="M2013" s="106">
        <v>0.23</v>
      </c>
      <c r="N2013" s="106">
        <v>0.56000000000000005</v>
      </c>
      <c r="O2013" s="106">
        <v>0.97</v>
      </c>
      <c r="P2013" s="106">
        <v>19323</v>
      </c>
      <c r="Q2013" s="106">
        <v>7200.6943734015349</v>
      </c>
      <c r="R2013" s="106">
        <v>0.31371336564782704</v>
      </c>
      <c r="S2013" s="106">
        <v>20641.431265984655</v>
      </c>
      <c r="T2013" s="106">
        <v>20460.521099744245</v>
      </c>
      <c r="U2013" s="106">
        <v>18515.385230179028</v>
      </c>
      <c r="V2013" s="106">
        <v>0.85077387342471544</v>
      </c>
      <c r="W2013" s="106">
        <v>94190.47442455242</v>
      </c>
      <c r="X2013" s="110">
        <v>0.76725379219634349</v>
      </c>
      <c r="Y2013" s="106">
        <v>293.31704410011918</v>
      </c>
      <c r="Z2013" s="106">
        <v>11.184743742550655</v>
      </c>
      <c r="AA2013" s="106">
        <v>53428.159594095938</v>
      </c>
      <c r="AB2013" s="106">
        <v>706.0272945593739</v>
      </c>
      <c r="AC2013" s="106">
        <v>1.8716721811067298</v>
      </c>
      <c r="AD2013" s="106">
        <v>40.417598806860546</v>
      </c>
      <c r="AE2013" s="106">
        <v>75.674354243542439</v>
      </c>
      <c r="AF2013" s="106">
        <v>2.1230343959582641E-2</v>
      </c>
      <c r="AG2013" s="106">
        <v>30480</v>
      </c>
      <c r="AH2013" s="106">
        <v>19916.148337595907</v>
      </c>
      <c r="AI2013" s="106">
        <v>21563.412723785168</v>
      </c>
      <c r="AJ2013" s="106">
        <v>21387.449808184145</v>
      </c>
      <c r="AK2013" s="104">
        <v>18515.385230179028</v>
      </c>
      <c r="AL2013" s="118"/>
      <c r="AM2013" s="118">
        <v>2181</v>
      </c>
      <c r="AN2013" s="118">
        <v>82031</v>
      </c>
      <c r="AO2013" s="118">
        <v>566</v>
      </c>
      <c r="AP2013" s="118">
        <f t="shared" si="31"/>
        <v>1030</v>
      </c>
    </row>
    <row r="2014" spans="1:42" ht="12.75">
      <c r="A2014" s="106">
        <v>2018</v>
      </c>
      <c r="B2014" s="106">
        <v>-128328</v>
      </c>
      <c r="C2014" s="106">
        <v>0</v>
      </c>
      <c r="D2014" s="106">
        <v>128328</v>
      </c>
      <c r="E2014" s="106" t="s">
        <v>3121</v>
      </c>
      <c r="F2014" s="106" t="s">
        <v>4210</v>
      </c>
      <c r="G2014" s="106" t="s">
        <v>66</v>
      </c>
      <c r="H2014" s="106">
        <v>3</v>
      </c>
      <c r="I2014" s="104" t="s">
        <v>26</v>
      </c>
      <c r="J2014" s="106"/>
      <c r="K2014" s="106"/>
      <c r="L2014" s="106"/>
      <c r="M2014" s="106"/>
      <c r="N2014" s="106"/>
      <c r="O2014" s="106"/>
      <c r="P2014" s="106"/>
      <c r="Q2014" s="106"/>
      <c r="R2014" s="106"/>
      <c r="S2014" s="106">
        <v>201209.11884996964</v>
      </c>
      <c r="T2014" s="106">
        <v>166530.3071471958</v>
      </c>
      <c r="U2014" s="106">
        <v>66719.143102990085</v>
      </c>
      <c r="V2014" s="106"/>
      <c r="W2014" s="106">
        <v>1111426.6870669746</v>
      </c>
      <c r="X2014" s="110">
        <v>0.39007233381496692</v>
      </c>
      <c r="Y2014" s="106">
        <v>762.50428816466547</v>
      </c>
      <c r="Z2014" s="106">
        <v>25.415094339622641</v>
      </c>
      <c r="AA2014" s="106">
        <v>332854.39170269499</v>
      </c>
      <c r="AB2014" s="106">
        <v>2223.8213509628022</v>
      </c>
      <c r="AC2014" s="106">
        <v>0.30043166769846874</v>
      </c>
      <c r="AD2014" s="106">
        <v>23.152478952291862</v>
      </c>
      <c r="AE2014" s="106">
        <v>149.67676767676767</v>
      </c>
      <c r="AF2014" s="106"/>
      <c r="AG2014" s="106"/>
      <c r="AH2014" s="106">
        <v>198341.73658635351</v>
      </c>
      <c r="AI2014" s="106">
        <v>201209.11884996964</v>
      </c>
      <c r="AJ2014" s="106">
        <v>201209.11884996964</v>
      </c>
      <c r="AK2014" s="104">
        <v>93469.429236687589</v>
      </c>
      <c r="AL2014" s="118"/>
      <c r="AM2014" s="118">
        <v>4276</v>
      </c>
      <c r="AN2014" s="118">
        <v>148180</v>
      </c>
      <c r="AO2014" s="118">
        <v>990</v>
      </c>
      <c r="AP2014" s="118">
        <f t="shared" si="31"/>
        <v>0</v>
      </c>
    </row>
    <row r="2015" spans="1:42" ht="12.75">
      <c r="A2015" s="106">
        <v>2018</v>
      </c>
      <c r="B2015" s="106">
        <v>-130624</v>
      </c>
      <c r="C2015" s="106">
        <v>0</v>
      </c>
      <c r="D2015" s="106">
        <v>130624</v>
      </c>
      <c r="E2015" s="106" t="s">
        <v>3122</v>
      </c>
      <c r="F2015" s="106" t="s">
        <v>813</v>
      </c>
      <c r="G2015" s="106" t="s">
        <v>99</v>
      </c>
      <c r="H2015" s="106">
        <v>3</v>
      </c>
      <c r="I2015" s="104" t="s">
        <v>26</v>
      </c>
      <c r="J2015" s="106"/>
      <c r="K2015" s="106"/>
      <c r="L2015" s="106"/>
      <c r="M2015" s="106"/>
      <c r="N2015" s="106"/>
      <c r="O2015" s="106"/>
      <c r="P2015" s="106"/>
      <c r="Q2015" s="106">
        <v>6360.2651370299554</v>
      </c>
      <c r="R2015" s="106">
        <v>0.21421235810244274</v>
      </c>
      <c r="S2015" s="106">
        <v>102402.76800509878</v>
      </c>
      <c r="T2015" s="106">
        <v>124377.37922243467</v>
      </c>
      <c r="U2015" s="106">
        <v>101173.66379057434</v>
      </c>
      <c r="V2015" s="106">
        <v>0.23060483843800819</v>
      </c>
      <c r="W2015" s="106">
        <v>208257.24391805381</v>
      </c>
      <c r="X2015" s="110">
        <v>0.55564261478773858</v>
      </c>
      <c r="Y2015" s="106">
        <v>312.55088495575222</v>
      </c>
      <c r="Z2015" s="106">
        <v>10.413716814159292</v>
      </c>
      <c r="AA2015" s="106">
        <v>755911.80232100538</v>
      </c>
      <c r="AB2015" s="106">
        <v>3370.9515297490207</v>
      </c>
      <c r="AC2015" s="106">
        <v>0.13229056576832493</v>
      </c>
      <c r="AD2015" s="106">
        <v>20.114942528735632</v>
      </c>
      <c r="AE2015" s="106">
        <v>224.24285714285713</v>
      </c>
      <c r="AF2015" s="106">
        <v>-0.92318740998787263</v>
      </c>
      <c r="AG2015" s="106"/>
      <c r="AH2015" s="106">
        <v>98644.96430847673</v>
      </c>
      <c r="AI2015" s="106">
        <v>99016.074569789678</v>
      </c>
      <c r="AJ2015" s="106">
        <v>102446.00063734862</v>
      </c>
      <c r="AK2015" s="104">
        <v>105737.57361376673</v>
      </c>
      <c r="AL2015" s="118">
        <v>129185669</v>
      </c>
      <c r="AM2015" s="118">
        <v>1044</v>
      </c>
      <c r="AN2015" s="118">
        <v>47091</v>
      </c>
      <c r="AO2015" s="118">
        <v>210</v>
      </c>
      <c r="AP2015" s="118">
        <f t="shared" si="31"/>
        <v>0</v>
      </c>
    </row>
    <row r="2016" spans="1:42" ht="12.75">
      <c r="A2016" s="106">
        <v>2018</v>
      </c>
      <c r="B2016" s="106">
        <v>-197027</v>
      </c>
      <c r="C2016" s="106">
        <v>0</v>
      </c>
      <c r="D2016" s="106">
        <v>197027</v>
      </c>
      <c r="E2016" s="106" t="s">
        <v>3123</v>
      </c>
      <c r="F2016" s="106" t="s">
        <v>3124</v>
      </c>
      <c r="G2016" s="106" t="s">
        <v>69</v>
      </c>
      <c r="H2016" s="106">
        <v>3</v>
      </c>
      <c r="I2016" s="104" t="s">
        <v>26</v>
      </c>
      <c r="J2016" s="106">
        <v>1020</v>
      </c>
      <c r="K2016" s="106">
        <v>3119</v>
      </c>
      <c r="L2016" s="107">
        <v>3520</v>
      </c>
      <c r="M2016" s="106">
        <v>0.16</v>
      </c>
      <c r="N2016" s="106">
        <v>0.14000000000000001</v>
      </c>
      <c r="O2016" s="106">
        <v>0</v>
      </c>
      <c r="P2016" s="106"/>
      <c r="Q2016" s="106"/>
      <c r="R2016" s="106"/>
      <c r="S2016" s="106">
        <v>52392.506973500698</v>
      </c>
      <c r="T2016" s="106">
        <v>48899.561366806134</v>
      </c>
      <c r="U2016" s="106">
        <v>47987.820781032075</v>
      </c>
      <c r="V2016" s="106"/>
      <c r="W2016" s="106">
        <v>172739.41574585636</v>
      </c>
      <c r="X2016" s="110">
        <v>0.59450381108083794</v>
      </c>
      <c r="Y2016" s="106">
        <v>368.52</v>
      </c>
      <c r="Z2016" s="106">
        <v>12.291428571428572</v>
      </c>
      <c r="AA2016" s="106">
        <v>340666.01485148515</v>
      </c>
      <c r="AB2016" s="106">
        <v>1600.5613573987068</v>
      </c>
      <c r="AC2016" s="106">
        <v>0.29354263601432456</v>
      </c>
      <c r="AD2016" s="106">
        <v>20.997920997921</v>
      </c>
      <c r="AE2016" s="106">
        <v>212.84158415841586</v>
      </c>
      <c r="AF2016" s="106"/>
      <c r="AG2016" s="106">
        <v>0</v>
      </c>
      <c r="AH2016" s="106">
        <v>48701.129707112974</v>
      </c>
      <c r="AI2016" s="106">
        <v>52089.850767085074</v>
      </c>
      <c r="AJ2016" s="106">
        <v>52392.506973500698</v>
      </c>
      <c r="AK2016" s="104">
        <v>48290.476987447699</v>
      </c>
      <c r="AL2016" s="118"/>
      <c r="AM2016" s="118">
        <v>954</v>
      </c>
      <c r="AN2016" s="118">
        <v>42994</v>
      </c>
      <c r="AO2016" s="118">
        <v>198</v>
      </c>
      <c r="AP2016" s="118">
        <f t="shared" si="31"/>
        <v>1020</v>
      </c>
    </row>
    <row r="2017" spans="1:42" ht="12.75">
      <c r="A2017" s="106">
        <v>2018</v>
      </c>
      <c r="B2017" s="106">
        <v>-197036</v>
      </c>
      <c r="C2017" s="106">
        <v>0</v>
      </c>
      <c r="D2017" s="106">
        <v>197036</v>
      </c>
      <c r="E2017" s="106" t="s">
        <v>3125</v>
      </c>
      <c r="F2017" s="106" t="s">
        <v>3126</v>
      </c>
      <c r="G2017" s="106" t="s">
        <v>69</v>
      </c>
      <c r="H2017" s="106">
        <v>3</v>
      </c>
      <c r="I2017" s="104" t="s">
        <v>26</v>
      </c>
      <c r="J2017" s="106"/>
      <c r="K2017" s="106"/>
      <c r="L2017" s="106"/>
      <c r="M2017" s="106"/>
      <c r="N2017" s="106"/>
      <c r="O2017" s="106"/>
      <c r="P2017" s="106"/>
      <c r="Q2017" s="106"/>
      <c r="R2017" s="106"/>
      <c r="S2017" s="106">
        <v>70128.9094488189</v>
      </c>
      <c r="T2017" s="106">
        <v>71584.195955619187</v>
      </c>
      <c r="U2017" s="106">
        <v>63486.532744405566</v>
      </c>
      <c r="V2017" s="106"/>
      <c r="W2017" s="106">
        <v>113607.97348551362</v>
      </c>
      <c r="X2017" s="110">
        <v>0.53914767665740393</v>
      </c>
      <c r="Y2017" s="106">
        <v>725.70995670995671</v>
      </c>
      <c r="Z2017" s="106">
        <v>24.19047619047619</v>
      </c>
      <c r="AA2017" s="106">
        <v>349519.94578890473</v>
      </c>
      <c r="AB2017" s="106">
        <v>2116.2303818069677</v>
      </c>
      <c r="AC2017" s="106">
        <v>0.28610670493865253</v>
      </c>
      <c r="AD2017" s="106">
        <v>22.600757069694946</v>
      </c>
      <c r="AE2017" s="106">
        <v>165.1615763546798</v>
      </c>
      <c r="AF2017" s="106"/>
      <c r="AG2017" s="106"/>
      <c r="AH2017" s="106">
        <v>68327.683428775956</v>
      </c>
      <c r="AI2017" s="106">
        <v>70128.9094488189</v>
      </c>
      <c r="AJ2017" s="106">
        <v>70128.9094488189</v>
      </c>
      <c r="AK2017" s="104">
        <v>66562.203829634935</v>
      </c>
      <c r="AL2017" s="118"/>
      <c r="AM2017" s="118">
        <v>4491</v>
      </c>
      <c r="AN2017" s="118">
        <v>167639</v>
      </c>
      <c r="AO2017" s="118">
        <v>1015</v>
      </c>
      <c r="AP2017" s="118">
        <f t="shared" si="31"/>
        <v>0</v>
      </c>
    </row>
    <row r="2018" spans="1:42" ht="12.75">
      <c r="A2018" s="106">
        <v>2018</v>
      </c>
      <c r="B2018" s="106">
        <v>-164155</v>
      </c>
      <c r="C2018" s="106">
        <v>0</v>
      </c>
      <c r="D2018" s="106">
        <v>164155</v>
      </c>
      <c r="E2018" s="106" t="s">
        <v>3127</v>
      </c>
      <c r="F2018" s="106" t="s">
        <v>2919</v>
      </c>
      <c r="G2018" s="106" t="s">
        <v>124</v>
      </c>
      <c r="H2018" s="106">
        <v>3</v>
      </c>
      <c r="I2018" s="104" t="s">
        <v>26</v>
      </c>
      <c r="J2018" s="106"/>
      <c r="K2018" s="106"/>
      <c r="L2018" s="106"/>
      <c r="M2018" s="106"/>
      <c r="N2018" s="106"/>
      <c r="O2018" s="106"/>
      <c r="P2018" s="106"/>
      <c r="Q2018" s="106"/>
      <c r="R2018" s="106"/>
      <c r="S2018" s="106">
        <v>106119.03784023014</v>
      </c>
      <c r="T2018" s="106">
        <v>106010.36556760345</v>
      </c>
      <c r="U2018" s="106">
        <v>93916.80586416609</v>
      </c>
      <c r="V2018" s="106"/>
      <c r="W2018" s="106">
        <v>459141.31357466069</v>
      </c>
      <c r="X2018" s="110">
        <v>0.70603579200489108</v>
      </c>
      <c r="Y2018" s="106">
        <v>462.99410029498523</v>
      </c>
      <c r="Z2018" s="106">
        <v>13.330383480825958</v>
      </c>
      <c r="AA2018" s="106">
        <v>399632.81139375386</v>
      </c>
      <c r="AB2018" s="106">
        <v>2704.0237373780164</v>
      </c>
      <c r="AC2018" s="106">
        <v>0.25022970374039455</v>
      </c>
      <c r="AD2018" s="106">
        <v>23.626251390433815</v>
      </c>
      <c r="AE2018" s="106">
        <v>147.7919020715631</v>
      </c>
      <c r="AF2018" s="106"/>
      <c r="AG2018" s="106"/>
      <c r="AH2018" s="106">
        <v>103015.38127904404</v>
      </c>
      <c r="AI2018" s="106">
        <v>106119.03784023014</v>
      </c>
      <c r="AJ2018" s="106">
        <v>106216.02345651692</v>
      </c>
      <c r="AK2018" s="104">
        <v>97729.448329276391</v>
      </c>
      <c r="AL2018" s="118"/>
      <c r="AM2018" s="118">
        <v>4495</v>
      </c>
      <c r="AN2018" s="118">
        <v>156955</v>
      </c>
      <c r="AO2018" s="118">
        <v>1062</v>
      </c>
      <c r="AP2018" s="118">
        <f t="shared" si="31"/>
        <v>0</v>
      </c>
    </row>
    <row r="2019" spans="1:42" ht="12.75">
      <c r="A2019" s="106">
        <v>2018</v>
      </c>
      <c r="B2019" s="106">
        <v>-161572</v>
      </c>
      <c r="C2019" s="106">
        <v>0</v>
      </c>
      <c r="D2019" s="106">
        <v>161572</v>
      </c>
      <c r="E2019" s="106" t="s">
        <v>3128</v>
      </c>
      <c r="F2019" s="106" t="s">
        <v>3129</v>
      </c>
      <c r="G2019" s="106" t="s">
        <v>301</v>
      </c>
      <c r="H2019" s="106">
        <v>7</v>
      </c>
      <c r="I2019" s="106" t="s">
        <v>3641</v>
      </c>
      <c r="J2019" s="106">
        <v>28000</v>
      </c>
      <c r="K2019" s="106">
        <v>26614</v>
      </c>
      <c r="L2019" s="106">
        <v>22571</v>
      </c>
      <c r="M2019" s="106">
        <v>0.39</v>
      </c>
      <c r="N2019" s="106">
        <v>0.87</v>
      </c>
      <c r="O2019" s="106">
        <v>1</v>
      </c>
      <c r="P2019" s="106">
        <v>11571</v>
      </c>
      <c r="Q2019" s="106">
        <v>10119.436813186812</v>
      </c>
      <c r="R2019" s="106">
        <v>0.39759498466709625</v>
      </c>
      <c r="S2019" s="106">
        <v>30341.590659340658</v>
      </c>
      <c r="T2019" s="106">
        <v>26354.398351648353</v>
      </c>
      <c r="U2019" s="106">
        <v>21813.35576923077</v>
      </c>
      <c r="V2019" s="106">
        <v>0.70288057592501019</v>
      </c>
      <c r="W2019" s="106">
        <v>66767.4375</v>
      </c>
      <c r="X2019" s="110">
        <v>0.57536129726245211</v>
      </c>
      <c r="Y2019" s="106">
        <v>438.70945945945942</v>
      </c>
      <c r="Z2019" s="106">
        <v>14.756756756756756</v>
      </c>
      <c r="AA2019" s="106">
        <v>115073.35507246378</v>
      </c>
      <c r="AB2019" s="106">
        <v>733.73021300189441</v>
      </c>
      <c r="AC2019" s="106">
        <v>0.86901090123798164</v>
      </c>
      <c r="AD2019" s="106">
        <v>19.246861924686193</v>
      </c>
      <c r="AE2019" s="106">
        <v>156.83333333333334</v>
      </c>
      <c r="AF2019" s="106">
        <v>0.12765736995481045</v>
      </c>
      <c r="AG2019" s="106">
        <v>27150</v>
      </c>
      <c r="AH2019" s="106">
        <v>25021.844780219781</v>
      </c>
      <c r="AI2019" s="106">
        <v>30237.028846153848</v>
      </c>
      <c r="AJ2019" s="106">
        <v>31736.241758241758</v>
      </c>
      <c r="AK2019" s="104">
        <v>21976.406593406595</v>
      </c>
      <c r="AL2019" s="118"/>
      <c r="AM2019" s="118">
        <v>704</v>
      </c>
      <c r="AN2019" s="118">
        <v>21643</v>
      </c>
      <c r="AO2019" s="118">
        <v>128</v>
      </c>
      <c r="AP2019" s="118">
        <f t="shared" si="31"/>
        <v>850</v>
      </c>
    </row>
    <row r="2020" spans="1:42" ht="12.75">
      <c r="A2020" s="106">
        <v>2018</v>
      </c>
      <c r="B2020" s="106">
        <v>-196088</v>
      </c>
      <c r="C2020" s="106">
        <v>0</v>
      </c>
      <c r="D2020" s="106">
        <v>196088</v>
      </c>
      <c r="E2020" s="106" t="s">
        <v>3130</v>
      </c>
      <c r="F2020" s="106" t="s">
        <v>585</v>
      </c>
      <c r="G2020" s="106" t="s">
        <v>69</v>
      </c>
      <c r="H2020" s="106">
        <v>1</v>
      </c>
      <c r="I2020" s="106" t="s">
        <v>23</v>
      </c>
      <c r="J2020" s="106">
        <v>9828</v>
      </c>
      <c r="K2020" s="106">
        <v>15895</v>
      </c>
      <c r="L2020" s="106">
        <v>11517</v>
      </c>
      <c r="M2020" s="106">
        <v>0.36</v>
      </c>
      <c r="N2020" s="106">
        <v>0.54</v>
      </c>
      <c r="O2020" s="106">
        <v>0.65</v>
      </c>
      <c r="P2020" s="106">
        <v>3340</v>
      </c>
      <c r="Q2020" s="106">
        <v>2036.3912955669998</v>
      </c>
      <c r="R2020" s="106">
        <v>0.16710148880986103</v>
      </c>
      <c r="S2020" s="106">
        <v>37637.242249823285</v>
      </c>
      <c r="T2020" s="106">
        <v>38406.319027903999</v>
      </c>
      <c r="U2020" s="106">
        <v>24597.923571101892</v>
      </c>
      <c r="V2020" s="106">
        <v>0.41264306508056126</v>
      </c>
      <c r="W2020" s="106">
        <v>150907.53045320939</v>
      </c>
      <c r="X2020" s="110">
        <v>0.6449314835876081</v>
      </c>
      <c r="Y2020" s="106">
        <v>413.90891641947303</v>
      </c>
      <c r="Z2020" s="106">
        <v>15.551736171697785</v>
      </c>
      <c r="AA2020" s="106">
        <v>87122.044751295427</v>
      </c>
      <c r="AB2020" s="106">
        <v>924.21400596666524</v>
      </c>
      <c r="AC2020" s="106">
        <v>1.1478151171206652</v>
      </c>
      <c r="AD2020" s="106">
        <v>30.433205137508164</v>
      </c>
      <c r="AE2020" s="106">
        <v>94.266094420600865</v>
      </c>
      <c r="AF2020" s="106">
        <v>5.6887144826733009E-2</v>
      </c>
      <c r="AG2020" s="106">
        <v>6670</v>
      </c>
      <c r="AH2020" s="106">
        <v>37345.166717156419</v>
      </c>
      <c r="AI2020" s="106">
        <v>37667.142280117136</v>
      </c>
      <c r="AJ2020" s="106">
        <v>37802.840317748829</v>
      </c>
      <c r="AK2020" s="104">
        <v>33767.089232219194</v>
      </c>
      <c r="AL2020" s="118">
        <v>455340234</v>
      </c>
      <c r="AM2020" s="118">
        <v>21020</v>
      </c>
      <c r="AN2020" s="118">
        <v>790704</v>
      </c>
      <c r="AO2020" s="118">
        <v>4766</v>
      </c>
      <c r="AP2020" s="118">
        <f t="shared" si="31"/>
        <v>3158</v>
      </c>
    </row>
    <row r="2021" spans="1:42" ht="12.75">
      <c r="A2021" s="106">
        <v>2018</v>
      </c>
      <c r="B2021" s="106">
        <v>2196</v>
      </c>
      <c r="C2021" s="106">
        <v>1</v>
      </c>
      <c r="D2021" s="106">
        <v>200800</v>
      </c>
      <c r="E2021" s="106" t="s">
        <v>3882</v>
      </c>
      <c r="F2021" s="106" t="s">
        <v>3131</v>
      </c>
      <c r="G2021" s="106" t="s">
        <v>82</v>
      </c>
      <c r="H2021" s="106">
        <v>1</v>
      </c>
      <c r="I2021" s="106" t="s">
        <v>23</v>
      </c>
      <c r="J2021" s="106">
        <v>10270</v>
      </c>
      <c r="K2021" s="106">
        <v>16269</v>
      </c>
      <c r="L2021" s="106">
        <v>14734</v>
      </c>
      <c r="M2021" s="106">
        <v>0.43</v>
      </c>
      <c r="N2021" s="106">
        <v>0.63</v>
      </c>
      <c r="O2021" s="106">
        <v>0.67</v>
      </c>
      <c r="P2021" s="106">
        <v>6173</v>
      </c>
      <c r="Q2021" s="106">
        <v>2645.137920034028</v>
      </c>
      <c r="R2021" s="106">
        <v>0.22629690682166731</v>
      </c>
      <c r="S2021" s="106">
        <v>21558.617450021269</v>
      </c>
      <c r="T2021" s="106">
        <v>16160.568268821778</v>
      </c>
      <c r="U2021" s="106">
        <v>14828.246362088812</v>
      </c>
      <c r="V2021" s="106">
        <v>0.6098938357092959</v>
      </c>
      <c r="W2021" s="106">
        <v>54360.261446298675</v>
      </c>
      <c r="X2021" s="110">
        <v>0.41796604805727799</v>
      </c>
      <c r="Y2021" s="106">
        <v>544.3404689092763</v>
      </c>
      <c r="Z2021" s="106">
        <v>19.172273190621816</v>
      </c>
      <c r="AA2021" s="106">
        <v>56125.91217109406</v>
      </c>
      <c r="AB2021" s="106">
        <v>522.26723242065771</v>
      </c>
      <c r="AC2021" s="106">
        <v>1.781708236565676</v>
      </c>
      <c r="AD2021" s="106">
        <v>26.895805142083894</v>
      </c>
      <c r="AE2021" s="106">
        <v>107.46588850875428</v>
      </c>
      <c r="AF2021" s="106">
        <v>0.90728654837959921</v>
      </c>
      <c r="AG2021" s="106">
        <v>8618</v>
      </c>
      <c r="AH2021" s="106">
        <v>18924.305295618884</v>
      </c>
      <c r="AI2021" s="106">
        <v>20112.126222883879</v>
      </c>
      <c r="AJ2021" s="106">
        <v>21981.63350701829</v>
      </c>
      <c r="AK2021" s="104">
        <v>18920.151531263291</v>
      </c>
      <c r="AL2021" s="118">
        <v>106359522</v>
      </c>
      <c r="AM2021" s="118">
        <v>18668</v>
      </c>
      <c r="AN2021" s="118">
        <v>533998</v>
      </c>
      <c r="AO2021" s="118">
        <v>3440</v>
      </c>
      <c r="AP2021" s="118">
        <f t="shared" si="31"/>
        <v>1652</v>
      </c>
    </row>
    <row r="2022" spans="1:42" ht="12.75">
      <c r="A2022" s="106">
        <v>2018</v>
      </c>
      <c r="B2022" s="106">
        <v>-100663</v>
      </c>
      <c r="C2022" s="106">
        <v>0</v>
      </c>
      <c r="D2022" s="106">
        <v>100663</v>
      </c>
      <c r="E2022" s="106" t="s">
        <v>3132</v>
      </c>
      <c r="F2022" s="106" t="s">
        <v>377</v>
      </c>
      <c r="G2022" s="106" t="s">
        <v>85</v>
      </c>
      <c r="H2022" s="106">
        <v>1</v>
      </c>
      <c r="I2022" s="106" t="s">
        <v>23</v>
      </c>
      <c r="J2022" s="106">
        <v>8328</v>
      </c>
      <c r="K2022" s="106">
        <v>16636</v>
      </c>
      <c r="L2022" s="106">
        <v>14550</v>
      </c>
      <c r="M2022" s="106">
        <v>0.38</v>
      </c>
      <c r="N2022" s="106">
        <v>0.55000000000000004</v>
      </c>
      <c r="O2022" s="106">
        <v>0.77</v>
      </c>
      <c r="P2022" s="106">
        <v>7879</v>
      </c>
      <c r="Q2022" s="106">
        <v>2176.3491222603097</v>
      </c>
      <c r="R2022" s="106">
        <v>0.13827579769421949</v>
      </c>
      <c r="S2022" s="106">
        <v>160839.43326062118</v>
      </c>
      <c r="T2022" s="106">
        <v>157308.51667186039</v>
      </c>
      <c r="U2022" s="106">
        <v>26263.150011587033</v>
      </c>
      <c r="V2022" s="106">
        <v>0.51642096921446257</v>
      </c>
      <c r="W2022" s="106">
        <v>184925.0733804114</v>
      </c>
      <c r="X2022" s="110">
        <v>0.53028468813535712</v>
      </c>
      <c r="Y2022" s="106">
        <v>209.17691776088461</v>
      </c>
      <c r="Z2022" s="106">
        <v>7.9836903939184527</v>
      </c>
      <c r="AA2022" s="106">
        <v>96779.079487674026</v>
      </c>
      <c r="AB2022" s="106">
        <v>1002.3900376103333</v>
      </c>
      <c r="AC2022" s="106">
        <v>1.0332811649932692</v>
      </c>
      <c r="AD2022" s="106">
        <v>31.722421225183655</v>
      </c>
      <c r="AE2022" s="106">
        <v>96.54832535885167</v>
      </c>
      <c r="AF2022" s="106">
        <v>0.10187946889841369</v>
      </c>
      <c r="AG2022" s="106">
        <v>8328</v>
      </c>
      <c r="AH2022" s="106">
        <v>158382.41326477614</v>
      </c>
      <c r="AI2022" s="106">
        <v>160148.77261867665</v>
      </c>
      <c r="AJ2022" s="106">
        <v>165502.13955541706</v>
      </c>
      <c r="AK2022" s="104">
        <v>64077.021657837329</v>
      </c>
      <c r="AL2022" s="119">
        <v>273351124</v>
      </c>
      <c r="AM2022" s="118">
        <v>13134</v>
      </c>
      <c r="AN2022" s="118">
        <v>504465</v>
      </c>
      <c r="AO2022" s="118">
        <v>2463</v>
      </c>
      <c r="AP2022" s="118">
        <f t="shared" si="31"/>
        <v>0</v>
      </c>
    </row>
    <row r="2023" spans="1:42" ht="12.75">
      <c r="A2023" s="106">
        <v>2018</v>
      </c>
      <c r="B2023" s="106">
        <v>-100706</v>
      </c>
      <c r="C2023" s="106">
        <v>0</v>
      </c>
      <c r="D2023" s="106">
        <v>100706</v>
      </c>
      <c r="E2023" s="106" t="s">
        <v>3133</v>
      </c>
      <c r="F2023" s="106" t="s">
        <v>1600</v>
      </c>
      <c r="G2023" s="106" t="s">
        <v>85</v>
      </c>
      <c r="H2023" s="106">
        <v>1</v>
      </c>
      <c r="I2023" s="106" t="s">
        <v>23</v>
      </c>
      <c r="J2023" s="106">
        <v>10280</v>
      </c>
      <c r="K2023" s="106">
        <v>15437</v>
      </c>
      <c r="L2023" s="106">
        <v>17561</v>
      </c>
      <c r="M2023" s="106">
        <v>0.27</v>
      </c>
      <c r="N2023" s="106">
        <v>0.46</v>
      </c>
      <c r="O2023" s="106">
        <v>0.82</v>
      </c>
      <c r="P2023" s="106">
        <v>10628</v>
      </c>
      <c r="Q2023" s="106">
        <v>4624.611161000641</v>
      </c>
      <c r="R2023" s="106">
        <v>0.33753583764741529</v>
      </c>
      <c r="S2023" s="106">
        <v>29233.856446440026</v>
      </c>
      <c r="T2023" s="106">
        <v>30740.065554842848</v>
      </c>
      <c r="U2023" s="106">
        <v>14487.899771457922</v>
      </c>
      <c r="V2023" s="106">
        <v>0.62648732465369716</v>
      </c>
      <c r="W2023" s="106">
        <v>112111.35971731448</v>
      </c>
      <c r="X2023" s="110">
        <v>0.66204140375272957</v>
      </c>
      <c r="Y2023" s="106">
        <v>538.583400483481</v>
      </c>
      <c r="Z2023" s="106">
        <v>18.843674456083804</v>
      </c>
      <c r="AA2023" s="106">
        <v>59096.378188652277</v>
      </c>
      <c r="AB2023" s="106">
        <v>506.89506323561005</v>
      </c>
      <c r="AC2023" s="106">
        <v>1.6921510770215369</v>
      </c>
      <c r="AD2023" s="106">
        <v>25.201107740999607</v>
      </c>
      <c r="AE2023" s="106">
        <v>116.58503401360544</v>
      </c>
      <c r="AF2023" s="106">
        <v>-3.0294032227461774E-2</v>
      </c>
      <c r="AG2023" s="106">
        <v>9356</v>
      </c>
      <c r="AH2023" s="106">
        <v>28437.61808851828</v>
      </c>
      <c r="AI2023" s="106">
        <v>28831.187427838358</v>
      </c>
      <c r="AJ2023" s="106">
        <v>29855.957023733161</v>
      </c>
      <c r="AK2023" s="104">
        <v>28546.982296343809</v>
      </c>
      <c r="AL2023" s="119">
        <v>48352459</v>
      </c>
      <c r="AM2023" s="118">
        <v>7090</v>
      </c>
      <c r="AN2023" s="118">
        <v>222794</v>
      </c>
      <c r="AO2023" s="118">
        <v>1230</v>
      </c>
      <c r="AP2023" s="118">
        <f t="shared" si="31"/>
        <v>924</v>
      </c>
    </row>
    <row r="2024" spans="1:42" ht="12.75">
      <c r="A2024" s="106">
        <v>2018</v>
      </c>
      <c r="B2024" s="106">
        <v>-102553</v>
      </c>
      <c r="C2024" s="106">
        <v>0</v>
      </c>
      <c r="D2024" s="106">
        <v>102553</v>
      </c>
      <c r="E2024" s="106" t="s">
        <v>3134</v>
      </c>
      <c r="F2024" s="106" t="s">
        <v>92</v>
      </c>
      <c r="G2024" s="106" t="s">
        <v>93</v>
      </c>
      <c r="H2024" s="106">
        <v>2</v>
      </c>
      <c r="I2024" s="106" t="s">
        <v>25</v>
      </c>
      <c r="J2024" s="106">
        <v>6870</v>
      </c>
      <c r="K2024" s="106">
        <v>13288</v>
      </c>
      <c r="L2024" s="106">
        <v>11410</v>
      </c>
      <c r="M2024" s="106">
        <v>0.33</v>
      </c>
      <c r="N2024" s="106">
        <v>0.27</v>
      </c>
      <c r="O2024" s="106">
        <v>0.34</v>
      </c>
      <c r="P2024" s="106">
        <v>3650</v>
      </c>
      <c r="Q2024" s="106">
        <v>1148.8067195864869</v>
      </c>
      <c r="R2024" s="106">
        <v>0.13743435035886864</v>
      </c>
      <c r="S2024" s="106">
        <v>26472.050396898652</v>
      </c>
      <c r="T2024" s="106">
        <v>28467.866715894408</v>
      </c>
      <c r="U2024" s="106">
        <v>19476.791851624439</v>
      </c>
      <c r="V2024" s="106">
        <v>0.37019147158978455</v>
      </c>
      <c r="W2024" s="106">
        <v>91754.022847742643</v>
      </c>
      <c r="X2024" s="110">
        <v>0.5425338242676887</v>
      </c>
      <c r="Y2024" s="106">
        <v>375.77085781433607</v>
      </c>
      <c r="Z2024" s="106">
        <v>12.73090481786134</v>
      </c>
      <c r="AA2024" s="106">
        <v>86338.610032937475</v>
      </c>
      <c r="AB2024" s="106">
        <v>659.86272768081653</v>
      </c>
      <c r="AC2024" s="106">
        <v>1.1582303671769887</v>
      </c>
      <c r="AD2024" s="106">
        <v>23.065307663269159</v>
      </c>
      <c r="AE2024" s="106">
        <v>130.84328968903438</v>
      </c>
      <c r="AF2024" s="106">
        <v>-3.0208894884697624E-2</v>
      </c>
      <c r="AG2024" s="106">
        <v>5532</v>
      </c>
      <c r="AH2024" s="106">
        <v>25189.960771644823</v>
      </c>
      <c r="AI2024" s="106">
        <v>25189.960771644823</v>
      </c>
      <c r="AJ2024" s="106">
        <v>26480.380099686172</v>
      </c>
      <c r="AK2024" s="104">
        <v>25759.386560827024</v>
      </c>
      <c r="AL2024" s="118">
        <v>121691570</v>
      </c>
      <c r="AM2024" s="118">
        <v>14955</v>
      </c>
      <c r="AN2024" s="118">
        <v>319781</v>
      </c>
      <c r="AO2024" s="118">
        <v>1982</v>
      </c>
      <c r="AP2024" s="118">
        <f t="shared" si="31"/>
        <v>1338</v>
      </c>
    </row>
    <row r="2025" spans="1:42" ht="12.75">
      <c r="A2025" s="106">
        <v>2018</v>
      </c>
      <c r="B2025" s="106">
        <v>-102614</v>
      </c>
      <c r="C2025" s="106">
        <v>0</v>
      </c>
      <c r="D2025" s="106">
        <v>102614</v>
      </c>
      <c r="E2025" s="106" t="s">
        <v>3135</v>
      </c>
      <c r="F2025" s="106" t="s">
        <v>3136</v>
      </c>
      <c r="G2025" s="106" t="s">
        <v>93</v>
      </c>
      <c r="H2025" s="106">
        <v>1</v>
      </c>
      <c r="I2025" s="106" t="s">
        <v>23</v>
      </c>
      <c r="J2025" s="106">
        <v>7910</v>
      </c>
      <c r="K2025" s="106">
        <v>10458</v>
      </c>
      <c r="L2025" s="106">
        <v>9366</v>
      </c>
      <c r="M2025" s="106">
        <v>0.31</v>
      </c>
      <c r="N2025" s="106">
        <v>0.31</v>
      </c>
      <c r="O2025" s="106">
        <v>0.39</v>
      </c>
      <c r="P2025" s="106">
        <v>4459</v>
      </c>
      <c r="Q2025" s="106">
        <v>1394.6882721915986</v>
      </c>
      <c r="R2025" s="106">
        <v>0.14731024301631232</v>
      </c>
      <c r="S2025" s="106">
        <v>70497.784071469301</v>
      </c>
      <c r="T2025" s="106">
        <v>74552.435088386235</v>
      </c>
      <c r="U2025" s="106">
        <v>27526.5836347199</v>
      </c>
      <c r="V2025" s="106">
        <v>0.29328032927694531</v>
      </c>
      <c r="W2025" s="106">
        <v>97683.690292240513</v>
      </c>
      <c r="X2025" s="110">
        <v>0.49428735291995718</v>
      </c>
      <c r="Y2025" s="106">
        <v>139.56490166414522</v>
      </c>
      <c r="Z2025" s="106">
        <v>4.7754916792738271</v>
      </c>
      <c r="AA2025" s="106">
        <v>100428.12517493856</v>
      </c>
      <c r="AB2025" s="106">
        <v>941.87700158865073</v>
      </c>
      <c r="AC2025" s="106">
        <v>0.99573699923011805</v>
      </c>
      <c r="AD2025" s="106">
        <v>27.956572314850721</v>
      </c>
      <c r="AE2025" s="106">
        <v>106.625520110957</v>
      </c>
      <c r="AF2025" s="106">
        <v>2.8759990348152058E-2</v>
      </c>
      <c r="AG2025" s="106">
        <v>6467</v>
      </c>
      <c r="AH2025" s="106">
        <v>69450.709370842043</v>
      </c>
      <c r="AI2025" s="106">
        <v>69450.709370842043</v>
      </c>
      <c r="AJ2025" s="106">
        <v>70690.090477095611</v>
      </c>
      <c r="AK2025" s="104">
        <v>70110.551416080591</v>
      </c>
      <c r="AL2025" s="119">
        <v>160199903</v>
      </c>
      <c r="AM2025" s="118">
        <v>6639</v>
      </c>
      <c r="AN2025" s="118">
        <v>153754</v>
      </c>
      <c r="AO2025" s="118">
        <v>814</v>
      </c>
      <c r="AP2025" s="118">
        <f t="shared" si="31"/>
        <v>1443</v>
      </c>
    </row>
    <row r="2026" spans="1:42" ht="12.75">
      <c r="A2026" s="106">
        <v>2018</v>
      </c>
      <c r="B2026" s="106">
        <v>-102632</v>
      </c>
      <c r="C2026" s="106">
        <v>0</v>
      </c>
      <c r="D2026" s="106">
        <v>102632</v>
      </c>
      <c r="E2026" s="106" t="s">
        <v>3137</v>
      </c>
      <c r="F2026" s="106" t="s">
        <v>3138</v>
      </c>
      <c r="G2026" s="106" t="s">
        <v>93</v>
      </c>
      <c r="H2026" s="106">
        <v>2</v>
      </c>
      <c r="I2026" s="106" t="s">
        <v>25</v>
      </c>
      <c r="J2026" s="106">
        <v>7840</v>
      </c>
      <c r="K2026" s="106">
        <v>8927</v>
      </c>
      <c r="L2026" s="106">
        <v>8200</v>
      </c>
      <c r="M2026" s="106">
        <v>0.3</v>
      </c>
      <c r="N2026" s="106">
        <v>0.28999999999999998</v>
      </c>
      <c r="O2026" s="106">
        <v>0.45</v>
      </c>
      <c r="P2026" s="106">
        <v>3801</v>
      </c>
      <c r="Q2026" s="106">
        <v>812.24595924104005</v>
      </c>
      <c r="R2026" s="106">
        <v>9.2430490563913267E-2</v>
      </c>
      <c r="S2026" s="106">
        <v>31942.71047083626</v>
      </c>
      <c r="T2026" s="106">
        <v>34504.045678144765</v>
      </c>
      <c r="U2026" s="106">
        <v>28566.805863878355</v>
      </c>
      <c r="V2026" s="106">
        <v>0.27918399341774597</v>
      </c>
      <c r="W2026" s="106">
        <v>85950.114688128771</v>
      </c>
      <c r="X2026" s="110">
        <v>0.58001158754805593</v>
      </c>
      <c r="Y2026" s="106">
        <v>311.90176322418137</v>
      </c>
      <c r="Z2026" s="106">
        <v>10.753148614609572</v>
      </c>
      <c r="AA2026" s="106">
        <v>60854.138838770807</v>
      </c>
      <c r="AB2026" s="106">
        <v>984.87134450148756</v>
      </c>
      <c r="AC2026" s="106">
        <v>1.6432736032128181</v>
      </c>
      <c r="AD2026" s="106">
        <v>49.153789551140541</v>
      </c>
      <c r="AE2026" s="106">
        <v>61.788922155688624</v>
      </c>
      <c r="AF2026" s="106">
        <v>7.8837904622456004E-2</v>
      </c>
      <c r="AG2026" s="106">
        <v>6244</v>
      </c>
      <c r="AH2026" s="106">
        <v>31381.066760365426</v>
      </c>
      <c r="AI2026" s="106">
        <v>31381.066760365426</v>
      </c>
      <c r="AJ2026" s="106">
        <v>31960.588896697118</v>
      </c>
      <c r="AK2026" s="104">
        <v>31255.870695713282</v>
      </c>
      <c r="AL2026" s="119">
        <v>25154068</v>
      </c>
      <c r="AM2026" s="118">
        <v>2060</v>
      </c>
      <c r="AN2026" s="118">
        <v>41275</v>
      </c>
      <c r="AO2026" s="118">
        <v>231</v>
      </c>
      <c r="AP2026" s="118">
        <f t="shared" si="31"/>
        <v>1596</v>
      </c>
    </row>
    <row r="2027" spans="1:42" ht="12.75">
      <c r="A2027" s="106">
        <v>2018</v>
      </c>
      <c r="B2027" s="106">
        <v>3052</v>
      </c>
      <c r="C2027" s="106">
        <v>1</v>
      </c>
      <c r="D2027" s="106">
        <v>104179</v>
      </c>
      <c r="E2027" s="106" t="s">
        <v>3883</v>
      </c>
      <c r="F2027" s="106" t="s">
        <v>2465</v>
      </c>
      <c r="G2027" s="106" t="s">
        <v>147</v>
      </c>
      <c r="H2027" s="106">
        <v>1</v>
      </c>
      <c r="I2027" s="106" t="s">
        <v>23</v>
      </c>
      <c r="J2027" s="106">
        <v>11624</v>
      </c>
      <c r="K2027" s="106">
        <v>15594</v>
      </c>
      <c r="L2027" s="106">
        <v>10234</v>
      </c>
      <c r="M2027" s="106">
        <v>0.28000000000000003</v>
      </c>
      <c r="N2027" s="106">
        <v>0.36</v>
      </c>
      <c r="O2027" s="106">
        <v>0.84</v>
      </c>
      <c r="P2027" s="106">
        <v>10108</v>
      </c>
      <c r="Q2027" s="106">
        <v>5191.7065163086145</v>
      </c>
      <c r="R2027" s="106">
        <v>0.25153591328343106</v>
      </c>
      <c r="S2027" s="106">
        <v>48544.453167749147</v>
      </c>
      <c r="T2027" s="106">
        <v>49025.242071705565</v>
      </c>
      <c r="U2027" s="106">
        <v>21773.464284542959</v>
      </c>
      <c r="V2027" s="106">
        <v>0.70950190643706978</v>
      </c>
      <c r="W2027" s="106">
        <v>122661.81783305093</v>
      </c>
      <c r="X2027" s="110">
        <v>0.62062728868848016</v>
      </c>
      <c r="Y2027" s="106">
        <v>391.05726872246697</v>
      </c>
      <c r="Z2027" s="106">
        <v>14.243646221619789</v>
      </c>
      <c r="AA2027" s="106">
        <v>87654.82465972552</v>
      </c>
      <c r="AB2027" s="106">
        <v>793.06420591866117</v>
      </c>
      <c r="AC2027" s="106">
        <v>1.1408385150298141</v>
      </c>
      <c r="AD2027" s="106">
        <v>26.342878768764983</v>
      </c>
      <c r="AE2027" s="106">
        <v>110.52676946652619</v>
      </c>
      <c r="AF2027" s="106">
        <v>5.4950671736821929E-2</v>
      </c>
      <c r="AG2027" s="106">
        <v>10262</v>
      </c>
      <c r="AH2027" s="106">
        <v>45516.189660504839</v>
      </c>
      <c r="AI2027" s="106">
        <v>47460.994932552996</v>
      </c>
      <c r="AJ2027" s="106">
        <v>49279.851545214471</v>
      </c>
      <c r="AK2027" s="104">
        <v>42858.777627102514</v>
      </c>
      <c r="AL2027" s="118">
        <v>283552000</v>
      </c>
      <c r="AM2027" s="118">
        <v>34518</v>
      </c>
      <c r="AN2027" s="118">
        <v>1154010</v>
      </c>
      <c r="AO2027" s="118">
        <v>7257</v>
      </c>
      <c r="AP2027" s="118">
        <f t="shared" si="31"/>
        <v>1362</v>
      </c>
    </row>
    <row r="2028" spans="1:42" ht="12.75">
      <c r="A2028" s="106">
        <v>2018</v>
      </c>
      <c r="B2028" s="106">
        <v>-106397</v>
      </c>
      <c r="C2028" s="106">
        <v>0</v>
      </c>
      <c r="D2028" s="106">
        <v>106397</v>
      </c>
      <c r="E2028" s="106" t="s">
        <v>3139</v>
      </c>
      <c r="F2028" s="106" t="s">
        <v>1214</v>
      </c>
      <c r="G2028" s="106" t="s">
        <v>200</v>
      </c>
      <c r="H2028" s="106">
        <v>1</v>
      </c>
      <c r="I2028" s="106" t="s">
        <v>23</v>
      </c>
      <c r="J2028" s="106">
        <v>9062</v>
      </c>
      <c r="K2028" s="106">
        <v>15781</v>
      </c>
      <c r="L2028" s="106">
        <v>11447</v>
      </c>
      <c r="M2028" s="106">
        <v>0.19</v>
      </c>
      <c r="N2028" s="106">
        <v>0.42</v>
      </c>
      <c r="O2028" s="106">
        <v>0.44</v>
      </c>
      <c r="P2028" s="106">
        <v>5201</v>
      </c>
      <c r="Q2028" s="106">
        <v>2543.0186549239393</v>
      </c>
      <c r="R2028" s="106">
        <v>0.20006540265973272</v>
      </c>
      <c r="S2028" s="106">
        <v>37597.593795036031</v>
      </c>
      <c r="T2028" s="106">
        <v>36202.544915932747</v>
      </c>
      <c r="U2028" s="106">
        <v>14806.693786398251</v>
      </c>
      <c r="V2028" s="106">
        <v>0.68671089718354095</v>
      </c>
      <c r="W2028" s="106">
        <v>94936.74552086</v>
      </c>
      <c r="X2028" s="110">
        <v>0.54687107399962365</v>
      </c>
      <c r="Y2028" s="106">
        <v>534.62993298585252</v>
      </c>
      <c r="Z2028" s="106">
        <v>18.600148920327626</v>
      </c>
      <c r="AA2028" s="106">
        <v>59840.027630517441</v>
      </c>
      <c r="AB2028" s="106">
        <v>515.13522242680904</v>
      </c>
      <c r="AC2028" s="106">
        <v>1.6711222230285474</v>
      </c>
      <c r="AD2028" s="106">
        <v>25.530772408095832</v>
      </c>
      <c r="AE2028" s="106">
        <v>116.16372755217603</v>
      </c>
      <c r="AF2028" s="106">
        <v>0.1344059307196683</v>
      </c>
      <c r="AG2028" s="106">
        <v>7384</v>
      </c>
      <c r="AH2028" s="106">
        <v>34825.601361088869</v>
      </c>
      <c r="AI2028" s="106">
        <v>37900.626461168933</v>
      </c>
      <c r="AJ2028" s="106">
        <v>38004.450080064053</v>
      </c>
      <c r="AK2028" s="104">
        <v>28188.44323458767</v>
      </c>
      <c r="AL2028" s="118">
        <v>207202611</v>
      </c>
      <c r="AM2028" s="118">
        <v>23044</v>
      </c>
      <c r="AN2028" s="118">
        <v>718008</v>
      </c>
      <c r="AO2028" s="118">
        <v>4581</v>
      </c>
      <c r="AP2028" s="118">
        <f t="shared" si="31"/>
        <v>1678</v>
      </c>
    </row>
    <row r="2029" spans="1:42" ht="12.75">
      <c r="A2029" s="106">
        <v>2018</v>
      </c>
      <c r="B2029" s="106">
        <v>-106245</v>
      </c>
      <c r="C2029" s="106">
        <v>0</v>
      </c>
      <c r="D2029" s="106">
        <v>106245</v>
      </c>
      <c r="E2029" s="106" t="s">
        <v>3145</v>
      </c>
      <c r="F2029" s="106" t="s">
        <v>199</v>
      </c>
      <c r="G2029" s="106" t="s">
        <v>200</v>
      </c>
      <c r="H2029" s="106">
        <v>1</v>
      </c>
      <c r="I2029" s="106" t="s">
        <v>23</v>
      </c>
      <c r="J2029" s="106">
        <v>8459</v>
      </c>
      <c r="K2029" s="106">
        <v>13256</v>
      </c>
      <c r="L2029" s="106">
        <v>9633</v>
      </c>
      <c r="M2029" s="106">
        <v>0.55000000000000004</v>
      </c>
      <c r="N2029" s="106">
        <v>0.6</v>
      </c>
      <c r="O2029" s="106">
        <v>0.51</v>
      </c>
      <c r="P2029" s="107">
        <v>7338</v>
      </c>
      <c r="Q2029" s="107">
        <v>2429.601814753712</v>
      </c>
      <c r="R2029" s="106">
        <v>0.27607643841915397</v>
      </c>
      <c r="S2029" s="106">
        <v>21869.915390054208</v>
      </c>
      <c r="T2029" s="106">
        <v>23055.133867546549</v>
      </c>
      <c r="U2029" s="106">
        <v>12475.318094362314</v>
      </c>
      <c r="V2029" s="106">
        <v>0.51067764095661361</v>
      </c>
      <c r="W2029" s="106">
        <v>72143.425740418112</v>
      </c>
      <c r="X2029" s="110">
        <v>0.56442560866581259</v>
      </c>
      <c r="Y2029" s="106">
        <v>431.6304878048781</v>
      </c>
      <c r="Z2029" s="106">
        <v>15.523170731707317</v>
      </c>
      <c r="AA2029" s="106">
        <v>43034.776158031949</v>
      </c>
      <c r="AB2029" s="106">
        <v>448.66268297221791</v>
      </c>
      <c r="AC2029" s="106">
        <v>2.3237021062403302</v>
      </c>
      <c r="AD2029" s="106">
        <v>30.232272336241856</v>
      </c>
      <c r="AE2029" s="106">
        <v>95.917886178861792</v>
      </c>
      <c r="AF2029" s="106">
        <v>-4.3362311909908538E-2</v>
      </c>
      <c r="AG2029" s="106">
        <v>6495</v>
      </c>
      <c r="AH2029" s="106">
        <v>21193.873320763611</v>
      </c>
      <c r="AI2029" s="106">
        <v>21725.848691963234</v>
      </c>
      <c r="AJ2029" s="106">
        <v>22004.589441432949</v>
      </c>
      <c r="AK2029" s="104">
        <v>20857.87261371671</v>
      </c>
      <c r="AL2029" s="119">
        <v>68134066</v>
      </c>
      <c r="AM2029" s="118">
        <v>8793</v>
      </c>
      <c r="AN2029" s="118">
        <v>235958</v>
      </c>
      <c r="AO2029" s="118">
        <v>1696</v>
      </c>
      <c r="AP2029" s="118">
        <f t="shared" si="31"/>
        <v>1964</v>
      </c>
    </row>
    <row r="2030" spans="1:42" ht="12.75">
      <c r="A2030" s="106">
        <v>2018</v>
      </c>
      <c r="B2030" s="106">
        <v>-106485</v>
      </c>
      <c r="C2030" s="106">
        <v>0</v>
      </c>
      <c r="D2030" s="106">
        <v>106485</v>
      </c>
      <c r="E2030" s="106" t="s">
        <v>3146</v>
      </c>
      <c r="F2030" s="106" t="s">
        <v>3147</v>
      </c>
      <c r="G2030" s="106" t="s">
        <v>200</v>
      </c>
      <c r="H2030" s="106">
        <v>2</v>
      </c>
      <c r="I2030" s="106" t="s">
        <v>25</v>
      </c>
      <c r="J2030" s="106">
        <v>7462</v>
      </c>
      <c r="K2030" s="106">
        <v>10867</v>
      </c>
      <c r="L2030" s="106">
        <v>10730</v>
      </c>
      <c r="M2030" s="106">
        <v>0.66</v>
      </c>
      <c r="N2030" s="106">
        <v>0.63</v>
      </c>
      <c r="O2030" s="106">
        <v>0.54</v>
      </c>
      <c r="P2030" s="106">
        <v>4859</v>
      </c>
      <c r="Q2030" s="106">
        <v>2834.0964148973198</v>
      </c>
      <c r="R2030" s="106">
        <v>0.38533474562875886</v>
      </c>
      <c r="S2030" s="106">
        <v>17546.272885485556</v>
      </c>
      <c r="T2030" s="106">
        <v>17499.246084232509</v>
      </c>
      <c r="U2030" s="106">
        <v>10916.656537654419</v>
      </c>
      <c r="V2030" s="106">
        <v>0.41411929603520853</v>
      </c>
      <c r="W2030" s="106">
        <v>59187.1640625</v>
      </c>
      <c r="X2030" s="110">
        <v>0.5022978067137257</v>
      </c>
      <c r="Y2030" s="106">
        <v>463.74635036496352</v>
      </c>
      <c r="Z2030" s="106">
        <v>15.728102189781023</v>
      </c>
      <c r="AA2030" s="106">
        <v>25191.609825446703</v>
      </c>
      <c r="AB2030" s="106">
        <v>370.24181313738643</v>
      </c>
      <c r="AC2030" s="106">
        <v>3.9695756123924797</v>
      </c>
      <c r="AD2030" s="106">
        <v>43.44033496161898</v>
      </c>
      <c r="AE2030" s="106">
        <v>68.04096385542168</v>
      </c>
      <c r="AF2030" s="106">
        <v>1.3573608330271872E-2</v>
      </c>
      <c r="AG2030" s="106">
        <v>4650</v>
      </c>
      <c r="AH2030" s="106">
        <v>16092.962408632093</v>
      </c>
      <c r="AI2030" s="106">
        <v>16101.980856247825</v>
      </c>
      <c r="AJ2030" s="106">
        <v>17649.376957883745</v>
      </c>
      <c r="AK2030" s="104">
        <v>13741.878524190741</v>
      </c>
      <c r="AL2030" s="119">
        <v>18814756</v>
      </c>
      <c r="AM2030" s="118">
        <v>3417</v>
      </c>
      <c r="AN2030" s="118">
        <v>84711</v>
      </c>
      <c r="AO2030" s="118">
        <v>674</v>
      </c>
      <c r="AP2030" s="118">
        <f t="shared" si="31"/>
        <v>2812</v>
      </c>
    </row>
    <row r="2031" spans="1:42" ht="12.75">
      <c r="A2031" s="106">
        <v>2018</v>
      </c>
      <c r="B2031" s="106">
        <v>-106412</v>
      </c>
      <c r="C2031" s="106">
        <v>0</v>
      </c>
      <c r="D2031" s="106">
        <v>106412</v>
      </c>
      <c r="E2031" s="106" t="s">
        <v>3148</v>
      </c>
      <c r="F2031" s="106" t="s">
        <v>2821</v>
      </c>
      <c r="G2031" s="106" t="s">
        <v>200</v>
      </c>
      <c r="H2031" s="106">
        <v>3</v>
      </c>
      <c r="I2031" s="104" t="s">
        <v>26</v>
      </c>
      <c r="J2031" s="106">
        <v>7212</v>
      </c>
      <c r="K2031" s="106">
        <v>10465</v>
      </c>
      <c r="L2031" s="106">
        <v>9727</v>
      </c>
      <c r="M2031" s="106">
        <v>0.8</v>
      </c>
      <c r="N2031" s="106">
        <v>0.74</v>
      </c>
      <c r="O2031" s="106">
        <v>0.52</v>
      </c>
      <c r="P2031" s="106">
        <v>7034</v>
      </c>
      <c r="Q2031" s="106">
        <v>4219.9605633802821</v>
      </c>
      <c r="R2031" s="106">
        <v>0.49710266837224815</v>
      </c>
      <c r="S2031" s="106">
        <v>32498.769014084508</v>
      </c>
      <c r="T2031" s="106">
        <v>32310.549295774646</v>
      </c>
      <c r="U2031" s="106">
        <v>14638.278230109643</v>
      </c>
      <c r="V2031" s="106">
        <v>0.29164305019799314</v>
      </c>
      <c r="W2031" s="106">
        <v>65843.703180212004</v>
      </c>
      <c r="X2031" s="110">
        <v>0.5415103164753674</v>
      </c>
      <c r="Y2031" s="106">
        <v>325.40350877192981</v>
      </c>
      <c r="Z2031" s="106">
        <v>10.899122807017545</v>
      </c>
      <c r="AA2031" s="106">
        <v>86404.088840433396</v>
      </c>
      <c r="AB2031" s="106">
        <v>490.29708596374894</v>
      </c>
      <c r="AC2031" s="106">
        <v>1.1573526362239039</v>
      </c>
      <c r="AD2031" s="106">
        <v>17.058346839546189</v>
      </c>
      <c r="AE2031" s="106">
        <v>176.22802850356294</v>
      </c>
      <c r="AF2031" s="106">
        <v>3.1045890454258842E-2</v>
      </c>
      <c r="AG2031" s="106">
        <v>4908</v>
      </c>
      <c r="AH2031" s="106">
        <v>31079.601609657948</v>
      </c>
      <c r="AI2031" s="106">
        <v>31605.068008048289</v>
      </c>
      <c r="AJ2031" s="106">
        <v>32537.704225352114</v>
      </c>
      <c r="AK2031" s="104">
        <v>25842.524748490945</v>
      </c>
      <c r="AL2031" s="118">
        <v>27454716</v>
      </c>
      <c r="AM2031" s="118">
        <v>2517</v>
      </c>
      <c r="AN2031" s="118">
        <v>74192</v>
      </c>
      <c r="AO2031" s="118">
        <v>386</v>
      </c>
      <c r="AP2031" s="118">
        <f t="shared" si="31"/>
        <v>2304</v>
      </c>
    </row>
    <row r="2032" spans="1:42" ht="12.75">
      <c r="A2032" s="106">
        <v>2018</v>
      </c>
      <c r="B2032" s="106">
        <v>-107743</v>
      </c>
      <c r="C2032" s="106">
        <v>0</v>
      </c>
      <c r="D2032" s="106">
        <v>107743</v>
      </c>
      <c r="E2032" s="106" t="s">
        <v>4211</v>
      </c>
      <c r="F2032" s="106" t="s">
        <v>2553</v>
      </c>
      <c r="G2032" s="106" t="s">
        <v>200</v>
      </c>
      <c r="H2032" s="106">
        <v>4</v>
      </c>
      <c r="I2032" s="106" t="s">
        <v>24</v>
      </c>
      <c r="J2032" s="106">
        <v>2688</v>
      </c>
      <c r="K2032" s="106">
        <v>6181</v>
      </c>
      <c r="L2032" s="106">
        <v>5812</v>
      </c>
      <c r="M2032" s="106">
        <v>0.77</v>
      </c>
      <c r="N2032" s="106">
        <v>0</v>
      </c>
      <c r="O2032" s="106">
        <v>0.34</v>
      </c>
      <c r="P2032" s="106">
        <v>1624</v>
      </c>
      <c r="Q2032" s="106">
        <v>1095.0592459605027</v>
      </c>
      <c r="R2032" s="106">
        <v>0.26576976972789829</v>
      </c>
      <c r="S2032" s="106">
        <v>17009.001795332137</v>
      </c>
      <c r="T2032" s="106">
        <v>18056.635547576301</v>
      </c>
      <c r="U2032" s="106">
        <v>15137.471367414191</v>
      </c>
      <c r="V2032" s="106">
        <v>0.19985313410170863</v>
      </c>
      <c r="W2032" s="106">
        <v>59596.102941176468</v>
      </c>
      <c r="X2032" s="110">
        <v>0.53724636208474708</v>
      </c>
      <c r="Y2032" s="106">
        <v>511.13265306122452</v>
      </c>
      <c r="Z2032" s="106">
        <v>17.051020408163268</v>
      </c>
      <c r="AA2032" s="106">
        <v>27464.402448370372</v>
      </c>
      <c r="AB2032" s="106">
        <v>504.97523816552103</v>
      </c>
      <c r="AC2032" s="106">
        <v>3.6410768516805505</v>
      </c>
      <c r="AD2032" s="106">
        <v>57.276119402985074</v>
      </c>
      <c r="AE2032" s="106">
        <v>54.387622149837135</v>
      </c>
      <c r="AF2032" s="106">
        <v>-7.0621968728991374E-2</v>
      </c>
      <c r="AG2032" s="106">
        <v>1920</v>
      </c>
      <c r="AH2032" s="106">
        <v>16037.53500897666</v>
      </c>
      <c r="AI2032" s="106">
        <v>16044.258527827647</v>
      </c>
      <c r="AJ2032" s="106">
        <v>17049.154398563733</v>
      </c>
      <c r="AK2032" s="104">
        <v>17179.003590664273</v>
      </c>
      <c r="AL2032" s="119">
        <v>3859890</v>
      </c>
      <c r="AM2032" s="118">
        <v>938</v>
      </c>
      <c r="AN2032" s="118">
        <v>16697</v>
      </c>
      <c r="AO2032" s="118">
        <v>106</v>
      </c>
      <c r="AP2032" s="118">
        <f t="shared" si="31"/>
        <v>768</v>
      </c>
    </row>
    <row r="2033" spans="1:42" ht="12.75">
      <c r="A2033" s="106">
        <v>2018</v>
      </c>
      <c r="B2033" s="106">
        <v>-106999</v>
      </c>
      <c r="C2033" s="106">
        <v>0</v>
      </c>
      <c r="D2033" s="106">
        <v>106999</v>
      </c>
      <c r="E2033" s="106" t="s">
        <v>3140</v>
      </c>
      <c r="F2033" s="106" t="s">
        <v>1860</v>
      </c>
      <c r="G2033" s="106" t="s">
        <v>200</v>
      </c>
      <c r="H2033" s="106">
        <v>4</v>
      </c>
      <c r="I2033" s="106" t="s">
        <v>24</v>
      </c>
      <c r="J2033" s="106">
        <v>2466</v>
      </c>
      <c r="K2033" s="106">
        <v>7631</v>
      </c>
      <c r="L2033" s="106">
        <v>6106</v>
      </c>
      <c r="M2033" s="106">
        <v>0.6</v>
      </c>
      <c r="N2033" s="106">
        <v>0.12</v>
      </c>
      <c r="O2033" s="106">
        <v>0.48</v>
      </c>
      <c r="P2033" s="106">
        <v>1641</v>
      </c>
      <c r="Q2033" s="106">
        <v>490.0787949015064</v>
      </c>
      <c r="R2033" s="106">
        <v>0.12905499586231139</v>
      </c>
      <c r="S2033" s="106">
        <v>14586.093858632677</v>
      </c>
      <c r="T2033" s="106">
        <v>14193.050984936268</v>
      </c>
      <c r="U2033" s="106">
        <v>12146.422943221321</v>
      </c>
      <c r="V2033" s="106">
        <v>0.27229108551192133</v>
      </c>
      <c r="W2033" s="106">
        <v>61366.520661157025</v>
      </c>
      <c r="X2033" s="110">
        <v>0.60622007260746391</v>
      </c>
      <c r="Y2033" s="106">
        <v>419.61081081081079</v>
      </c>
      <c r="Z2033" s="106">
        <v>13.994594594594593</v>
      </c>
      <c r="AA2033" s="106">
        <v>23715.75339366516</v>
      </c>
      <c r="AB2033" s="106">
        <v>405.09982222909258</v>
      </c>
      <c r="AC2033" s="106">
        <v>4.2166065037053189</v>
      </c>
      <c r="AD2033" s="106">
        <v>50.746268656716417</v>
      </c>
      <c r="AE2033" s="106">
        <v>58.542986425339365</v>
      </c>
      <c r="AF2033" s="106">
        <v>2.8580137881846254E-2</v>
      </c>
      <c r="AG2033" s="106">
        <v>1740</v>
      </c>
      <c r="AH2033" s="106">
        <v>13684.092699884126</v>
      </c>
      <c r="AI2033" s="106">
        <v>13684.092699884126</v>
      </c>
      <c r="AJ2033" s="106">
        <v>14658.166859791425</v>
      </c>
      <c r="AK2033" s="104">
        <v>13536.063731170336</v>
      </c>
      <c r="AL2033" s="119">
        <v>6422453</v>
      </c>
      <c r="AM2033" s="118">
        <v>1246</v>
      </c>
      <c r="AN2033" s="118">
        <v>25876</v>
      </c>
      <c r="AO2033" s="118">
        <v>185</v>
      </c>
      <c r="AP2033" s="118">
        <f t="shared" si="31"/>
        <v>726</v>
      </c>
    </row>
    <row r="2034" spans="1:42" ht="12.75">
      <c r="A2034" s="106">
        <v>2018</v>
      </c>
      <c r="B2034" s="106">
        <v>-107725</v>
      </c>
      <c r="C2034" s="106">
        <v>0</v>
      </c>
      <c r="D2034" s="106">
        <v>107725</v>
      </c>
      <c r="E2034" s="106" t="s">
        <v>3141</v>
      </c>
      <c r="F2034" s="106" t="s">
        <v>3142</v>
      </c>
      <c r="G2034" s="106" t="s">
        <v>200</v>
      </c>
      <c r="H2034" s="106">
        <v>4</v>
      </c>
      <c r="I2034" s="106" t="s">
        <v>24</v>
      </c>
      <c r="J2034" s="106">
        <v>2740</v>
      </c>
      <c r="K2034" s="106">
        <v>7016</v>
      </c>
      <c r="L2034" s="106">
        <v>7996</v>
      </c>
      <c r="M2034" s="106">
        <v>0.74</v>
      </c>
      <c r="N2034" s="106">
        <v>0</v>
      </c>
      <c r="O2034" s="106">
        <v>0.35</v>
      </c>
      <c r="P2034" s="106">
        <v>1390</v>
      </c>
      <c r="Q2034" s="106">
        <v>445.42476190476191</v>
      </c>
      <c r="R2034" s="106">
        <v>0.14086074875793309</v>
      </c>
      <c r="S2034" s="106">
        <v>24187.602857142858</v>
      </c>
      <c r="T2034" s="106">
        <v>15437.52</v>
      </c>
      <c r="U2034" s="106">
        <v>11474.668166081914</v>
      </c>
      <c r="V2034" s="106">
        <v>0.23675970479473069</v>
      </c>
      <c r="W2034" s="106">
        <v>56674.413793103449</v>
      </c>
      <c r="X2034" s="110">
        <v>0.50697694102852442</v>
      </c>
      <c r="Y2034" s="106">
        <v>465.70935960591129</v>
      </c>
      <c r="Z2034" s="106">
        <v>15.517241379310343</v>
      </c>
      <c r="AA2034" s="106">
        <v>16850.911292847566</v>
      </c>
      <c r="AB2034" s="106">
        <v>382.33115141008506</v>
      </c>
      <c r="AC2034" s="106">
        <v>5.9343971528973265</v>
      </c>
      <c r="AD2034" s="106">
        <v>71.002979145978145</v>
      </c>
      <c r="AE2034" s="106">
        <v>44.074125874125876</v>
      </c>
      <c r="AF2034" s="106">
        <v>0.58166708679964108</v>
      </c>
      <c r="AG2034" s="106">
        <v>1980</v>
      </c>
      <c r="AH2034" s="106">
        <v>13351.240952380953</v>
      </c>
      <c r="AI2034" s="106">
        <v>21696.33142857143</v>
      </c>
      <c r="AJ2034" s="106">
        <v>24201.519047619047</v>
      </c>
      <c r="AK2034" s="104">
        <v>15400.295238095237</v>
      </c>
      <c r="AL2034" s="119">
        <v>7902476</v>
      </c>
      <c r="AM2034" s="118">
        <v>1536</v>
      </c>
      <c r="AN2034" s="118">
        <v>31513</v>
      </c>
      <c r="AO2034" s="118">
        <v>182</v>
      </c>
      <c r="AP2034" s="118">
        <f t="shared" si="31"/>
        <v>760</v>
      </c>
    </row>
    <row r="2035" spans="1:42" ht="12.75">
      <c r="A2035" s="106">
        <v>2018</v>
      </c>
      <c r="B2035" s="106">
        <v>-107585</v>
      </c>
      <c r="C2035" s="106">
        <v>0</v>
      </c>
      <c r="D2035" s="106">
        <v>107585</v>
      </c>
      <c r="E2035" s="106" t="s">
        <v>3143</v>
      </c>
      <c r="F2035" s="106" t="s">
        <v>3144</v>
      </c>
      <c r="G2035" s="106" t="s">
        <v>200</v>
      </c>
      <c r="H2035" s="106">
        <v>4</v>
      </c>
      <c r="I2035" s="106" t="s">
        <v>24</v>
      </c>
      <c r="J2035" s="106">
        <v>3632</v>
      </c>
      <c r="K2035" s="106">
        <v>5370</v>
      </c>
      <c r="L2035" s="106">
        <v>4481</v>
      </c>
      <c r="M2035" s="106">
        <v>0.62</v>
      </c>
      <c r="N2035" s="106">
        <v>0.17</v>
      </c>
      <c r="O2035" s="106">
        <v>0.46</v>
      </c>
      <c r="P2035" s="106">
        <v>1356</v>
      </c>
      <c r="Q2035" s="106">
        <v>428.91908713692948</v>
      </c>
      <c r="R2035" s="106">
        <v>9.4344691248651691E-2</v>
      </c>
      <c r="S2035" s="106">
        <v>12457.628630705394</v>
      </c>
      <c r="T2035" s="106">
        <v>12264.739972337482</v>
      </c>
      <c r="U2035" s="106">
        <v>8572.4737817741752</v>
      </c>
      <c r="V2035" s="106">
        <v>0.4803023119464962</v>
      </c>
      <c r="W2035" s="106">
        <v>60491.123529411765</v>
      </c>
      <c r="X2035" s="110">
        <v>0.57984769391999258</v>
      </c>
      <c r="Y2035" s="106">
        <v>580.95535714285711</v>
      </c>
      <c r="Z2035" s="106">
        <v>19.366071428571427</v>
      </c>
      <c r="AA2035" s="106">
        <v>12832.088083276873</v>
      </c>
      <c r="AB2035" s="106">
        <v>285.7623009001212</v>
      </c>
      <c r="AC2035" s="106">
        <v>7.7929639627647767</v>
      </c>
      <c r="AD2035" s="106">
        <v>69.696969696969703</v>
      </c>
      <c r="AE2035" s="106">
        <v>44.904761904761905</v>
      </c>
      <c r="AF2035" s="106">
        <v>3.4185542075058528E-2</v>
      </c>
      <c r="AG2035" s="106">
        <v>2700</v>
      </c>
      <c r="AH2035" s="106">
        <v>11104.719917012448</v>
      </c>
      <c r="AI2035" s="106">
        <v>11178.143153526971</v>
      </c>
      <c r="AJ2035" s="106">
        <v>12509.147302904565</v>
      </c>
      <c r="AK2035" s="104">
        <v>10389.936376210235</v>
      </c>
      <c r="AL2035" s="119">
        <v>7044195</v>
      </c>
      <c r="AM2035" s="118">
        <v>1921</v>
      </c>
      <c r="AN2035" s="118">
        <v>43378</v>
      </c>
      <c r="AO2035" s="118">
        <v>446</v>
      </c>
      <c r="AP2035" s="118">
        <f t="shared" si="31"/>
        <v>932</v>
      </c>
    </row>
    <row r="2036" spans="1:42" ht="12.75">
      <c r="A2036" s="106">
        <v>2018</v>
      </c>
      <c r="B2036" s="106">
        <v>-108092</v>
      </c>
      <c r="C2036" s="106">
        <v>0</v>
      </c>
      <c r="D2036" s="106">
        <v>108092</v>
      </c>
      <c r="E2036" s="106" t="s">
        <v>3149</v>
      </c>
      <c r="F2036" s="106" t="s">
        <v>3150</v>
      </c>
      <c r="G2036" s="106" t="s">
        <v>200</v>
      </c>
      <c r="H2036" s="106">
        <v>3</v>
      </c>
      <c r="I2036" s="104" t="s">
        <v>26</v>
      </c>
      <c r="J2036" s="106">
        <v>5577</v>
      </c>
      <c r="K2036" s="106">
        <v>10739</v>
      </c>
      <c r="L2036" s="106">
        <v>9102</v>
      </c>
      <c r="M2036" s="106">
        <v>0.56999999999999995</v>
      </c>
      <c r="N2036" s="106">
        <v>0.41</v>
      </c>
      <c r="O2036" s="106">
        <v>0.44</v>
      </c>
      <c r="P2036" s="106">
        <v>3700</v>
      </c>
      <c r="Q2036" s="106">
        <v>1453.13646702047</v>
      </c>
      <c r="R2036" s="106">
        <v>0.19418948831198957</v>
      </c>
      <c r="S2036" s="106">
        <v>15181.522365428355</v>
      </c>
      <c r="T2036" s="106">
        <v>14111.996588324488</v>
      </c>
      <c r="U2036" s="106">
        <v>11633.970389631784</v>
      </c>
      <c r="V2036" s="106">
        <v>0.51830531051580608</v>
      </c>
      <c r="W2036" s="106">
        <v>70985.623474724009</v>
      </c>
      <c r="X2036" s="110">
        <v>0.54693632362165479</v>
      </c>
      <c r="Y2036" s="106">
        <v>574.52905569007271</v>
      </c>
      <c r="Z2036" s="106">
        <v>19.16222760290557</v>
      </c>
      <c r="AA2036" s="106">
        <v>37313.573115925406</v>
      </c>
      <c r="AB2036" s="106">
        <v>388.02700459391286</v>
      </c>
      <c r="AC2036" s="106">
        <v>2.6799899245596523</v>
      </c>
      <c r="AD2036" s="106">
        <v>30.834114339268982</v>
      </c>
      <c r="AE2036" s="106">
        <v>96.162310030395133</v>
      </c>
      <c r="AF2036" s="106">
        <v>5.7814600266760365E-2</v>
      </c>
      <c r="AG2036" s="106">
        <v>3991</v>
      </c>
      <c r="AH2036" s="106">
        <v>15761.457164518575</v>
      </c>
      <c r="AI2036" s="106">
        <v>15769.986353297953</v>
      </c>
      <c r="AJ2036" s="106">
        <v>15195.7113343442</v>
      </c>
      <c r="AK2036" s="104">
        <v>12546.953563305535</v>
      </c>
      <c r="AL2036" s="118">
        <v>30170613</v>
      </c>
      <c r="AM2036" s="118">
        <v>6620</v>
      </c>
      <c r="AN2036" s="118">
        <v>158187</v>
      </c>
      <c r="AO2036" s="118">
        <v>1104</v>
      </c>
      <c r="AP2036" s="118">
        <f t="shared" si="31"/>
        <v>1586</v>
      </c>
    </row>
    <row r="2037" spans="1:42" ht="12.75">
      <c r="A2037" s="106">
        <v>2018</v>
      </c>
      <c r="B2037" s="106">
        <v>-107664</v>
      </c>
      <c r="C2037" s="106">
        <v>0</v>
      </c>
      <c r="D2037" s="106">
        <v>107664</v>
      </c>
      <c r="E2037" s="106" t="s">
        <v>4212</v>
      </c>
      <c r="F2037" s="106" t="s">
        <v>2500</v>
      </c>
      <c r="G2037" s="106" t="s">
        <v>200</v>
      </c>
      <c r="H2037" s="106">
        <v>4</v>
      </c>
      <c r="I2037" s="106" t="s">
        <v>24</v>
      </c>
      <c r="J2037" s="106">
        <v>5170</v>
      </c>
      <c r="K2037" s="106">
        <v>11615</v>
      </c>
      <c r="L2037" s="106">
        <v>10946</v>
      </c>
      <c r="M2037" s="106">
        <v>0.61</v>
      </c>
      <c r="N2037" s="106">
        <v>0.54</v>
      </c>
      <c r="O2037" s="106">
        <v>0.21</v>
      </c>
      <c r="P2037" s="106">
        <v>4361</v>
      </c>
      <c r="Q2037" s="106">
        <v>443.93054499366286</v>
      </c>
      <c r="R2037" s="106">
        <v>7.2917476834946843E-2</v>
      </c>
      <c r="S2037" s="106">
        <v>12743.898605830165</v>
      </c>
      <c r="T2037" s="106">
        <v>12889.874271229404</v>
      </c>
      <c r="U2037" s="106">
        <v>11368.940430925222</v>
      </c>
      <c r="V2037" s="106">
        <v>0.49645718316887205</v>
      </c>
      <c r="W2037" s="106">
        <v>57961.762301286908</v>
      </c>
      <c r="X2037" s="110">
        <v>0.50191185724348253</v>
      </c>
      <c r="Y2037" s="106">
        <v>553.92823712948518</v>
      </c>
      <c r="Z2037" s="106">
        <v>18.463338533541343</v>
      </c>
      <c r="AA2037" s="106">
        <v>32058.949249463902</v>
      </c>
      <c r="AB2037" s="106">
        <v>378.94546960018926</v>
      </c>
      <c r="AC2037" s="106">
        <v>3.1192538227581559</v>
      </c>
      <c r="AD2037" s="106">
        <v>37.923556519381947</v>
      </c>
      <c r="AE2037" s="106">
        <v>84.600428877769829</v>
      </c>
      <c r="AF2037" s="106">
        <v>-5.9359601991941548E-3</v>
      </c>
      <c r="AG2037" s="106">
        <v>3900</v>
      </c>
      <c r="AH2037" s="106">
        <v>11511.032192648923</v>
      </c>
      <c r="AI2037" s="106">
        <v>11705.874524714829</v>
      </c>
      <c r="AJ2037" s="106">
        <v>12823.994676806084</v>
      </c>
      <c r="AK2037" s="104">
        <v>12704.554119138149</v>
      </c>
      <c r="AL2037" s="118">
        <v>17382628</v>
      </c>
      <c r="AM2037" s="118">
        <v>6038</v>
      </c>
      <c r="AN2037" s="118">
        <v>118356</v>
      </c>
      <c r="AO2037" s="118">
        <v>723</v>
      </c>
      <c r="AP2037" s="118">
        <f t="shared" si="31"/>
        <v>1270</v>
      </c>
    </row>
    <row r="2038" spans="1:42" ht="12.75">
      <c r="A2038" s="106">
        <v>2018</v>
      </c>
      <c r="B2038" s="106">
        <v>-161873</v>
      </c>
      <c r="C2038" s="106">
        <v>0</v>
      </c>
      <c r="D2038" s="106">
        <v>161873</v>
      </c>
      <c r="E2038" s="106" t="s">
        <v>3151</v>
      </c>
      <c r="F2038" s="106" t="s">
        <v>284</v>
      </c>
      <c r="G2038" s="106" t="s">
        <v>124</v>
      </c>
      <c r="H2038" s="106">
        <v>2</v>
      </c>
      <c r="I2038" s="106" t="s">
        <v>25</v>
      </c>
      <c r="J2038" s="106">
        <v>8824</v>
      </c>
      <c r="K2038" s="106">
        <v>20010</v>
      </c>
      <c r="L2038" s="106">
        <v>17742</v>
      </c>
      <c r="M2038" s="106">
        <v>0.61</v>
      </c>
      <c r="N2038" s="106">
        <v>0.36</v>
      </c>
      <c r="O2038" s="106">
        <v>0.57999999999999996</v>
      </c>
      <c r="P2038" s="106">
        <v>3693</v>
      </c>
      <c r="Q2038" s="106">
        <v>2805.7085030549897</v>
      </c>
      <c r="R2038" s="106">
        <v>0.17529285956982527</v>
      </c>
      <c r="S2038" s="106">
        <v>29376.37881873727</v>
      </c>
      <c r="T2038" s="106">
        <v>29956.940427698573</v>
      </c>
      <c r="U2038" s="106">
        <v>21432.477288020869</v>
      </c>
      <c r="V2038" s="106">
        <v>0.61589361980604118</v>
      </c>
      <c r="W2038" s="106">
        <v>101955.45214669051</v>
      </c>
      <c r="X2038" s="110">
        <v>0.64579111352137453</v>
      </c>
      <c r="Y2038" s="106">
        <v>324.38814993954048</v>
      </c>
      <c r="Z2038" s="106">
        <v>14.249093107617895</v>
      </c>
      <c r="AA2038" s="106">
        <v>55240.663246290009</v>
      </c>
      <c r="AB2038" s="106">
        <v>941.44426811162646</v>
      </c>
      <c r="AC2038" s="106">
        <v>1.8102606689233778</v>
      </c>
      <c r="AD2038" s="106">
        <v>39.563862928348911</v>
      </c>
      <c r="AE2038" s="106">
        <v>58.676509186351709</v>
      </c>
      <c r="AF2038" s="106">
        <v>5.5396666736400972E-2</v>
      </c>
      <c r="AG2038" s="106">
        <v>6742</v>
      </c>
      <c r="AH2038" s="106">
        <v>29156.947556008148</v>
      </c>
      <c r="AI2038" s="106">
        <v>29156.947556008148</v>
      </c>
      <c r="AJ2038" s="106">
        <v>29623.681008146639</v>
      </c>
      <c r="AK2038" s="104">
        <v>27100.05931771894</v>
      </c>
      <c r="AL2038" s="119">
        <v>36680775</v>
      </c>
      <c r="AM2038" s="118">
        <v>2949</v>
      </c>
      <c r="AN2038" s="118">
        <v>89423</v>
      </c>
      <c r="AO2038" s="118">
        <v>711</v>
      </c>
      <c r="AP2038" s="118">
        <f t="shared" si="31"/>
        <v>2082</v>
      </c>
    </row>
    <row r="2039" spans="1:42" ht="12.75">
      <c r="A2039" s="106">
        <v>2018</v>
      </c>
      <c r="B2039" s="106">
        <v>-128744</v>
      </c>
      <c r="C2039" s="106">
        <v>0</v>
      </c>
      <c r="D2039" s="106">
        <v>128744</v>
      </c>
      <c r="E2039" s="106" t="s">
        <v>3152</v>
      </c>
      <c r="F2039" s="106" t="s">
        <v>1516</v>
      </c>
      <c r="G2039" s="106" t="s">
        <v>99</v>
      </c>
      <c r="H2039" s="106">
        <v>6</v>
      </c>
      <c r="I2039" s="106" t="s">
        <v>3640</v>
      </c>
      <c r="J2039" s="106">
        <v>32250</v>
      </c>
      <c r="K2039" s="106">
        <v>23326</v>
      </c>
      <c r="L2039" s="106">
        <v>21284</v>
      </c>
      <c r="M2039" s="106">
        <v>0.6</v>
      </c>
      <c r="N2039" s="106">
        <v>0.78</v>
      </c>
      <c r="O2039" s="106">
        <v>0.99</v>
      </c>
      <c r="P2039" s="106">
        <v>22343</v>
      </c>
      <c r="Q2039" s="106">
        <v>10107.885656746475</v>
      </c>
      <c r="R2039" s="106">
        <v>0.37641568754895588</v>
      </c>
      <c r="S2039" s="106">
        <v>21241.888565674646</v>
      </c>
      <c r="T2039" s="106">
        <v>23884.761691653614</v>
      </c>
      <c r="U2039" s="106">
        <v>21055.629183350651</v>
      </c>
      <c r="V2039" s="106">
        <v>0.79527908868965025</v>
      </c>
      <c r="W2039" s="106">
        <v>92226.415094339623</v>
      </c>
      <c r="X2039" s="110">
        <v>0.54951705530208639</v>
      </c>
      <c r="Y2039" s="106">
        <v>426.29634146341465</v>
      </c>
      <c r="Z2039" s="106">
        <v>16.350000000000001</v>
      </c>
      <c r="AA2039" s="106">
        <v>52160.535931482293</v>
      </c>
      <c r="AB2039" s="106">
        <v>807.55921096106329</v>
      </c>
      <c r="AC2039" s="106">
        <v>1.917158215769855</v>
      </c>
      <c r="AD2039" s="106">
        <v>41.797961075069509</v>
      </c>
      <c r="AE2039" s="106">
        <v>64.590354767184039</v>
      </c>
      <c r="AF2039" s="106">
        <v>-0.13121431924527158</v>
      </c>
      <c r="AG2039" s="106">
        <v>30150</v>
      </c>
      <c r="AH2039" s="106">
        <v>20642.394047885435</v>
      </c>
      <c r="AI2039" s="106">
        <v>21239.395614231373</v>
      </c>
      <c r="AJ2039" s="106">
        <v>21945.849183262475</v>
      </c>
      <c r="AK2039" s="104">
        <v>21130.454240322219</v>
      </c>
      <c r="AM2039" s="118">
        <v>3129</v>
      </c>
      <c r="AN2039" s="118">
        <v>116521</v>
      </c>
      <c r="AO2039" s="118">
        <v>724</v>
      </c>
      <c r="AP2039" s="118">
        <f t="shared" si="31"/>
        <v>2100</v>
      </c>
    </row>
    <row r="2040" spans="1:42" ht="12.75">
      <c r="A2040" s="106">
        <v>2018</v>
      </c>
      <c r="B2040" s="106">
        <v>-110635</v>
      </c>
      <c r="C2040" s="106">
        <v>0</v>
      </c>
      <c r="D2040" s="106">
        <v>110635</v>
      </c>
      <c r="E2040" s="106" t="s">
        <v>3153</v>
      </c>
      <c r="F2040" s="106" t="s">
        <v>353</v>
      </c>
      <c r="G2040" s="106" t="s">
        <v>121</v>
      </c>
      <c r="H2040" s="106">
        <v>1</v>
      </c>
      <c r="I2040" s="106" t="s">
        <v>23</v>
      </c>
      <c r="J2040" s="106">
        <v>14170</v>
      </c>
      <c r="K2040" s="106">
        <v>17862</v>
      </c>
      <c r="L2040" s="106">
        <v>8043</v>
      </c>
      <c r="M2040" s="106">
        <v>0.19</v>
      </c>
      <c r="N2040" s="106">
        <v>0.21</v>
      </c>
      <c r="O2040" s="106">
        <v>0.48</v>
      </c>
      <c r="P2040" s="106">
        <v>11267</v>
      </c>
      <c r="Q2040" s="106">
        <v>4965.1864946459737</v>
      </c>
      <c r="R2040" s="106">
        <v>0.18589625596083129</v>
      </c>
      <c r="S2040" s="106">
        <v>64692.178876362093</v>
      </c>
      <c r="T2040" s="106">
        <v>65893.674229916505</v>
      </c>
      <c r="U2040" s="106">
        <v>32701.338446302241</v>
      </c>
      <c r="V2040" s="106">
        <v>0.66493492757569739</v>
      </c>
      <c r="W2040" s="106">
        <v>157853.91906691829</v>
      </c>
      <c r="X2040" s="110">
        <v>0.60877482031384222</v>
      </c>
      <c r="Y2040" s="106">
        <v>334.70085061645801</v>
      </c>
      <c r="Z2040" s="106">
        <v>12.156551658224219</v>
      </c>
      <c r="AA2040" s="106">
        <v>109941.42791581337</v>
      </c>
      <c r="AB2040" s="106">
        <v>1187.7337908862762</v>
      </c>
      <c r="AC2040" s="106">
        <v>0.90957523379243421</v>
      </c>
      <c r="AD2040" s="106">
        <v>31.475565317226579</v>
      </c>
      <c r="AE2040" s="106">
        <v>92.56403140115772</v>
      </c>
      <c r="AF2040" s="106"/>
      <c r="AG2040" s="106">
        <v>11502</v>
      </c>
      <c r="AH2040" s="106">
        <v>56702.917024387942</v>
      </c>
      <c r="AI2040" s="106">
        <v>64152.725977640453</v>
      </c>
      <c r="AJ2040" s="106">
        <v>67788.126798433892</v>
      </c>
      <c r="AK2040" s="104">
        <v>59341.228619274494</v>
      </c>
      <c r="AL2040" s="118">
        <v>390931000</v>
      </c>
      <c r="AM2040" s="118">
        <v>30574</v>
      </c>
      <c r="AN2040" s="118">
        <v>1167325</v>
      </c>
      <c r="AO2040" s="118">
        <v>8213</v>
      </c>
      <c r="AP2040" s="118">
        <f t="shared" si="31"/>
        <v>2668</v>
      </c>
    </row>
    <row r="2041" spans="1:42" ht="12.75">
      <c r="A2041" s="106">
        <v>2018</v>
      </c>
      <c r="B2041" s="106">
        <v>-110644</v>
      </c>
      <c r="C2041" s="106">
        <v>0</v>
      </c>
      <c r="D2041" s="106">
        <v>110644</v>
      </c>
      <c r="E2041" s="106" t="s">
        <v>3154</v>
      </c>
      <c r="F2041" s="106" t="s">
        <v>3155</v>
      </c>
      <c r="G2041" s="106" t="s">
        <v>121</v>
      </c>
      <c r="H2041" s="106">
        <v>1</v>
      </c>
      <c r="I2041" s="106" t="s">
        <v>23</v>
      </c>
      <c r="J2041" s="106">
        <v>14419</v>
      </c>
      <c r="K2041" s="106">
        <v>15724</v>
      </c>
      <c r="L2041" s="106">
        <v>9629</v>
      </c>
      <c r="M2041" s="106">
        <v>0.32</v>
      </c>
      <c r="N2041" s="106">
        <v>0.34</v>
      </c>
      <c r="O2041" s="106">
        <v>0.56999999999999995</v>
      </c>
      <c r="P2041" s="106">
        <v>10279</v>
      </c>
      <c r="Q2041" s="106">
        <v>5127.694165425748</v>
      </c>
      <c r="R2041" s="106">
        <v>0.23175735137842757</v>
      </c>
      <c r="S2041" s="106">
        <v>129254.90726952755</v>
      </c>
      <c r="T2041" s="106">
        <v>130249.76309733315</v>
      </c>
      <c r="U2041" s="106">
        <v>39385.392341831743</v>
      </c>
      <c r="V2041" s="106">
        <v>0.43157058114791563</v>
      </c>
      <c r="W2041" s="106">
        <v>257301.78809078338</v>
      </c>
      <c r="X2041" s="110">
        <v>0.65748468406857519</v>
      </c>
      <c r="Y2041" s="106">
        <v>374.1427876823339</v>
      </c>
      <c r="Z2041" s="106">
        <v>8.9793354943273904</v>
      </c>
      <c r="AA2041" s="106">
        <v>141164.43145517277</v>
      </c>
      <c r="AB2041" s="106">
        <v>945.23979361935642</v>
      </c>
      <c r="AC2041" s="106">
        <v>0.70839374316295334</v>
      </c>
      <c r="AD2041" s="106">
        <v>28.185000820524042</v>
      </c>
      <c r="AE2041" s="106">
        <v>149.34245511887434</v>
      </c>
      <c r="AF2041" s="106"/>
      <c r="AG2041" s="106">
        <v>11502</v>
      </c>
      <c r="AH2041" s="106">
        <v>125590.8960064979</v>
      </c>
      <c r="AI2041" s="106">
        <v>127585.48108839853</v>
      </c>
      <c r="AJ2041" s="106">
        <v>131584.56748341682</v>
      </c>
      <c r="AK2041" s="104">
        <v>69221.283714633813</v>
      </c>
      <c r="AL2041" s="118">
        <v>397508000</v>
      </c>
      <c r="AM2041" s="118">
        <v>30066</v>
      </c>
      <c r="AN2041" s="118">
        <v>1538974</v>
      </c>
      <c r="AO2041" s="118">
        <v>8137</v>
      </c>
      <c r="AP2041" s="118">
        <f t="shared" si="31"/>
        <v>2917</v>
      </c>
    </row>
    <row r="2042" spans="1:42" ht="12.75">
      <c r="A2042" s="106">
        <v>2018</v>
      </c>
      <c r="B2042" s="106">
        <v>-110653</v>
      </c>
      <c r="C2042" s="106">
        <v>0</v>
      </c>
      <c r="D2042" s="106">
        <v>110653</v>
      </c>
      <c r="E2042" s="106" t="s">
        <v>3156</v>
      </c>
      <c r="F2042" s="106" t="s">
        <v>434</v>
      </c>
      <c r="G2042" s="106" t="s">
        <v>121</v>
      </c>
      <c r="H2042" s="106">
        <v>1</v>
      </c>
      <c r="I2042" s="106" t="s">
        <v>23</v>
      </c>
      <c r="J2042" s="106">
        <v>13738</v>
      </c>
      <c r="K2042" s="106">
        <v>15014</v>
      </c>
      <c r="L2042" s="106">
        <v>9178</v>
      </c>
      <c r="M2042" s="106">
        <v>0.38</v>
      </c>
      <c r="N2042" s="106">
        <v>0.38</v>
      </c>
      <c r="O2042" s="106">
        <v>0.52</v>
      </c>
      <c r="P2042" s="106">
        <v>7879</v>
      </c>
      <c r="Q2042" s="106">
        <v>4594.631846307655</v>
      </c>
      <c r="R2042" s="106">
        <v>0.23084010823376422</v>
      </c>
      <c r="S2042" s="106">
        <v>85329.406360614987</v>
      </c>
      <c r="T2042" s="106">
        <v>79771.7312005188</v>
      </c>
      <c r="U2042" s="106">
        <v>30282.814655239417</v>
      </c>
      <c r="V2042" s="106">
        <v>0.50554502434069926</v>
      </c>
      <c r="W2042" s="106">
        <v>230145.90353767449</v>
      </c>
      <c r="X2042" s="110">
        <v>0.5993740200767409</v>
      </c>
      <c r="Y2042" s="106">
        <v>561.30385164051359</v>
      </c>
      <c r="Z2042" s="106">
        <v>13.198644793152638</v>
      </c>
      <c r="AA2042" s="106">
        <v>119316.15964822267</v>
      </c>
      <c r="AB2042" s="106">
        <v>712.07798201136268</v>
      </c>
      <c r="AC2042" s="106">
        <v>0.83810944213112371</v>
      </c>
      <c r="AD2042" s="106">
        <v>27.024771988376443</v>
      </c>
      <c r="AE2042" s="106">
        <v>167.56052379431492</v>
      </c>
      <c r="AF2042" s="106"/>
      <c r="AG2042" s="106">
        <v>11502</v>
      </c>
      <c r="AH2042" s="106">
        <v>82207.823340268587</v>
      </c>
      <c r="AI2042" s="106">
        <v>83570.383798535491</v>
      </c>
      <c r="AJ2042" s="106">
        <v>86370.93679915696</v>
      </c>
      <c r="AK2042" s="104">
        <v>45442.51830635791</v>
      </c>
      <c r="AL2042" s="118">
        <v>299228000</v>
      </c>
      <c r="AM2042" s="118">
        <v>29307</v>
      </c>
      <c r="AN2042" s="118">
        <v>1573896</v>
      </c>
      <c r="AO2042" s="118">
        <v>7265</v>
      </c>
      <c r="AP2042" s="118">
        <f t="shared" si="31"/>
        <v>2236</v>
      </c>
    </row>
    <row r="2043" spans="1:42" ht="12.75">
      <c r="A2043" s="106">
        <v>2018</v>
      </c>
      <c r="B2043" s="106">
        <v>-110662</v>
      </c>
      <c r="C2043" s="106">
        <v>0</v>
      </c>
      <c r="D2043" s="106">
        <v>110662</v>
      </c>
      <c r="E2043" s="106" t="s">
        <v>3157</v>
      </c>
      <c r="F2043" s="106" t="s">
        <v>152</v>
      </c>
      <c r="G2043" s="106" t="s">
        <v>121</v>
      </c>
      <c r="H2043" s="106">
        <v>1</v>
      </c>
      <c r="I2043" s="106" t="s">
        <v>23</v>
      </c>
      <c r="J2043" s="106">
        <v>13261</v>
      </c>
      <c r="K2043" s="106">
        <v>15002</v>
      </c>
      <c r="L2043" s="106">
        <v>8636</v>
      </c>
      <c r="M2043" s="106">
        <v>0.28999999999999998</v>
      </c>
      <c r="N2043" s="106">
        <v>0.32</v>
      </c>
      <c r="O2043" s="106">
        <v>0.5</v>
      </c>
      <c r="P2043" s="106">
        <v>10182</v>
      </c>
      <c r="Q2043" s="106">
        <v>6265.5897247229914</v>
      </c>
      <c r="R2043" s="106">
        <v>0.26528586843639357</v>
      </c>
      <c r="S2043" s="106">
        <v>163821.06994459833</v>
      </c>
      <c r="T2043" s="106">
        <v>168067.73718836566</v>
      </c>
      <c r="U2043" s="106">
        <v>71586.676821299974</v>
      </c>
      <c r="V2043" s="106">
        <v>0.24240078866162804</v>
      </c>
      <c r="W2043" s="106">
        <v>221740.131413464</v>
      </c>
      <c r="X2043" s="110">
        <v>0.6371851061424344</v>
      </c>
      <c r="Y2043" s="106">
        <v>338.31134803035781</v>
      </c>
      <c r="Z2043" s="106">
        <v>8.3498373689916878</v>
      </c>
      <c r="AA2043" s="106">
        <v>251415.76062617838</v>
      </c>
      <c r="AB2043" s="106">
        <v>1766.8254781414682</v>
      </c>
      <c r="AC2043" s="106">
        <v>0.39774753878173386</v>
      </c>
      <c r="AD2043" s="106">
        <v>30.564977001347394</v>
      </c>
      <c r="AE2043" s="106">
        <v>142.29801626510601</v>
      </c>
      <c r="AF2043" s="106"/>
      <c r="AG2043" s="106">
        <v>11502</v>
      </c>
      <c r="AH2043" s="106">
        <v>154359.40075311635</v>
      </c>
      <c r="AI2043" s="106">
        <v>162558.32734591412</v>
      </c>
      <c r="AJ2043" s="106">
        <v>166493.05315096953</v>
      </c>
      <c r="AK2043" s="104">
        <v>104542.80724117036</v>
      </c>
      <c r="AL2043" s="118">
        <v>448284000</v>
      </c>
      <c r="AM2043" s="118">
        <v>31002</v>
      </c>
      <c r="AN2043" s="118">
        <v>1872215</v>
      </c>
      <c r="AO2043" s="118">
        <v>8499</v>
      </c>
      <c r="AP2043" s="118">
        <f t="shared" si="31"/>
        <v>1759</v>
      </c>
    </row>
    <row r="2044" spans="1:42" ht="12.75">
      <c r="A2044" s="106">
        <v>2018</v>
      </c>
      <c r="B2044" s="106">
        <v>-445188</v>
      </c>
      <c r="C2044" s="106">
        <v>0</v>
      </c>
      <c r="D2044" s="106">
        <v>445188</v>
      </c>
      <c r="E2044" s="106" t="s">
        <v>3158</v>
      </c>
      <c r="F2044" s="106" t="s">
        <v>1940</v>
      </c>
      <c r="G2044" s="106" t="s">
        <v>121</v>
      </c>
      <c r="H2044" s="106">
        <v>1</v>
      </c>
      <c r="I2044" s="106" t="s">
        <v>23</v>
      </c>
      <c r="J2044" s="106">
        <v>13598</v>
      </c>
      <c r="K2044" s="106">
        <v>12390</v>
      </c>
      <c r="L2044" s="106">
        <v>9043</v>
      </c>
      <c r="M2044" s="106">
        <v>0.67</v>
      </c>
      <c r="N2044" s="106">
        <v>0.53</v>
      </c>
      <c r="O2044" s="106">
        <v>0.81</v>
      </c>
      <c r="P2044" s="106">
        <v>12229</v>
      </c>
      <c r="Q2044" s="106">
        <v>4831.9419515226846</v>
      </c>
      <c r="R2044" s="106">
        <v>0.34054583807282512</v>
      </c>
      <c r="S2044" s="106">
        <v>41230.577998756991</v>
      </c>
      <c r="T2044" s="106">
        <v>43315.475450590427</v>
      </c>
      <c r="U2044" s="106">
        <v>22999.83743501838</v>
      </c>
      <c r="V2044" s="106">
        <v>0.40682344993141506</v>
      </c>
      <c r="W2044" s="106">
        <v>140400.74359582542</v>
      </c>
      <c r="X2044" s="110">
        <v>0.56621271949333229</v>
      </c>
      <c r="Y2044" s="106">
        <v>538.2883018867924</v>
      </c>
      <c r="Z2044" s="106">
        <v>18.215094339622642</v>
      </c>
      <c r="AA2044" s="106">
        <v>130305.41701741047</v>
      </c>
      <c r="AB2044" s="106">
        <v>778.28963996871789</v>
      </c>
      <c r="AC2044" s="106">
        <v>0.76742780376228503</v>
      </c>
      <c r="AD2044" s="106">
        <v>17.931557014774594</v>
      </c>
      <c r="AE2044" s="106">
        <v>167.42535211267605</v>
      </c>
      <c r="AF2044" s="106"/>
      <c r="AG2044" s="106">
        <v>11502</v>
      </c>
      <c r="AH2044" s="106">
        <v>39574.76656308266</v>
      </c>
      <c r="AI2044" s="106">
        <v>39896.084151646988</v>
      </c>
      <c r="AJ2044" s="106">
        <v>41778.993163455561</v>
      </c>
      <c r="AK2044" s="104">
        <v>34838.518831572408</v>
      </c>
      <c r="AL2044" s="119">
        <v>161687000</v>
      </c>
      <c r="AM2044" s="118">
        <v>7375</v>
      </c>
      <c r="AN2044" s="118">
        <v>237744</v>
      </c>
      <c r="AO2044" s="118">
        <v>1319</v>
      </c>
      <c r="AP2044" s="118">
        <f t="shared" si="31"/>
        <v>2096</v>
      </c>
    </row>
    <row r="2045" spans="1:42" ht="12.75">
      <c r="A2045" s="106">
        <v>2018</v>
      </c>
      <c r="B2045" s="106">
        <v>-110671</v>
      </c>
      <c r="C2045" s="106">
        <v>0</v>
      </c>
      <c r="D2045" s="106">
        <v>110671</v>
      </c>
      <c r="E2045" s="106" t="s">
        <v>3159</v>
      </c>
      <c r="F2045" s="106" t="s">
        <v>529</v>
      </c>
      <c r="G2045" s="106" t="s">
        <v>121</v>
      </c>
      <c r="H2045" s="106">
        <v>1</v>
      </c>
      <c r="I2045" s="106" t="s">
        <v>23</v>
      </c>
      <c r="J2045" s="106">
        <v>13917</v>
      </c>
      <c r="K2045" s="106">
        <v>12890</v>
      </c>
      <c r="L2045" s="106">
        <v>7817</v>
      </c>
      <c r="M2045" s="106">
        <v>0.5</v>
      </c>
      <c r="N2045" s="106">
        <v>0.51</v>
      </c>
      <c r="O2045" s="106">
        <v>0.7</v>
      </c>
      <c r="P2045" s="106">
        <v>10290</v>
      </c>
      <c r="Q2045" s="106">
        <v>5113.8576153176673</v>
      </c>
      <c r="R2045" s="106">
        <v>0.29697543914624563</v>
      </c>
      <c r="S2045" s="106">
        <v>39132.071366405573</v>
      </c>
      <c r="T2045" s="106">
        <v>41446.344647519581</v>
      </c>
      <c r="U2045" s="106">
        <v>24070.791103864052</v>
      </c>
      <c r="V2045" s="106">
        <v>0.50293079934022511</v>
      </c>
      <c r="W2045" s="106">
        <v>146316.08325358853</v>
      </c>
      <c r="X2045" s="110">
        <v>0.64214349925506886</v>
      </c>
      <c r="Y2045" s="106">
        <v>686.72187715665973</v>
      </c>
      <c r="Z2045" s="106">
        <v>15.859213250517598</v>
      </c>
      <c r="AA2045" s="106">
        <v>97453.625716489769</v>
      </c>
      <c r="AB2045" s="106">
        <v>555.89289044559723</v>
      </c>
      <c r="AC2045" s="106">
        <v>1.0261290871918722</v>
      </c>
      <c r="AD2045" s="106">
        <v>24.737415558945301</v>
      </c>
      <c r="AE2045" s="106">
        <v>175.31007751937983</v>
      </c>
      <c r="AF2045" s="106"/>
      <c r="AG2045" s="106">
        <v>11502</v>
      </c>
      <c r="AH2045" s="106">
        <v>36826.82624020888</v>
      </c>
      <c r="AI2045" s="106">
        <v>37392.492036553522</v>
      </c>
      <c r="AJ2045" s="106">
        <v>40044.560487380331</v>
      </c>
      <c r="AK2045" s="104">
        <v>35244.961009573541</v>
      </c>
      <c r="AL2045" s="118">
        <v>265643000</v>
      </c>
      <c r="AM2045" s="118">
        <v>20073</v>
      </c>
      <c r="AN2045" s="118">
        <v>995060</v>
      </c>
      <c r="AO2045" s="118">
        <v>4685</v>
      </c>
      <c r="AP2045" s="118">
        <f t="shared" si="31"/>
        <v>2415</v>
      </c>
    </row>
    <row r="2046" spans="1:42" ht="12.75">
      <c r="A2046" s="106">
        <v>2018</v>
      </c>
      <c r="B2046" s="106">
        <v>-110680</v>
      </c>
      <c r="C2046" s="106">
        <v>0</v>
      </c>
      <c r="D2046" s="106">
        <v>110680</v>
      </c>
      <c r="E2046" s="106" t="s">
        <v>3160</v>
      </c>
      <c r="F2046" s="106" t="s">
        <v>2139</v>
      </c>
      <c r="G2046" s="106" t="s">
        <v>121</v>
      </c>
      <c r="H2046" s="106">
        <v>1</v>
      </c>
      <c r="I2046" s="106" t="s">
        <v>23</v>
      </c>
      <c r="J2046" s="106">
        <v>14018</v>
      </c>
      <c r="K2046" s="106">
        <v>13452</v>
      </c>
      <c r="L2046" s="106">
        <v>8452</v>
      </c>
      <c r="M2046" s="106">
        <v>0.36</v>
      </c>
      <c r="N2046" s="106">
        <v>0.39</v>
      </c>
      <c r="O2046" s="106">
        <v>0.49</v>
      </c>
      <c r="P2046" s="106">
        <v>8101</v>
      </c>
      <c r="Q2046" s="106">
        <v>4873.2752941808603</v>
      </c>
      <c r="R2046" s="106">
        <v>0.21890801262395038</v>
      </c>
      <c r="S2046" s="106">
        <v>135594.59459459459</v>
      </c>
      <c r="T2046" s="106">
        <v>136557.7078072108</v>
      </c>
      <c r="U2046" s="106">
        <v>39696.732378022891</v>
      </c>
      <c r="V2046" s="106">
        <v>0.43803287959039383</v>
      </c>
      <c r="W2046" s="106">
        <v>230888.35123091534</v>
      </c>
      <c r="X2046" s="110">
        <v>0.62181017287005125</v>
      </c>
      <c r="Y2046" s="106">
        <v>376.63860124263181</v>
      </c>
      <c r="Z2046" s="106">
        <v>8.8948542297275761</v>
      </c>
      <c r="AA2046" s="106">
        <v>149086.0430405376</v>
      </c>
      <c r="AB2046" s="106">
        <v>937.49458163358713</v>
      </c>
      <c r="AC2046" s="106">
        <v>0.67075359946879309</v>
      </c>
      <c r="AD2046" s="106">
        <v>28.291276547156883</v>
      </c>
      <c r="AE2046" s="106">
        <v>159.02603168196953</v>
      </c>
      <c r="AF2046" s="106"/>
      <c r="AG2046" s="106">
        <v>11502</v>
      </c>
      <c r="AH2046" s="106">
        <v>131812.83840202031</v>
      </c>
      <c r="AI2046" s="106">
        <v>134772.40532480791</v>
      </c>
      <c r="AJ2046" s="106">
        <v>137138.11724249099</v>
      </c>
      <c r="AK2046" s="104">
        <v>80049.299607758847</v>
      </c>
      <c r="AL2046" s="118">
        <v>326994000</v>
      </c>
      <c r="AM2046" s="118">
        <v>28587</v>
      </c>
      <c r="AN2046" s="118">
        <v>1576107</v>
      </c>
      <c r="AO2046" s="118">
        <v>7356</v>
      </c>
      <c r="AP2046" s="118">
        <f t="shared" si="31"/>
        <v>2516</v>
      </c>
    </row>
    <row r="2047" spans="1:42" ht="12.75">
      <c r="A2047" s="106">
        <v>2018</v>
      </c>
      <c r="B2047" s="106">
        <v>-110705</v>
      </c>
      <c r="C2047" s="106">
        <v>0</v>
      </c>
      <c r="D2047" s="106">
        <v>110705</v>
      </c>
      <c r="E2047" s="106" t="s">
        <v>3161</v>
      </c>
      <c r="F2047" s="106" t="s">
        <v>180</v>
      </c>
      <c r="G2047" s="106" t="s">
        <v>121</v>
      </c>
      <c r="H2047" s="106">
        <v>1</v>
      </c>
      <c r="I2047" s="106" t="s">
        <v>23</v>
      </c>
      <c r="J2047" s="106">
        <v>14451</v>
      </c>
      <c r="K2047" s="106">
        <v>16912</v>
      </c>
      <c r="L2047" s="106">
        <v>10733</v>
      </c>
      <c r="M2047" s="106">
        <v>0.32</v>
      </c>
      <c r="N2047" s="106">
        <v>0.37</v>
      </c>
      <c r="O2047" s="106">
        <v>0.5</v>
      </c>
      <c r="P2047" s="106">
        <v>8889</v>
      </c>
      <c r="Q2047" s="106">
        <v>3859.3546313355023</v>
      </c>
      <c r="R2047" s="106">
        <v>0.20918842561940798</v>
      </c>
      <c r="S2047" s="106">
        <v>43513.425581121868</v>
      </c>
      <c r="T2047" s="106">
        <v>43204.892007369373</v>
      </c>
      <c r="U2047" s="106">
        <v>20904.742035560725</v>
      </c>
      <c r="V2047" s="106">
        <v>0.69791935115356896</v>
      </c>
      <c r="W2047" s="106">
        <v>149776.79252484516</v>
      </c>
      <c r="X2047" s="110">
        <v>0.62898461894393032</v>
      </c>
      <c r="Y2047" s="106">
        <v>733.47053688345704</v>
      </c>
      <c r="Z2047" s="106">
        <v>16.702968136185074</v>
      </c>
      <c r="AA2047" s="106">
        <v>81395.127299937361</v>
      </c>
      <c r="AB2047" s="106">
        <v>476.05353256421279</v>
      </c>
      <c r="AC2047" s="106">
        <v>1.2285747724369853</v>
      </c>
      <c r="AD2047" s="106">
        <v>26.530612244897959</v>
      </c>
      <c r="AE2047" s="106">
        <v>170.97893772893772</v>
      </c>
      <c r="AF2047" s="106"/>
      <c r="AG2047" s="106">
        <v>11502</v>
      </c>
      <c r="AH2047" s="106">
        <v>38543.568107875035</v>
      </c>
      <c r="AI2047" s="106">
        <v>40876.640116028379</v>
      </c>
      <c r="AJ2047" s="106">
        <v>44239.935714005725</v>
      </c>
      <c r="AK2047" s="104">
        <v>35508.460585629728</v>
      </c>
      <c r="AL2047" s="118">
        <v>222258000</v>
      </c>
      <c r="AM2047" s="118">
        <v>22186</v>
      </c>
      <c r="AN2047" s="118">
        <v>1120254</v>
      </c>
      <c r="AO2047" s="118">
        <v>5606</v>
      </c>
      <c r="AP2047" s="118">
        <f t="shared" si="31"/>
        <v>2949</v>
      </c>
    </row>
    <row r="2048" spans="1:42" ht="12.75">
      <c r="A2048" s="106">
        <v>2018</v>
      </c>
      <c r="B2048" s="106">
        <v>-110714</v>
      </c>
      <c r="C2048" s="106">
        <v>0</v>
      </c>
      <c r="D2048" s="106">
        <v>110714</v>
      </c>
      <c r="E2048" s="106" t="s">
        <v>3162</v>
      </c>
      <c r="F2048" s="106" t="s">
        <v>3163</v>
      </c>
      <c r="G2048" s="106" t="s">
        <v>121</v>
      </c>
      <c r="H2048" s="106">
        <v>1</v>
      </c>
      <c r="I2048" s="106" t="s">
        <v>23</v>
      </c>
      <c r="J2048" s="106">
        <v>14020</v>
      </c>
      <c r="K2048" s="106">
        <v>17266</v>
      </c>
      <c r="L2048" s="106">
        <v>10601</v>
      </c>
      <c r="M2048" s="106">
        <v>0.3</v>
      </c>
      <c r="N2048" s="106">
        <v>0.43</v>
      </c>
      <c r="O2048" s="106">
        <v>0.6</v>
      </c>
      <c r="P2048" s="106">
        <v>9002</v>
      </c>
      <c r="Q2048" s="106">
        <v>4373.6158135329279</v>
      </c>
      <c r="R2048" s="106">
        <v>0.23741324942847086</v>
      </c>
      <c r="S2048" s="106">
        <v>43276.184256794091</v>
      </c>
      <c r="T2048" s="106">
        <v>40511.076505751749</v>
      </c>
      <c r="U2048" s="106">
        <v>19415.136240717999</v>
      </c>
      <c r="V2048" s="106">
        <v>0.72357656395099146</v>
      </c>
      <c r="W2048" s="106">
        <v>141602.22993705742</v>
      </c>
      <c r="X2048" s="110">
        <v>0.59512031436386947</v>
      </c>
      <c r="Y2048" s="106">
        <v>871.27083333333337</v>
      </c>
      <c r="Z2048" s="106">
        <v>19.749007936507937</v>
      </c>
      <c r="AA2048" s="106">
        <v>78540.36113472328</v>
      </c>
      <c r="AB2048" s="106">
        <v>440.08093125232506</v>
      </c>
      <c r="AC2048" s="106">
        <v>1.2732307129128957</v>
      </c>
      <c r="AD2048" s="106">
        <v>25.741486634932258</v>
      </c>
      <c r="AE2048" s="106">
        <v>178.46799431009958</v>
      </c>
      <c r="AF2048" s="106"/>
      <c r="AG2048" s="106">
        <v>11502</v>
      </c>
      <c r="AH2048" s="106">
        <v>41623.356608228263</v>
      </c>
      <c r="AI2048" s="106">
        <v>42629.937208017283</v>
      </c>
      <c r="AJ2048" s="106">
        <v>44032.099261566284</v>
      </c>
      <c r="AK2048" s="104">
        <v>32135.628874265334</v>
      </c>
      <c r="AL2048" s="118">
        <v>202120000</v>
      </c>
      <c r="AM2048" s="118">
        <v>17577</v>
      </c>
      <c r="AN2048" s="118">
        <v>878241</v>
      </c>
      <c r="AO2048" s="118">
        <v>4270</v>
      </c>
      <c r="AP2048" s="118">
        <f t="shared" si="31"/>
        <v>2518</v>
      </c>
    </row>
    <row r="2049" spans="1:42" ht="12.75">
      <c r="A2049" s="106">
        <v>2018</v>
      </c>
      <c r="B2049" s="106">
        <v>-106704</v>
      </c>
      <c r="C2049" s="106">
        <v>0</v>
      </c>
      <c r="D2049" s="106">
        <v>106704</v>
      </c>
      <c r="E2049" s="106" t="s">
        <v>3164</v>
      </c>
      <c r="F2049" s="106" t="s">
        <v>651</v>
      </c>
      <c r="G2049" s="106" t="s">
        <v>200</v>
      </c>
      <c r="H2049" s="106">
        <v>2</v>
      </c>
      <c r="I2049" s="106" t="s">
        <v>25</v>
      </c>
      <c r="J2049" s="106">
        <v>8524</v>
      </c>
      <c r="K2049" s="106">
        <v>14241</v>
      </c>
      <c r="L2049" s="106">
        <v>13176</v>
      </c>
      <c r="M2049" s="106">
        <v>0.42</v>
      </c>
      <c r="N2049" s="106">
        <v>0.52</v>
      </c>
      <c r="O2049" s="106">
        <v>0.6</v>
      </c>
      <c r="P2049" s="106">
        <v>6637</v>
      </c>
      <c r="Q2049" s="106">
        <v>3224.3584079408329</v>
      </c>
      <c r="R2049" s="106">
        <v>0.3686606071790573</v>
      </c>
      <c r="S2049" s="106">
        <v>18876.289996107436</v>
      </c>
      <c r="T2049" s="106">
        <v>19533.363468275595</v>
      </c>
      <c r="U2049" s="106">
        <v>12100.72236463154</v>
      </c>
      <c r="V2049" s="106">
        <v>0.45631859631533817</v>
      </c>
      <c r="W2049" s="106">
        <v>68398.559999999998</v>
      </c>
      <c r="X2049" s="110">
        <v>0.51965567610382934</v>
      </c>
      <c r="Y2049" s="106">
        <v>481.56319290465626</v>
      </c>
      <c r="Z2049" s="106">
        <v>17.088691796008867</v>
      </c>
      <c r="AA2049" s="106">
        <v>48554.089425596918</v>
      </c>
      <c r="AB2049" s="106">
        <v>429.40473450843882</v>
      </c>
      <c r="AC2049" s="106">
        <v>2.0595587556685109</v>
      </c>
      <c r="AD2049" s="106">
        <v>26.09537395557367</v>
      </c>
      <c r="AE2049" s="106">
        <v>113.07301835220618</v>
      </c>
      <c r="AF2049" s="106">
        <v>-4.461907671688118E-2</v>
      </c>
      <c r="AG2049" s="106">
        <v>6523</v>
      </c>
      <c r="AH2049" s="106">
        <v>18041.828143246399</v>
      </c>
      <c r="AI2049" s="106">
        <v>18090.06811989101</v>
      </c>
      <c r="AJ2049" s="106">
        <v>19096.710587777347</v>
      </c>
      <c r="AK2049" s="104">
        <v>15425.119307123394</v>
      </c>
      <c r="AL2049" s="118">
        <v>58198968</v>
      </c>
      <c r="AM2049" s="118">
        <v>9542</v>
      </c>
      <c r="AN2049" s="118">
        <v>289580</v>
      </c>
      <c r="AO2049" s="118">
        <v>1775</v>
      </c>
      <c r="AP2049" s="118">
        <f t="shared" si="31"/>
        <v>2001</v>
      </c>
    </row>
    <row r="2050" spans="1:42" ht="12.75">
      <c r="A2050" s="106">
        <v>2018</v>
      </c>
      <c r="B2050" s="106">
        <v>-132903</v>
      </c>
      <c r="C2050" s="106">
        <v>0</v>
      </c>
      <c r="D2050" s="106">
        <v>132903</v>
      </c>
      <c r="E2050" s="106" t="s">
        <v>3165</v>
      </c>
      <c r="F2050" s="106" t="s">
        <v>1198</v>
      </c>
      <c r="G2050" s="106" t="s">
        <v>258</v>
      </c>
      <c r="H2050" s="106">
        <v>1</v>
      </c>
      <c r="I2050" s="106" t="s">
        <v>23</v>
      </c>
      <c r="J2050" s="106">
        <v>6368</v>
      </c>
      <c r="K2050" s="106">
        <v>13016</v>
      </c>
      <c r="L2050" s="106">
        <v>9001</v>
      </c>
      <c r="M2050" s="106">
        <v>0.32</v>
      </c>
      <c r="N2050" s="106">
        <v>0.34</v>
      </c>
      <c r="O2050" s="106">
        <v>0.42</v>
      </c>
      <c r="P2050" s="106">
        <v>3031</v>
      </c>
      <c r="Q2050" s="106">
        <v>1734.507119097485</v>
      </c>
      <c r="R2050" s="106">
        <v>0.20444662599119043</v>
      </c>
      <c r="S2050" s="106">
        <v>20139.144229923088</v>
      </c>
      <c r="T2050" s="106">
        <v>20073.956440627255</v>
      </c>
      <c r="U2050" s="106">
        <v>10786.112700126065</v>
      </c>
      <c r="V2050" s="106">
        <v>0.62574949409673541</v>
      </c>
      <c r="W2050" s="106">
        <v>123882.30623785121</v>
      </c>
      <c r="X2050" s="110">
        <v>0.61464225323726385</v>
      </c>
      <c r="Y2050" s="106">
        <v>832.09781879194622</v>
      </c>
      <c r="Z2050" s="106">
        <v>28.600167785234898</v>
      </c>
      <c r="AA2050" s="106">
        <v>37129.294650942866</v>
      </c>
      <c r="AB2050" s="106">
        <v>370.73121213311401</v>
      </c>
      <c r="AC2050" s="106">
        <v>2.69329113143981</v>
      </c>
      <c r="AD2050" s="106">
        <v>31.116976152323499</v>
      </c>
      <c r="AE2050" s="106">
        <v>100.15152065915424</v>
      </c>
      <c r="AF2050" s="106">
        <v>2.9910436331268379E-2</v>
      </c>
      <c r="AG2050" s="106">
        <v>4478</v>
      </c>
      <c r="AH2050" s="106">
        <v>19138.605624879001</v>
      </c>
      <c r="AI2050" s="106">
        <v>19519.794470159628</v>
      </c>
      <c r="AJ2050" s="106">
        <v>20413.556803182033</v>
      </c>
      <c r="AK2050" s="104">
        <v>16975.537725056758</v>
      </c>
      <c r="AL2050" s="118">
        <v>375457594</v>
      </c>
      <c r="AM2050" s="118">
        <v>56853</v>
      </c>
      <c r="AN2050" s="118">
        <v>1653101</v>
      </c>
      <c r="AO2050" s="118">
        <v>13757</v>
      </c>
      <c r="AP2050" s="118">
        <f t="shared" si="31"/>
        <v>1890</v>
      </c>
    </row>
    <row r="2051" spans="1:42" ht="12.75">
      <c r="A2051" s="106">
        <v>2018</v>
      </c>
      <c r="B2051" s="106">
        <v>-176965</v>
      </c>
      <c r="C2051" s="106">
        <v>0</v>
      </c>
      <c r="D2051" s="106">
        <v>176965</v>
      </c>
      <c r="E2051" s="106" t="s">
        <v>15</v>
      </c>
      <c r="F2051" s="106" t="s">
        <v>3166</v>
      </c>
      <c r="G2051" s="106" t="s">
        <v>264</v>
      </c>
      <c r="H2051" s="106">
        <v>2</v>
      </c>
      <c r="I2051" s="106" t="s">
        <v>25</v>
      </c>
      <c r="J2051" s="106">
        <v>7520</v>
      </c>
      <c r="K2051" s="106">
        <v>12616</v>
      </c>
      <c r="L2051" s="106">
        <v>10807</v>
      </c>
      <c r="M2051" s="106">
        <v>0.39</v>
      </c>
      <c r="N2051" s="106">
        <v>0.64</v>
      </c>
      <c r="O2051" s="106">
        <v>0.61</v>
      </c>
      <c r="P2051" s="106">
        <v>4179</v>
      </c>
      <c r="Q2051" s="106">
        <v>1503.5712842275436</v>
      </c>
      <c r="R2051" s="106">
        <v>0.17388682120478915</v>
      </c>
      <c r="S2051" s="106">
        <v>19033.914721632817</v>
      </c>
      <c r="T2051" s="106">
        <v>21547.874709507931</v>
      </c>
      <c r="U2051" s="106">
        <v>14465.729558394098</v>
      </c>
      <c r="V2051" s="106">
        <v>0.49380622836257165</v>
      </c>
      <c r="W2051" s="106">
        <v>87581.948376151238</v>
      </c>
      <c r="X2051" s="110">
        <v>0.56482584329399232</v>
      </c>
      <c r="Y2051" s="106">
        <v>509.5633136094674</v>
      </c>
      <c r="Z2051" s="106">
        <v>17.568639053254437</v>
      </c>
      <c r="AA2051" s="106">
        <v>41703.26986292642</v>
      </c>
      <c r="AB2051" s="106">
        <v>498.74701428799597</v>
      </c>
      <c r="AC2051" s="106">
        <v>2.3978935064010054</v>
      </c>
      <c r="AD2051" s="106">
        <v>34.419490675756968</v>
      </c>
      <c r="AE2051" s="106">
        <v>83.616079230993307</v>
      </c>
      <c r="AF2051" s="106">
        <v>-0.14365477664520843</v>
      </c>
      <c r="AG2051" s="106">
        <v>6630</v>
      </c>
      <c r="AH2051" s="106">
        <v>18284.429220976053</v>
      </c>
      <c r="AI2051" s="106">
        <v>18570.006668687482</v>
      </c>
      <c r="AJ2051" s="106">
        <v>19163.904718601596</v>
      </c>
      <c r="AK2051" s="104">
        <v>16069.030312215824</v>
      </c>
      <c r="AL2051" s="118">
        <v>52708206</v>
      </c>
      <c r="AM2051" s="118">
        <v>9801</v>
      </c>
      <c r="AN2051" s="118">
        <v>287054</v>
      </c>
      <c r="AO2051" s="118">
        <v>1994</v>
      </c>
      <c r="AP2051" s="118">
        <f t="shared" si="31"/>
        <v>890</v>
      </c>
    </row>
    <row r="2052" spans="1:42" ht="12.75">
      <c r="A2052" s="106">
        <v>2018</v>
      </c>
      <c r="B2052" s="106">
        <v>-206941</v>
      </c>
      <c r="C2052" s="106">
        <v>0</v>
      </c>
      <c r="D2052" s="106">
        <v>206941</v>
      </c>
      <c r="E2052" s="106" t="s">
        <v>3167</v>
      </c>
      <c r="F2052" s="106" t="s">
        <v>2353</v>
      </c>
      <c r="G2052" s="106" t="s">
        <v>271</v>
      </c>
      <c r="H2052" s="106">
        <v>2</v>
      </c>
      <c r="I2052" s="106" t="s">
        <v>25</v>
      </c>
      <c r="J2052" s="106">
        <v>7100</v>
      </c>
      <c r="K2052" s="106">
        <v>16027</v>
      </c>
      <c r="L2052" s="106">
        <v>13311</v>
      </c>
      <c r="M2052" s="106">
        <v>0.43</v>
      </c>
      <c r="N2052" s="106">
        <v>0.47</v>
      </c>
      <c r="O2052" s="106">
        <v>0.39</v>
      </c>
      <c r="P2052" s="106">
        <v>3237</v>
      </c>
      <c r="Q2052" s="106">
        <v>815.65968173940439</v>
      </c>
      <c r="R2052" s="106">
        <v>9.4440425657903435E-2</v>
      </c>
      <c r="S2052" s="106">
        <v>16651.970064597448</v>
      </c>
      <c r="T2052" s="106">
        <v>16396.243106979677</v>
      </c>
      <c r="U2052" s="106">
        <v>12469.612594839731</v>
      </c>
      <c r="V2052" s="106">
        <v>0.62721310700831401</v>
      </c>
      <c r="W2052" s="106">
        <v>79250.054924242431</v>
      </c>
      <c r="X2052" s="110">
        <v>0.60313135423247466</v>
      </c>
      <c r="Y2052" s="106">
        <v>562.74649298597194</v>
      </c>
      <c r="Z2052" s="106">
        <v>19.079158316633265</v>
      </c>
      <c r="AA2052" s="106">
        <v>50620.167022352274</v>
      </c>
      <c r="AB2052" s="106">
        <v>422.76534071614725</v>
      </c>
      <c r="AC2052" s="106">
        <v>1.975497235239132</v>
      </c>
      <c r="AD2052" s="106">
        <v>24.005834484876402</v>
      </c>
      <c r="AE2052" s="106">
        <v>119.73584905660377</v>
      </c>
      <c r="AF2052" s="106">
        <v>6.5526738828782224E-2</v>
      </c>
      <c r="AG2052" s="106">
        <v>6161</v>
      </c>
      <c r="AH2052" s="106">
        <v>16458.873325980778</v>
      </c>
      <c r="AI2052" s="106">
        <v>16458.873325980778</v>
      </c>
      <c r="AJ2052" s="106">
        <v>16731.852213644241</v>
      </c>
      <c r="AK2052" s="104">
        <v>14713.395304868442</v>
      </c>
      <c r="AL2052" s="118">
        <v>53623071</v>
      </c>
      <c r="AM2052" s="118">
        <v>14343</v>
      </c>
      <c r="AN2052" s="118">
        <v>374414</v>
      </c>
      <c r="AO2052" s="118">
        <v>2530</v>
      </c>
      <c r="AP2052" s="118">
        <f t="shared" si="31"/>
        <v>939</v>
      </c>
    </row>
    <row r="2053" spans="1:42" ht="12.75">
      <c r="A2053" s="106">
        <v>2018</v>
      </c>
      <c r="B2053" s="106">
        <v>-237312</v>
      </c>
      <c r="C2053" s="106">
        <v>0</v>
      </c>
      <c r="D2053" s="106">
        <v>237312</v>
      </c>
      <c r="E2053" s="106" t="s">
        <v>3168</v>
      </c>
      <c r="F2053" s="106" t="s">
        <v>620</v>
      </c>
      <c r="G2053" s="106" t="s">
        <v>110</v>
      </c>
      <c r="H2053" s="106">
        <v>6</v>
      </c>
      <c r="I2053" s="106" t="s">
        <v>3640</v>
      </c>
      <c r="J2053" s="106">
        <v>21200</v>
      </c>
      <c r="K2053" s="106">
        <v>13643</v>
      </c>
      <c r="L2053" s="106">
        <v>17162</v>
      </c>
      <c r="M2053" s="106">
        <v>0.56999999999999995</v>
      </c>
      <c r="N2053" s="106">
        <v>0.8</v>
      </c>
      <c r="O2053" s="106">
        <v>0.8</v>
      </c>
      <c r="P2053" s="106">
        <v>24694</v>
      </c>
      <c r="Q2053" s="106">
        <v>8698.3514309764305</v>
      </c>
      <c r="R2053" s="106">
        <v>0.42528874615618173</v>
      </c>
      <c r="S2053" s="106">
        <v>18936.621212121212</v>
      </c>
      <c r="T2053" s="106">
        <v>18371.732323232322</v>
      </c>
      <c r="U2053" s="106">
        <v>14626.991002993358</v>
      </c>
      <c r="V2053" s="106">
        <v>0.80361450409086976</v>
      </c>
      <c r="W2053" s="106">
        <v>60335.158311345644</v>
      </c>
      <c r="X2053" s="110">
        <v>0.52385744586934491</v>
      </c>
      <c r="Y2053" s="106">
        <v>425.36579572446556</v>
      </c>
      <c r="Z2053" s="106">
        <v>16.931116389548691</v>
      </c>
      <c r="AA2053" s="106">
        <v>50735.373172426596</v>
      </c>
      <c r="AB2053" s="106">
        <v>582.20780699767499</v>
      </c>
      <c r="AC2053" s="106">
        <v>1.9710114215607561</v>
      </c>
      <c r="AD2053" s="106">
        <v>32.964388835418674</v>
      </c>
      <c r="AE2053" s="106">
        <v>87.143065693430657</v>
      </c>
      <c r="AF2053" s="106">
        <v>5.3272121642941872E-2</v>
      </c>
      <c r="AG2053" s="106">
        <v>21000</v>
      </c>
      <c r="AH2053" s="106">
        <v>15525.86069023569</v>
      </c>
      <c r="AI2053" s="106">
        <v>18936.621632996634</v>
      </c>
      <c r="AJ2053" s="106">
        <v>20611.951178451178</v>
      </c>
      <c r="AK2053" s="104">
        <v>14678.137626262625</v>
      </c>
      <c r="AM2053" s="118">
        <v>1831</v>
      </c>
      <c r="AN2053" s="118">
        <v>59693</v>
      </c>
      <c r="AO2053" s="118">
        <v>470</v>
      </c>
      <c r="AP2053" s="118">
        <f t="shared" si="31"/>
        <v>200</v>
      </c>
    </row>
    <row r="2054" spans="1:42" ht="12.75">
      <c r="A2054" s="106">
        <v>2018</v>
      </c>
      <c r="B2054" s="106">
        <v>-144050</v>
      </c>
      <c r="C2054" s="106">
        <v>0</v>
      </c>
      <c r="D2054" s="106">
        <v>144050</v>
      </c>
      <c r="E2054" s="106" t="s">
        <v>3169</v>
      </c>
      <c r="F2054" s="106" t="s">
        <v>725</v>
      </c>
      <c r="G2054" s="106" t="s">
        <v>243</v>
      </c>
      <c r="H2054" s="106">
        <v>5</v>
      </c>
      <c r="I2054" s="106" t="s">
        <v>3639</v>
      </c>
      <c r="J2054" s="106">
        <v>54825</v>
      </c>
      <c r="K2054" s="106">
        <v>33003</v>
      </c>
      <c r="L2054" s="106">
        <v>3178</v>
      </c>
      <c r="M2054" s="106">
        <v>0.11</v>
      </c>
      <c r="N2054" s="106">
        <v>0.1</v>
      </c>
      <c r="O2054" s="106">
        <v>0.55000000000000004</v>
      </c>
      <c r="P2054" s="106">
        <v>41096</v>
      </c>
      <c r="Q2054" s="106">
        <v>25670.179823750539</v>
      </c>
      <c r="R2054" s="106">
        <v>0.46159758905882869</v>
      </c>
      <c r="S2054" s="106">
        <v>210246.53657484439</v>
      </c>
      <c r="T2054" s="106">
        <v>225882.43002403402</v>
      </c>
      <c r="U2054" s="106">
        <v>109233.31262968446</v>
      </c>
      <c r="V2054" s="106">
        <v>0.27410519763360991</v>
      </c>
      <c r="W2054" s="106">
        <v>147649.13921945813</v>
      </c>
      <c r="X2054" s="110">
        <v>0.41182898862409723</v>
      </c>
      <c r="Y2054" s="106">
        <v>134.1276518913063</v>
      </c>
      <c r="Z2054" s="106">
        <v>4.3947819806806896</v>
      </c>
      <c r="AA2054" s="106">
        <v>334945.00454306306</v>
      </c>
      <c r="AB2054" s="106">
        <v>3579.1023496334933</v>
      </c>
      <c r="AC2054" s="106">
        <v>0.29855647537249136</v>
      </c>
      <c r="AD2054" s="106">
        <v>35.929119424265053</v>
      </c>
      <c r="AE2054" s="106">
        <v>93.583522297808017</v>
      </c>
      <c r="AF2054" s="106">
        <v>4.1995462900465019E-2</v>
      </c>
      <c r="AG2054" s="106">
        <v>53292</v>
      </c>
      <c r="AH2054" s="106">
        <v>174146.72946324028</v>
      </c>
      <c r="AI2054" s="106">
        <v>211169.62094040797</v>
      </c>
      <c r="AJ2054" s="106">
        <v>243088.2017624946</v>
      </c>
      <c r="AK2054" s="104">
        <v>137380.23251371173</v>
      </c>
      <c r="AL2054" s="118"/>
      <c r="AM2054" s="118">
        <v>6310</v>
      </c>
      <c r="AN2054" s="118">
        <v>495244</v>
      </c>
      <c r="AO2054" s="118">
        <v>1415</v>
      </c>
      <c r="AP2054" s="118">
        <f t="shared" ref="AP2054:AP2117" si="32">J2054-AG2054</f>
        <v>1533</v>
      </c>
    </row>
    <row r="2055" spans="1:42" ht="12.75">
      <c r="A2055" s="106">
        <v>2018</v>
      </c>
      <c r="B2055" s="106">
        <v>-201955</v>
      </c>
      <c r="C2055" s="106">
        <v>0</v>
      </c>
      <c r="D2055" s="106">
        <v>201955</v>
      </c>
      <c r="E2055" s="106" t="s">
        <v>4213</v>
      </c>
      <c r="F2055" s="106" t="s">
        <v>4214</v>
      </c>
      <c r="G2055" s="106" t="s">
        <v>82</v>
      </c>
      <c r="H2055" s="106">
        <v>4</v>
      </c>
      <c r="I2055" s="106" t="s">
        <v>24</v>
      </c>
      <c r="J2055" s="106">
        <v>6010</v>
      </c>
      <c r="K2055" s="106">
        <v>12007</v>
      </c>
      <c r="L2055" s="106">
        <v>10822</v>
      </c>
      <c r="M2055" s="106">
        <v>0.48</v>
      </c>
      <c r="N2055" s="106">
        <v>0.5</v>
      </c>
      <c r="O2055" s="106">
        <v>0.34</v>
      </c>
      <c r="P2055" s="106">
        <v>1730</v>
      </c>
      <c r="Q2055" s="106">
        <v>298.80463298911525</v>
      </c>
      <c r="R2055" s="106">
        <v>3.9456377440214366E-2</v>
      </c>
      <c r="S2055" s="106">
        <v>11733.541166620151</v>
      </c>
      <c r="T2055" s="106">
        <v>8822.6843427295571</v>
      </c>
      <c r="U2055" s="106">
        <v>10231.008894786126</v>
      </c>
      <c r="V2055" s="106">
        <v>0.7109986043156965</v>
      </c>
      <c r="W2055" s="106">
        <v>48404.692789968649</v>
      </c>
      <c r="X2055" s="110">
        <v>0.48846179566930931</v>
      </c>
      <c r="Y2055" s="106">
        <v>494.59509202453984</v>
      </c>
      <c r="Z2055" s="106">
        <v>16.486196319018404</v>
      </c>
      <c r="AA2055" s="106">
        <v>46460.969417007211</v>
      </c>
      <c r="AB2055" s="106">
        <v>341.02728454227935</v>
      </c>
      <c r="AC2055" s="106">
        <v>2.1523442419476209</v>
      </c>
      <c r="AD2055" s="106">
        <v>21.00079850944903</v>
      </c>
      <c r="AE2055" s="106">
        <v>136.23827629911281</v>
      </c>
      <c r="AF2055" s="106"/>
      <c r="AG2055" s="106">
        <v>5274</v>
      </c>
      <c r="AH2055" s="106">
        <v>10899.504046888083</v>
      </c>
      <c r="AI2055" s="106">
        <v>11081.747139268769</v>
      </c>
      <c r="AJ2055" s="106">
        <v>11743.351939715323</v>
      </c>
      <c r="AK2055" s="104">
        <v>11011.217694669271</v>
      </c>
      <c r="AL2055" s="119">
        <v>11558397</v>
      </c>
      <c r="AM2055" s="118">
        <v>4779</v>
      </c>
      <c r="AN2055" s="118">
        <v>107492</v>
      </c>
      <c r="AO2055" s="118">
        <v>761</v>
      </c>
      <c r="AP2055" s="118">
        <f t="shared" si="32"/>
        <v>736</v>
      </c>
    </row>
    <row r="2056" spans="1:42" ht="12.75">
      <c r="A2056" s="106">
        <v>2018</v>
      </c>
      <c r="B2056" s="106">
        <v>-201946</v>
      </c>
      <c r="C2056" s="106">
        <v>0</v>
      </c>
      <c r="D2056" s="106">
        <v>201946</v>
      </c>
      <c r="E2056" s="106" t="s">
        <v>4215</v>
      </c>
      <c r="F2056" s="106" t="s">
        <v>1312</v>
      </c>
      <c r="G2056" s="106" t="s">
        <v>82</v>
      </c>
      <c r="H2056" s="106">
        <v>3</v>
      </c>
      <c r="I2056" s="104" t="s">
        <v>26</v>
      </c>
      <c r="J2056" s="106">
        <v>5316</v>
      </c>
      <c r="K2056" s="106">
        <v>11048</v>
      </c>
      <c r="L2056" s="106">
        <v>8690</v>
      </c>
      <c r="M2056" s="106">
        <v>0.44</v>
      </c>
      <c r="N2056" s="106">
        <v>0.48</v>
      </c>
      <c r="O2056" s="106">
        <v>0.37</v>
      </c>
      <c r="P2056" s="106">
        <v>1857</v>
      </c>
      <c r="Q2056" s="106">
        <v>1114.7716346153845</v>
      </c>
      <c r="R2056" s="106">
        <v>0.12156673489331896</v>
      </c>
      <c r="S2056" s="106">
        <v>13514.375</v>
      </c>
      <c r="T2056" s="106">
        <v>10884.357692307693</v>
      </c>
      <c r="U2056" s="106">
        <v>12423.65692885446</v>
      </c>
      <c r="V2056" s="106">
        <v>0.64838129972942071</v>
      </c>
      <c r="W2056" s="106">
        <v>40326.535135135135</v>
      </c>
      <c r="X2056" s="110">
        <v>0.43937488979421069</v>
      </c>
      <c r="Y2056" s="106">
        <v>385.90515463917524</v>
      </c>
      <c r="Z2056" s="106">
        <v>12.865979381443298</v>
      </c>
      <c r="AA2056" s="106">
        <v>51994.379098626305</v>
      </c>
      <c r="AB2056" s="106">
        <v>414.20155177305372</v>
      </c>
      <c r="AC2056" s="106">
        <v>1.9232848191208041</v>
      </c>
      <c r="AD2056" s="106">
        <v>24.506903353057201</v>
      </c>
      <c r="AE2056" s="106">
        <v>125.52917505030182</v>
      </c>
      <c r="AF2056" s="106"/>
      <c r="AG2056" s="106">
        <v>4580</v>
      </c>
      <c r="AH2056" s="106">
        <v>12596.029807692308</v>
      </c>
      <c r="AI2056" s="106">
        <v>12688.160096153846</v>
      </c>
      <c r="AJ2056" s="106">
        <v>13560.219230769231</v>
      </c>
      <c r="AK2056" s="104">
        <v>13906.783653846154</v>
      </c>
      <c r="AL2056" s="118">
        <v>8182559</v>
      </c>
      <c r="AM2056" s="118">
        <v>2799</v>
      </c>
      <c r="AN2056" s="118">
        <v>62388</v>
      </c>
      <c r="AO2056" s="118">
        <v>442</v>
      </c>
      <c r="AP2056" s="118">
        <f t="shared" si="32"/>
        <v>736</v>
      </c>
    </row>
    <row r="2057" spans="1:42" ht="12.75">
      <c r="A2057" s="106">
        <v>2018</v>
      </c>
      <c r="B2057" s="106">
        <v>-201885</v>
      </c>
      <c r="C2057" s="106">
        <v>0</v>
      </c>
      <c r="D2057" s="106">
        <v>201885</v>
      </c>
      <c r="E2057" s="106" t="s">
        <v>4216</v>
      </c>
      <c r="F2057" s="106" t="s">
        <v>737</v>
      </c>
      <c r="G2057" s="106" t="s">
        <v>82</v>
      </c>
      <c r="H2057" s="106">
        <v>1</v>
      </c>
      <c r="I2057" s="106" t="s">
        <v>23</v>
      </c>
      <c r="J2057" s="106">
        <v>11000</v>
      </c>
      <c r="K2057" s="106">
        <v>20085</v>
      </c>
      <c r="L2057" s="106">
        <v>17081</v>
      </c>
      <c r="M2057" s="106">
        <v>0.21</v>
      </c>
      <c r="N2057" s="106">
        <v>0.52</v>
      </c>
      <c r="O2057" s="106">
        <v>0.54</v>
      </c>
      <c r="P2057" s="106">
        <v>5757</v>
      </c>
      <c r="Q2057" s="106">
        <v>3022.9898320977527</v>
      </c>
      <c r="R2057" s="106">
        <v>0.19049663700938063</v>
      </c>
      <c r="S2057" s="106">
        <v>33455.502241626862</v>
      </c>
      <c r="T2057" s="106">
        <v>31170.182172473407</v>
      </c>
      <c r="U2057" s="106">
        <v>18152.994564615685</v>
      </c>
      <c r="V2057" s="106">
        <v>0.70765202373295177</v>
      </c>
      <c r="W2057" s="106">
        <v>77384.968952324896</v>
      </c>
      <c r="X2057" s="110">
        <v>0.49439324689460035</v>
      </c>
      <c r="Y2057" s="106">
        <v>331.45926372963186</v>
      </c>
      <c r="Z2057" s="106">
        <v>12.357392878696441</v>
      </c>
      <c r="AA2057" s="106">
        <v>58290.105900135444</v>
      </c>
      <c r="AB2057" s="106">
        <v>676.77603345784212</v>
      </c>
      <c r="AC2057" s="106">
        <v>1.7155570135920382</v>
      </c>
      <c r="AD2057" s="106">
        <v>33.710787578900621</v>
      </c>
      <c r="AE2057" s="106">
        <v>86.129092961987197</v>
      </c>
      <c r="AF2057" s="106">
        <v>0.15879951747658008</v>
      </c>
      <c r="AG2057" s="106">
        <v>9322</v>
      </c>
      <c r="AH2057" s="106">
        <v>30502.258534298355</v>
      </c>
      <c r="AI2057" s="106">
        <v>32536.536466727226</v>
      </c>
      <c r="AJ2057" s="106">
        <v>35799.840390306796</v>
      </c>
      <c r="AK2057" s="104">
        <v>31089.647669001086</v>
      </c>
      <c r="AL2057" s="118">
        <v>202214626</v>
      </c>
      <c r="AM2057" s="118">
        <v>26559</v>
      </c>
      <c r="AN2057" s="118">
        <v>915380</v>
      </c>
      <c r="AO2057" s="118">
        <v>5750</v>
      </c>
      <c r="AP2057" s="118">
        <f t="shared" si="32"/>
        <v>1678</v>
      </c>
    </row>
    <row r="2058" spans="1:42" ht="12.75">
      <c r="A2058" s="106">
        <v>2018</v>
      </c>
      <c r="B2058" s="106">
        <v>-126614</v>
      </c>
      <c r="C2058" s="106">
        <v>0</v>
      </c>
      <c r="D2058" s="106">
        <v>126614</v>
      </c>
      <c r="E2058" s="106" t="s">
        <v>3170</v>
      </c>
      <c r="F2058" s="106" t="s">
        <v>2129</v>
      </c>
      <c r="G2058" s="106" t="s">
        <v>66</v>
      </c>
      <c r="H2058" s="106">
        <v>1</v>
      </c>
      <c r="I2058" s="106" t="s">
        <v>23</v>
      </c>
      <c r="J2058" s="106">
        <v>12086</v>
      </c>
      <c r="K2058" s="106">
        <v>21466</v>
      </c>
      <c r="L2058" s="106">
        <v>13049</v>
      </c>
      <c r="M2058" s="106">
        <v>0.16</v>
      </c>
      <c r="N2058" s="106">
        <v>0.32</v>
      </c>
      <c r="O2058" s="106">
        <v>0.48</v>
      </c>
      <c r="P2058" s="106">
        <v>7696</v>
      </c>
      <c r="Q2058" s="106">
        <v>3256.9656431178869</v>
      </c>
      <c r="R2058" s="106">
        <v>0.13437858626234364</v>
      </c>
      <c r="S2058" s="106">
        <v>49685.688149943249</v>
      </c>
      <c r="T2058" s="106">
        <v>50666.51615080217</v>
      </c>
      <c r="U2058" s="106">
        <v>24101.127951322418</v>
      </c>
      <c r="V2058" s="106">
        <v>0.87050993631465856</v>
      </c>
      <c r="W2058" s="106">
        <v>123897.79322638146</v>
      </c>
      <c r="X2058" s="110">
        <v>0.58915442925138128</v>
      </c>
      <c r="Y2058" s="106">
        <v>349.1805899851264</v>
      </c>
      <c r="Z2058" s="106">
        <v>12.121591472483887</v>
      </c>
      <c r="AA2058" s="106">
        <v>99996.521583958194</v>
      </c>
      <c r="AB2058" s="106">
        <v>836.65597524890188</v>
      </c>
      <c r="AC2058" s="106">
        <v>1.0000347853703979</v>
      </c>
      <c r="AD2058" s="106">
        <v>24.709101201333418</v>
      </c>
      <c r="AE2058" s="106">
        <v>119.51928216876671</v>
      </c>
      <c r="AF2058" s="106">
        <v>1.0648209915282529E-2</v>
      </c>
      <c r="AG2058" s="106">
        <v>10248</v>
      </c>
      <c r="AH2058" s="106">
        <v>47278.513696739166</v>
      </c>
      <c r="AI2058" s="106">
        <v>49654.808797815887</v>
      </c>
      <c r="AJ2058" s="106">
        <v>49765.215436056322</v>
      </c>
      <c r="AK2058" s="104">
        <v>42187.857142857145</v>
      </c>
      <c r="AM2058" s="118">
        <v>29056</v>
      </c>
      <c r="AN2058" s="118">
        <v>939063</v>
      </c>
      <c r="AO2058" s="118">
        <v>5791</v>
      </c>
      <c r="AP2058" s="118">
        <f t="shared" si="32"/>
        <v>1838</v>
      </c>
    </row>
    <row r="2059" spans="1:42" ht="12.75">
      <c r="A2059" s="106">
        <v>2018</v>
      </c>
      <c r="B2059" s="106">
        <v>-126580</v>
      </c>
      <c r="C2059" s="106">
        <v>0</v>
      </c>
      <c r="D2059" s="106">
        <v>126580</v>
      </c>
      <c r="E2059" s="106" t="s">
        <v>3171</v>
      </c>
      <c r="F2059" s="106" t="s">
        <v>876</v>
      </c>
      <c r="G2059" s="106" t="s">
        <v>66</v>
      </c>
      <c r="H2059" s="106">
        <v>2</v>
      </c>
      <c r="I2059" s="106" t="s">
        <v>25</v>
      </c>
      <c r="J2059" s="106">
        <v>8314</v>
      </c>
      <c r="K2059" s="106">
        <v>15645</v>
      </c>
      <c r="L2059" s="106">
        <v>12183</v>
      </c>
      <c r="M2059" s="106">
        <v>0.31</v>
      </c>
      <c r="N2059" s="106">
        <v>0.47</v>
      </c>
      <c r="O2059" s="106">
        <v>0.56000000000000005</v>
      </c>
      <c r="P2059" s="106">
        <v>3614</v>
      </c>
      <c r="Q2059" s="106">
        <v>1528.4386721680421</v>
      </c>
      <c r="R2059" s="106">
        <v>0.10827544362186925</v>
      </c>
      <c r="S2059" s="106">
        <v>19816.237340585147</v>
      </c>
      <c r="T2059" s="106">
        <v>19944.322486871719</v>
      </c>
      <c r="U2059" s="106">
        <v>14825.112988891131</v>
      </c>
      <c r="V2059" s="106">
        <v>0.84908420144846475</v>
      </c>
      <c r="W2059" s="106">
        <v>100159.07454545455</v>
      </c>
      <c r="X2059" s="110">
        <v>0.60435254266901262</v>
      </c>
      <c r="Y2059" s="106">
        <v>531.67082860385926</v>
      </c>
      <c r="Z2059" s="106">
        <v>18.156640181611802</v>
      </c>
      <c r="AA2059" s="106">
        <v>67389.175154959521</v>
      </c>
      <c r="AB2059" s="106">
        <v>506.27987790466852</v>
      </c>
      <c r="AC2059" s="106">
        <v>1.4839178513470865</v>
      </c>
      <c r="AD2059" s="106">
        <v>22.823231831890261</v>
      </c>
      <c r="AE2059" s="106">
        <v>133.10656436487639</v>
      </c>
      <c r="AF2059" s="106">
        <v>5.9364057173484454E-2</v>
      </c>
      <c r="AG2059" s="106">
        <v>6888</v>
      </c>
      <c r="AH2059" s="106">
        <v>18789.189891222806</v>
      </c>
      <c r="AI2059" s="106">
        <v>20170.573705926483</v>
      </c>
      <c r="AJ2059" s="106">
        <v>19829.410821455363</v>
      </c>
      <c r="AK2059" s="104">
        <v>16600.797730682672</v>
      </c>
      <c r="AL2059" s="118"/>
      <c r="AM2059" s="118">
        <v>10808</v>
      </c>
      <c r="AN2059" s="118">
        <v>312268</v>
      </c>
      <c r="AO2059" s="118">
        <v>1781</v>
      </c>
      <c r="AP2059" s="118">
        <f t="shared" si="32"/>
        <v>1426</v>
      </c>
    </row>
    <row r="2060" spans="1:42" ht="12.75">
      <c r="A2060" s="106">
        <v>2018</v>
      </c>
      <c r="B2060" s="106">
        <v>2909</v>
      </c>
      <c r="C2060" s="106">
        <v>1</v>
      </c>
      <c r="D2060" s="106">
        <v>126562</v>
      </c>
      <c r="E2060" s="106" t="s">
        <v>3884</v>
      </c>
      <c r="F2060" s="106" t="s">
        <v>912</v>
      </c>
      <c r="G2060" s="106" t="s">
        <v>66</v>
      </c>
      <c r="H2060" s="106">
        <v>1</v>
      </c>
      <c r="I2060" s="106" t="s">
        <v>23</v>
      </c>
      <c r="J2060" s="106">
        <v>9107</v>
      </c>
      <c r="K2060" s="106">
        <v>14477</v>
      </c>
      <c r="L2060" s="106">
        <v>12099</v>
      </c>
      <c r="M2060" s="106">
        <v>0.43</v>
      </c>
      <c r="N2060" s="106">
        <v>0.37</v>
      </c>
      <c r="O2060" s="106">
        <v>0.51</v>
      </c>
      <c r="P2060" s="106">
        <v>2940</v>
      </c>
      <c r="Q2060" s="106">
        <v>1485.9927630157702</v>
      </c>
      <c r="R2060" s="106">
        <v>8.4221390039373456E-2</v>
      </c>
      <c r="S2060" s="106">
        <v>124102.01776841651</v>
      </c>
      <c r="T2060" s="106">
        <v>118077.62297472457</v>
      </c>
      <c r="U2060" s="106">
        <v>36170.168673005945</v>
      </c>
      <c r="V2060" s="106">
        <v>0.44671882135276758</v>
      </c>
      <c r="W2060" s="106">
        <v>142279.22656886716</v>
      </c>
      <c r="X2060" s="110">
        <v>0.71864398345262315</v>
      </c>
      <c r="Y2060" s="106">
        <v>89.577191722697307</v>
      </c>
      <c r="Z2060" s="106">
        <v>3.6260852536066324</v>
      </c>
      <c r="AA2060" s="106">
        <v>128275.5876555024</v>
      </c>
      <c r="AB2060" s="106">
        <v>1464.1686429696226</v>
      </c>
      <c r="AC2060" s="106">
        <v>0.77957156016747731</v>
      </c>
      <c r="AD2060" s="106">
        <v>29.827468007312614</v>
      </c>
      <c r="AE2060" s="106">
        <v>87.609844857307024</v>
      </c>
      <c r="AF2060" s="106">
        <v>0.12005588726909981</v>
      </c>
      <c r="AG2060" s="106">
        <v>7776</v>
      </c>
      <c r="AH2060" s="106">
        <v>119114.57987686325</v>
      </c>
      <c r="AI2060" s="106">
        <v>124706.62205659969</v>
      </c>
      <c r="AJ2060" s="106">
        <v>124510.92957442212</v>
      </c>
      <c r="AK2060" s="104">
        <v>64636.421311298334</v>
      </c>
      <c r="AL2060" s="118">
        <v>15651248</v>
      </c>
      <c r="AM2060" s="118">
        <v>15586</v>
      </c>
      <c r="AN2060" s="118">
        <v>457411</v>
      </c>
      <c r="AO2060" s="118">
        <v>2433</v>
      </c>
      <c r="AP2060" s="118">
        <f t="shared" si="32"/>
        <v>1331</v>
      </c>
    </row>
    <row r="2061" spans="1:42" ht="12.75">
      <c r="A2061" s="106">
        <v>2018</v>
      </c>
      <c r="B2061" s="106">
        <v>2050</v>
      </c>
      <c r="C2061" s="106">
        <v>1</v>
      </c>
      <c r="D2061" s="106">
        <v>129020</v>
      </c>
      <c r="E2061" s="106" t="s">
        <v>3885</v>
      </c>
      <c r="F2061" s="106" t="s">
        <v>3172</v>
      </c>
      <c r="G2061" s="106" t="s">
        <v>99</v>
      </c>
      <c r="H2061" s="106">
        <v>1</v>
      </c>
      <c r="I2061" s="106" t="s">
        <v>23</v>
      </c>
      <c r="J2061" s="106">
        <v>14880</v>
      </c>
      <c r="K2061" s="106">
        <v>19650</v>
      </c>
      <c r="L2061" s="106">
        <v>11789</v>
      </c>
      <c r="M2061" s="106">
        <v>0.28000000000000003</v>
      </c>
      <c r="N2061" s="106">
        <v>0.43</v>
      </c>
      <c r="O2061" s="106">
        <v>0.6</v>
      </c>
      <c r="P2061" s="106">
        <v>10328</v>
      </c>
      <c r="Q2061" s="106">
        <v>6705.4128602365481</v>
      </c>
      <c r="R2061" s="106">
        <v>0.31790793260103051</v>
      </c>
      <c r="S2061" s="106">
        <v>77913.946426786613</v>
      </c>
      <c r="T2061" s="106">
        <v>86326.122572047316</v>
      </c>
      <c r="U2061" s="106">
        <v>29386.902409719605</v>
      </c>
      <c r="V2061" s="106">
        <v>0.48956836452303409</v>
      </c>
      <c r="W2061" s="106">
        <v>180798.3088057015</v>
      </c>
      <c r="X2061" s="110">
        <v>0.63313540840760196</v>
      </c>
      <c r="Y2061" s="106">
        <v>310.89917541229386</v>
      </c>
      <c r="Z2061" s="106">
        <v>11.25</v>
      </c>
      <c r="AA2061" s="106">
        <v>100472.4770278772</v>
      </c>
      <c r="AB2061" s="106">
        <v>1063.3757766353747</v>
      </c>
      <c r="AC2061" s="106">
        <v>0.99529744819821542</v>
      </c>
      <c r="AD2061" s="106">
        <v>29.577844412250258</v>
      </c>
      <c r="AE2061" s="106">
        <v>94.484451532065151</v>
      </c>
      <c r="AF2061" s="106">
        <v>2.6220775132462421E-2</v>
      </c>
      <c r="AG2061" s="106">
        <v>11998</v>
      </c>
      <c r="AH2061" s="106">
        <v>77221.403698150927</v>
      </c>
      <c r="AI2061" s="106">
        <v>78068.918107612859</v>
      </c>
      <c r="AJ2061" s="106">
        <v>78142.821922372153</v>
      </c>
      <c r="AK2061" s="104">
        <v>42112.853973013494</v>
      </c>
      <c r="AL2061" s="118">
        <v>622500325</v>
      </c>
      <c r="AM2061" s="118">
        <v>23845</v>
      </c>
      <c r="AN2061" s="118">
        <v>829479</v>
      </c>
      <c r="AO2061" s="118">
        <v>5639</v>
      </c>
      <c r="AP2061" s="118">
        <f t="shared" si="32"/>
        <v>2882</v>
      </c>
    </row>
    <row r="2062" spans="1:42" ht="12.75">
      <c r="A2062" s="106">
        <v>2018</v>
      </c>
      <c r="B2062" s="106">
        <v>-224323</v>
      </c>
      <c r="C2062" s="106">
        <v>0</v>
      </c>
      <c r="D2062" s="106">
        <v>224323</v>
      </c>
      <c r="E2062" s="106" t="s">
        <v>3173</v>
      </c>
      <c r="F2062" s="106" t="s">
        <v>2220</v>
      </c>
      <c r="G2062" s="106" t="s">
        <v>60</v>
      </c>
      <c r="H2062" s="106">
        <v>6</v>
      </c>
      <c r="I2062" s="106" t="s">
        <v>3640</v>
      </c>
      <c r="J2062" s="106">
        <v>38716</v>
      </c>
      <c r="K2062" s="106">
        <v>25609</v>
      </c>
      <c r="L2062" s="106">
        <v>15940</v>
      </c>
      <c r="M2062" s="106">
        <v>0.24</v>
      </c>
      <c r="N2062" s="106">
        <v>0.52</v>
      </c>
      <c r="O2062" s="106">
        <v>1</v>
      </c>
      <c r="P2062" s="106">
        <v>26250</v>
      </c>
      <c r="Q2062" s="106">
        <v>17307.923771313941</v>
      </c>
      <c r="R2062" s="106">
        <v>0.47230129187650538</v>
      </c>
      <c r="S2062" s="106">
        <v>36072.216649949849</v>
      </c>
      <c r="T2062" s="106">
        <v>30941.825476429287</v>
      </c>
      <c r="U2062" s="106">
        <v>26148.858508239482</v>
      </c>
      <c r="V2062" s="106">
        <v>0.73953568703708372</v>
      </c>
      <c r="W2062" s="106">
        <v>82684.085510688834</v>
      </c>
      <c r="X2062" s="110">
        <v>0.56419981198742264</v>
      </c>
      <c r="Y2062" s="106">
        <v>327.42359767891679</v>
      </c>
      <c r="Z2062" s="106">
        <v>11.570599613152805</v>
      </c>
      <c r="AA2062" s="106">
        <v>75896.395728427262</v>
      </c>
      <c r="AB2062" s="106">
        <v>924.05670906017667</v>
      </c>
      <c r="AC2062" s="106">
        <v>1.3175856249856757</v>
      </c>
      <c r="AD2062" s="106">
        <v>34.332833583208391</v>
      </c>
      <c r="AE2062" s="106">
        <v>82.133915574963609</v>
      </c>
      <c r="AF2062" s="106">
        <v>0.13696229073157948</v>
      </c>
      <c r="AG2062" s="106">
        <v>36000</v>
      </c>
      <c r="AH2062" s="106">
        <v>34369.107321965901</v>
      </c>
      <c r="AI2062" s="106">
        <v>36710.130391173523</v>
      </c>
      <c r="AJ2062" s="106">
        <v>39327.983951855567</v>
      </c>
      <c r="AK2062" s="104">
        <v>26224.172517552659</v>
      </c>
      <c r="AL2062" s="118"/>
      <c r="AM2062" s="118">
        <v>1450</v>
      </c>
      <c r="AN2062" s="118">
        <v>56426</v>
      </c>
      <c r="AO2062" s="118">
        <v>260</v>
      </c>
      <c r="AP2062" s="118">
        <f t="shared" si="32"/>
        <v>2716</v>
      </c>
    </row>
    <row r="2063" spans="1:42" ht="12.75">
      <c r="A2063" s="106">
        <v>2018</v>
      </c>
      <c r="B2063" s="106">
        <v>-202480</v>
      </c>
      <c r="C2063" s="106">
        <v>0</v>
      </c>
      <c r="D2063" s="106">
        <v>202480</v>
      </c>
      <c r="E2063" s="106" t="s">
        <v>3174</v>
      </c>
      <c r="F2063" s="106" t="s">
        <v>473</v>
      </c>
      <c r="G2063" s="106" t="s">
        <v>82</v>
      </c>
      <c r="H2063" s="106">
        <v>5</v>
      </c>
      <c r="I2063" s="106" t="s">
        <v>3639</v>
      </c>
      <c r="J2063" s="106">
        <v>41750</v>
      </c>
      <c r="K2063" s="106">
        <v>34718</v>
      </c>
      <c r="L2063" s="106">
        <v>21924</v>
      </c>
      <c r="M2063" s="106">
        <v>0.14000000000000001</v>
      </c>
      <c r="N2063" s="106">
        <v>0.56999999999999995</v>
      </c>
      <c r="O2063" s="106">
        <v>0.94</v>
      </c>
      <c r="P2063" s="106">
        <v>22788</v>
      </c>
      <c r="Q2063" s="106">
        <v>17876.050420168067</v>
      </c>
      <c r="R2063" s="106">
        <v>0.48441547351342118</v>
      </c>
      <c r="S2063" s="106">
        <v>51754.679144385023</v>
      </c>
      <c r="T2063" s="106">
        <v>50334.129106187931</v>
      </c>
      <c r="U2063" s="106">
        <v>19656.053472558873</v>
      </c>
      <c r="V2063" s="106">
        <v>0.96795933785810939</v>
      </c>
      <c r="W2063" s="106">
        <v>99766.268583962941</v>
      </c>
      <c r="X2063" s="110">
        <v>0.51772816871213945</v>
      </c>
      <c r="Y2063" s="106">
        <v>393.99374161823874</v>
      </c>
      <c r="Z2063" s="106">
        <v>14.043808672329012</v>
      </c>
      <c r="AA2063" s="106">
        <v>72837.293688831051</v>
      </c>
      <c r="AB2063" s="106">
        <v>700.63512452733448</v>
      </c>
      <c r="AC2063" s="106">
        <v>1.3729230581686771</v>
      </c>
      <c r="AD2063" s="106">
        <v>27.638141809290957</v>
      </c>
      <c r="AE2063" s="106">
        <v>103.9589525831564</v>
      </c>
      <c r="AF2063" s="106">
        <v>8.844076665675403E-2</v>
      </c>
      <c r="AG2063" s="106">
        <v>41750</v>
      </c>
      <c r="AH2063" s="106">
        <v>45439.839572192512</v>
      </c>
      <c r="AI2063" s="106">
        <v>51908.040488922845</v>
      </c>
      <c r="AJ2063" s="106">
        <v>57345.206264323911</v>
      </c>
      <c r="AK2063" s="104">
        <v>38099.025974025972</v>
      </c>
      <c r="AL2063" s="118"/>
      <c r="AM2063" s="118">
        <v>8499</v>
      </c>
      <c r="AN2063" s="118">
        <v>293788</v>
      </c>
      <c r="AO2063" s="118">
        <v>1899</v>
      </c>
      <c r="AP2063" s="118">
        <f t="shared" si="32"/>
        <v>0</v>
      </c>
    </row>
    <row r="2064" spans="1:42" ht="12.75">
      <c r="A2064" s="106">
        <v>2018</v>
      </c>
      <c r="B2064" s="106">
        <v>-130943</v>
      </c>
      <c r="C2064" s="106">
        <v>0</v>
      </c>
      <c r="D2064" s="106">
        <v>130943</v>
      </c>
      <c r="E2064" s="106" t="s">
        <v>3175</v>
      </c>
      <c r="F2064" s="106" t="s">
        <v>676</v>
      </c>
      <c r="G2064" s="106" t="s">
        <v>1025</v>
      </c>
      <c r="H2064" s="106">
        <v>1</v>
      </c>
      <c r="I2064" s="106" t="s">
        <v>23</v>
      </c>
      <c r="J2064" s="106">
        <v>13160</v>
      </c>
      <c r="K2064" s="106">
        <v>15883</v>
      </c>
      <c r="L2064" s="106">
        <v>10397</v>
      </c>
      <c r="M2064" s="106">
        <v>0.16</v>
      </c>
      <c r="N2064" s="106">
        <v>0.53</v>
      </c>
      <c r="O2064" s="106">
        <v>0.7</v>
      </c>
      <c r="P2064" s="106">
        <v>9420</v>
      </c>
      <c r="Q2064" s="106">
        <v>6788.8324288840258</v>
      </c>
      <c r="R2064" s="106">
        <v>0.25416970990016469</v>
      </c>
      <c r="S2064" s="106">
        <v>43127.46945295405</v>
      </c>
      <c r="T2064" s="106">
        <v>44924.591203501092</v>
      </c>
      <c r="U2064" s="106">
        <v>27633.023556349235</v>
      </c>
      <c r="V2064" s="106">
        <v>0.72091308066310089</v>
      </c>
      <c r="W2064" s="106">
        <v>131474.70810339818</v>
      </c>
      <c r="X2064" s="110">
        <v>0.58795980378922541</v>
      </c>
      <c r="Y2064" s="106">
        <v>546.29037656903768</v>
      </c>
      <c r="Z2064" s="106">
        <v>19.12133891213389</v>
      </c>
      <c r="AA2064" s="106">
        <v>110079.25178915272</v>
      </c>
      <c r="AB2064" s="106">
        <v>967.21529657251574</v>
      </c>
      <c r="AC2064" s="106">
        <v>0.90843640717636187</v>
      </c>
      <c r="AD2064" s="106">
        <v>25.70583490185534</v>
      </c>
      <c r="AE2064" s="106">
        <v>113.81049511854951</v>
      </c>
      <c r="AF2064" s="106">
        <v>5.8907100193590793E-2</v>
      </c>
      <c r="AG2064" s="106">
        <v>11870</v>
      </c>
      <c r="AH2064" s="106">
        <v>39785.540131291025</v>
      </c>
      <c r="AI2064" s="106">
        <v>43585.738905908096</v>
      </c>
      <c r="AJ2064" s="106">
        <v>48222.723851203504</v>
      </c>
      <c r="AK2064" s="104">
        <v>39168.969890590808</v>
      </c>
      <c r="AL2064" s="118">
        <v>119621013</v>
      </c>
      <c r="AM2064" s="118">
        <v>19750</v>
      </c>
      <c r="AN2064" s="118">
        <v>652817</v>
      </c>
      <c r="AO2064" s="118">
        <v>4485</v>
      </c>
      <c r="AP2064" s="118">
        <f t="shared" si="32"/>
        <v>1290</v>
      </c>
    </row>
    <row r="2065" spans="1:42" ht="12.75">
      <c r="A2065" s="106">
        <v>2018</v>
      </c>
      <c r="B2065" s="106">
        <v>-127060</v>
      </c>
      <c r="C2065" s="106">
        <v>0</v>
      </c>
      <c r="D2065" s="106">
        <v>127060</v>
      </c>
      <c r="E2065" s="106" t="s">
        <v>3176</v>
      </c>
      <c r="F2065" s="106" t="s">
        <v>912</v>
      </c>
      <c r="G2065" s="106" t="s">
        <v>66</v>
      </c>
      <c r="H2065" s="106">
        <v>5</v>
      </c>
      <c r="I2065" s="106" t="s">
        <v>3639</v>
      </c>
      <c r="J2065" s="106">
        <v>48669</v>
      </c>
      <c r="K2065" s="106">
        <v>34337</v>
      </c>
      <c r="L2065" s="106">
        <v>16095</v>
      </c>
      <c r="M2065" s="106">
        <v>0.18</v>
      </c>
      <c r="N2065" s="106">
        <v>0.41</v>
      </c>
      <c r="O2065" s="106">
        <v>0.87</v>
      </c>
      <c r="P2065" s="106">
        <v>28980</v>
      </c>
      <c r="Q2065" s="106">
        <v>16667.988968140751</v>
      </c>
      <c r="R2065" s="106">
        <v>0.36828171334083382</v>
      </c>
      <c r="S2065" s="106">
        <v>43685.603613884923</v>
      </c>
      <c r="T2065" s="106">
        <v>43800.746077032811</v>
      </c>
      <c r="U2065" s="106">
        <v>35308.965152388111</v>
      </c>
      <c r="V2065" s="106">
        <v>0.80973238468194741</v>
      </c>
      <c r="W2065" s="106">
        <v>108408.47820378152</v>
      </c>
      <c r="X2065" s="110">
        <v>0.59755535618442612</v>
      </c>
      <c r="Y2065" s="106">
        <v>425.54182983268066</v>
      </c>
      <c r="Z2065" s="106">
        <v>11.229975080099679</v>
      </c>
      <c r="AA2065" s="106">
        <v>89291.430634285949</v>
      </c>
      <c r="AB2065" s="106">
        <v>931.79746611827613</v>
      </c>
      <c r="AC2065" s="106">
        <v>1.119928298714056</v>
      </c>
      <c r="AD2065" s="106">
        <v>43.362185837939307</v>
      </c>
      <c r="AE2065" s="106">
        <v>95.827080327080324</v>
      </c>
      <c r="AF2065" s="106">
        <v>4.5094152031072754E-2</v>
      </c>
      <c r="AG2065" s="106">
        <v>47520</v>
      </c>
      <c r="AH2065" s="106">
        <v>39180.116500237753</v>
      </c>
      <c r="AI2065" s="106">
        <v>43882.251545411316</v>
      </c>
      <c r="AJ2065" s="106">
        <v>49665.217593913454</v>
      </c>
      <c r="AK2065" s="104">
        <v>39410.757394198765</v>
      </c>
      <c r="AL2065" s="118"/>
      <c r="AM2065" s="118">
        <v>5765</v>
      </c>
      <c r="AN2065" s="118">
        <v>398449</v>
      </c>
      <c r="AO2065" s="118">
        <v>1332</v>
      </c>
      <c r="AP2065" s="118">
        <f t="shared" si="32"/>
        <v>1149</v>
      </c>
    </row>
    <row r="2066" spans="1:42" ht="12.75">
      <c r="A2066" s="106">
        <v>2018</v>
      </c>
      <c r="B2066" s="106">
        <v>-169716</v>
      </c>
      <c r="C2066" s="106">
        <v>0</v>
      </c>
      <c r="D2066" s="106">
        <v>169716</v>
      </c>
      <c r="E2066" s="106" t="s">
        <v>3177</v>
      </c>
      <c r="F2066" s="106" t="s">
        <v>1901</v>
      </c>
      <c r="G2066" s="106" t="s">
        <v>74</v>
      </c>
      <c r="H2066" s="106">
        <v>6</v>
      </c>
      <c r="I2066" s="106" t="s">
        <v>3640</v>
      </c>
      <c r="J2066" s="106">
        <v>41158</v>
      </c>
      <c r="K2066" s="106">
        <v>22016</v>
      </c>
      <c r="L2066" s="106">
        <v>15859</v>
      </c>
      <c r="M2066" s="106">
        <v>0.33</v>
      </c>
      <c r="N2066" s="106">
        <v>0.51</v>
      </c>
      <c r="O2066" s="106">
        <v>1</v>
      </c>
      <c r="P2066" s="106">
        <v>29049</v>
      </c>
      <c r="Q2066" s="106">
        <v>14433.281481481481</v>
      </c>
      <c r="R2066" s="106">
        <v>0.36631802061305324</v>
      </c>
      <c r="S2066" s="106">
        <v>35111.591769547325</v>
      </c>
      <c r="T2066" s="106">
        <v>35248.12283950617</v>
      </c>
      <c r="U2066" s="106">
        <v>31011.274456481417</v>
      </c>
      <c r="V2066" s="106">
        <v>0.80511615279070881</v>
      </c>
      <c r="W2066" s="106">
        <v>119967.96403121819</v>
      </c>
      <c r="X2066" s="110">
        <v>0.68794213055515896</v>
      </c>
      <c r="Y2066" s="106">
        <v>229.56189047261816</v>
      </c>
      <c r="Z2066" s="106">
        <v>10.937734433608403</v>
      </c>
      <c r="AA2066" s="106">
        <v>95328.775369070005</v>
      </c>
      <c r="AB2066" s="106">
        <v>1477.5670463177162</v>
      </c>
      <c r="AC2066" s="106">
        <v>1.0490012025523785</v>
      </c>
      <c r="AD2066" s="106">
        <v>35.972696245733786</v>
      </c>
      <c r="AE2066" s="106">
        <v>64.51739405439595</v>
      </c>
      <c r="AF2066" s="106">
        <v>2.1570970150616708E-2</v>
      </c>
      <c r="AG2066" s="106">
        <v>41158</v>
      </c>
      <c r="AH2066" s="106">
        <v>32598.38086419753</v>
      </c>
      <c r="AI2066" s="106">
        <v>36182.704320987657</v>
      </c>
      <c r="AJ2066" s="106">
        <v>35898.927983539092</v>
      </c>
      <c r="AK2066" s="104">
        <v>32430.820576131686</v>
      </c>
      <c r="AL2066" s="118"/>
      <c r="AM2066" s="118">
        <v>2843</v>
      </c>
      <c r="AN2066" s="118">
        <v>102002</v>
      </c>
      <c r="AO2066" s="118">
        <v>699</v>
      </c>
      <c r="AP2066" s="118">
        <f t="shared" si="32"/>
        <v>0</v>
      </c>
    </row>
    <row r="2067" spans="1:42" ht="12.75">
      <c r="A2067" s="106">
        <v>2018</v>
      </c>
      <c r="B2067" s="106">
        <v>-153278</v>
      </c>
      <c r="C2067" s="106">
        <v>0</v>
      </c>
      <c r="D2067" s="106">
        <v>153278</v>
      </c>
      <c r="E2067" s="106" t="s">
        <v>3178</v>
      </c>
      <c r="F2067" s="106" t="s">
        <v>763</v>
      </c>
      <c r="G2067" s="106" t="s">
        <v>447</v>
      </c>
      <c r="H2067" s="106">
        <v>6</v>
      </c>
      <c r="I2067" s="106" t="s">
        <v>3640</v>
      </c>
      <c r="J2067" s="106">
        <v>29710</v>
      </c>
      <c r="K2067" s="106">
        <v>21452</v>
      </c>
      <c r="L2067" s="106">
        <v>20548</v>
      </c>
      <c r="M2067" s="106">
        <v>0.56000000000000005</v>
      </c>
      <c r="N2067" s="106">
        <v>0.83</v>
      </c>
      <c r="O2067" s="106">
        <v>0.91</v>
      </c>
      <c r="P2067" s="106">
        <v>15144</v>
      </c>
      <c r="Q2067" s="106">
        <v>10372.733419465978</v>
      </c>
      <c r="R2067" s="106">
        <v>0.36227650766551661</v>
      </c>
      <c r="S2067" s="106">
        <v>22203.475021533162</v>
      </c>
      <c r="T2067" s="106">
        <v>25820.341515934539</v>
      </c>
      <c r="U2067" s="106">
        <v>22124.758397932816</v>
      </c>
      <c r="V2067" s="106">
        <v>0.82529064634622595</v>
      </c>
      <c r="W2067" s="106">
        <v>67607.521704814528</v>
      </c>
      <c r="X2067" s="110">
        <v>0.47624033912328634</v>
      </c>
      <c r="Y2067" s="106">
        <v>460.35240274599545</v>
      </c>
      <c r="Z2067" s="106">
        <v>15.94050343249428</v>
      </c>
      <c r="AA2067" s="106">
        <v>91902.842576028619</v>
      </c>
      <c r="AB2067" s="106">
        <v>766.10827939992248</v>
      </c>
      <c r="AC2067" s="106">
        <v>1.0881056254301691</v>
      </c>
      <c r="AD2067" s="106">
        <v>26.343072573044296</v>
      </c>
      <c r="AE2067" s="106">
        <v>119.96064400715564</v>
      </c>
      <c r="AF2067" s="106">
        <v>7.2183769661061964E-2</v>
      </c>
      <c r="AG2067" s="106">
        <v>28360</v>
      </c>
      <c r="AH2067" s="106">
        <v>20264.74375538329</v>
      </c>
      <c r="AI2067" s="106">
        <v>22270.032299741601</v>
      </c>
      <c r="AJ2067" s="106">
        <v>29702.527131782947</v>
      </c>
      <c r="AK2067" s="104">
        <v>22124.758397932816</v>
      </c>
      <c r="AL2067" s="118"/>
      <c r="AM2067" s="118">
        <v>1958</v>
      </c>
      <c r="AN2067" s="118">
        <v>67058</v>
      </c>
      <c r="AO2067" s="118">
        <v>381</v>
      </c>
      <c r="AP2067" s="118">
        <f t="shared" si="32"/>
        <v>1350</v>
      </c>
    </row>
    <row r="2068" spans="1:42" ht="12.75">
      <c r="A2068" s="106">
        <v>2018</v>
      </c>
      <c r="B2068" s="106">
        <v>-150534</v>
      </c>
      <c r="C2068" s="106">
        <v>0</v>
      </c>
      <c r="D2068" s="106">
        <v>150534</v>
      </c>
      <c r="E2068" s="106" t="s">
        <v>3179</v>
      </c>
      <c r="F2068" s="106" t="s">
        <v>3180</v>
      </c>
      <c r="G2068" s="106" t="s">
        <v>161</v>
      </c>
      <c r="H2068" s="106">
        <v>6</v>
      </c>
      <c r="I2068" s="106" t="s">
        <v>3640</v>
      </c>
      <c r="J2068" s="106">
        <v>35396</v>
      </c>
      <c r="K2068" s="106">
        <v>23038</v>
      </c>
      <c r="L2068" s="106">
        <v>15866</v>
      </c>
      <c r="M2068" s="106">
        <v>0.24</v>
      </c>
      <c r="N2068" s="106">
        <v>0.54</v>
      </c>
      <c r="O2068" s="106">
        <v>0.99</v>
      </c>
      <c r="P2068" s="106">
        <v>23157</v>
      </c>
      <c r="Q2068" s="106">
        <v>16287.015438054805</v>
      </c>
      <c r="R2068" s="106">
        <v>0.54190479852124018</v>
      </c>
      <c r="S2068" s="106">
        <v>27703.384021613278</v>
      </c>
      <c r="T2068" s="106">
        <v>28244.565418757236</v>
      </c>
      <c r="U2068" s="106">
        <v>22597.821584642596</v>
      </c>
      <c r="V2068" s="106">
        <v>0.60926703172968788</v>
      </c>
      <c r="W2068" s="106">
        <v>81060.743672939658</v>
      </c>
      <c r="X2068" s="110">
        <v>0.56897037972719644</v>
      </c>
      <c r="Y2068" s="106">
        <v>354.54009819967268</v>
      </c>
      <c r="Z2068" s="106">
        <v>12.721767594108019</v>
      </c>
      <c r="AA2068" s="106">
        <v>113912.36522530927</v>
      </c>
      <c r="AB2068" s="106">
        <v>810.86521889276764</v>
      </c>
      <c r="AC2068" s="106">
        <v>0.87786782235807548</v>
      </c>
      <c r="AD2068" s="106">
        <v>22.145626884963381</v>
      </c>
      <c r="AE2068" s="106">
        <v>140.48249027237355</v>
      </c>
      <c r="AF2068" s="106">
        <v>6.1094772027051235E-2</v>
      </c>
      <c r="AG2068" s="106">
        <v>34300</v>
      </c>
      <c r="AH2068" s="106">
        <v>22694.318023928983</v>
      </c>
      <c r="AI2068" s="106">
        <v>27784.972597452721</v>
      </c>
      <c r="AJ2068" s="106">
        <v>30113.019297568506</v>
      </c>
      <c r="AK2068" s="104">
        <v>22907.519490544193</v>
      </c>
      <c r="AM2068" s="118">
        <v>2342</v>
      </c>
      <c r="AN2068" s="118">
        <v>72208</v>
      </c>
      <c r="AO2068" s="118">
        <v>449</v>
      </c>
      <c r="AP2068" s="118">
        <f t="shared" si="32"/>
        <v>1096</v>
      </c>
    </row>
    <row r="2069" spans="1:42" ht="12.75">
      <c r="A2069" s="106">
        <v>2018</v>
      </c>
      <c r="B2069" s="106">
        <v>-134130</v>
      </c>
      <c r="C2069" s="106">
        <v>0</v>
      </c>
      <c r="D2069" s="106">
        <v>134130</v>
      </c>
      <c r="E2069" s="106" t="s">
        <v>3181</v>
      </c>
      <c r="F2069" s="106" t="s">
        <v>438</v>
      </c>
      <c r="G2069" s="106" t="s">
        <v>258</v>
      </c>
      <c r="H2069" s="106">
        <v>1</v>
      </c>
      <c r="I2069" s="106" t="s">
        <v>23</v>
      </c>
      <c r="J2069" s="106">
        <v>6381</v>
      </c>
      <c r="K2069" s="106">
        <v>11313</v>
      </c>
      <c r="L2069" s="106">
        <v>3397</v>
      </c>
      <c r="M2069" s="106">
        <v>0.24</v>
      </c>
      <c r="N2069" s="106">
        <v>0.19</v>
      </c>
      <c r="O2069" s="106">
        <v>0.3</v>
      </c>
      <c r="P2069" s="106">
        <v>3888</v>
      </c>
      <c r="Q2069" s="106">
        <v>2372.7330218894713</v>
      </c>
      <c r="R2069" s="106">
        <v>0.19600966659026869</v>
      </c>
      <c r="S2069" s="106">
        <v>61753.177339399008</v>
      </c>
      <c r="T2069" s="106">
        <v>62360.778473653074</v>
      </c>
      <c r="U2069" s="106">
        <v>19736.697282657875</v>
      </c>
      <c r="V2069" s="106">
        <v>0.49311445288975042</v>
      </c>
      <c r="W2069" s="106">
        <v>146781.13286130779</v>
      </c>
      <c r="X2069" s="110">
        <v>0.69173168702686383</v>
      </c>
      <c r="Y2069" s="106">
        <v>258.86859553948159</v>
      </c>
      <c r="Z2069" s="106">
        <v>9.8491058870805706</v>
      </c>
      <c r="AA2069" s="106">
        <v>63353.622166106106</v>
      </c>
      <c r="AB2069" s="106">
        <v>750.9169700289325</v>
      </c>
      <c r="AC2069" s="106">
        <v>1.5784417146317411</v>
      </c>
      <c r="AD2069" s="106">
        <v>32.347645576055413</v>
      </c>
      <c r="AE2069" s="106">
        <v>84.368345229520003</v>
      </c>
      <c r="AF2069" s="106">
        <v>6.4064852649852108E-2</v>
      </c>
      <c r="AG2069" s="106">
        <v>4477</v>
      </c>
      <c r="AH2069" s="106">
        <v>59798.62910300088</v>
      </c>
      <c r="AI2069" s="106">
        <v>62376.50706868765</v>
      </c>
      <c r="AJ2069" s="106">
        <v>62898.651543279135</v>
      </c>
      <c r="AK2069" s="104">
        <v>57804.035170036106</v>
      </c>
      <c r="AL2069" s="119">
        <v>761034000</v>
      </c>
      <c r="AM2069" s="118">
        <v>35247</v>
      </c>
      <c r="AN2069" s="118">
        <v>1288389</v>
      </c>
      <c r="AO2069" s="118">
        <v>8935</v>
      </c>
      <c r="AP2069" s="118">
        <f t="shared" si="32"/>
        <v>1904</v>
      </c>
    </row>
    <row r="2070" spans="1:42">
      <c r="A2070" s="106">
        <v>2018</v>
      </c>
      <c r="B2070" s="106">
        <v>-139959</v>
      </c>
      <c r="C2070" s="106">
        <v>0</v>
      </c>
      <c r="D2070" s="106">
        <v>139959</v>
      </c>
      <c r="E2070" s="106" t="s">
        <v>3182</v>
      </c>
      <c r="F2070" s="106" t="s">
        <v>227</v>
      </c>
      <c r="G2070" s="106" t="s">
        <v>63</v>
      </c>
      <c r="H2070" s="106">
        <v>1</v>
      </c>
      <c r="I2070" s="106" t="s">
        <v>23</v>
      </c>
      <c r="J2070" s="106">
        <v>11818</v>
      </c>
      <c r="K2070" s="107">
        <v>15539</v>
      </c>
      <c r="L2070" s="107">
        <v>9023</v>
      </c>
      <c r="M2070" s="107">
        <v>0.2</v>
      </c>
      <c r="N2070" s="107">
        <v>0.33</v>
      </c>
      <c r="O2070" s="107">
        <v>0.21</v>
      </c>
      <c r="P2070" s="107">
        <v>7235</v>
      </c>
      <c r="Q2070" s="108">
        <v>3693.1511191615991</v>
      </c>
      <c r="R2070" s="107">
        <v>0.23581596742172689</v>
      </c>
      <c r="S2070" s="107">
        <v>41694.490360978132</v>
      </c>
      <c r="T2070" s="107">
        <v>40779.492534609912</v>
      </c>
      <c r="U2070" s="107">
        <v>13551.764162734013</v>
      </c>
      <c r="V2070" s="107">
        <v>0.88313275774098376</v>
      </c>
      <c r="W2070" s="107">
        <v>98642.047099589312</v>
      </c>
      <c r="X2070" s="111">
        <v>0.65030130913925355</v>
      </c>
      <c r="Y2070" s="107">
        <v>367.70706598034627</v>
      </c>
      <c r="Z2070" s="107">
        <v>13.562821712681329</v>
      </c>
      <c r="AA2070" s="107">
        <v>46634.721822694206</v>
      </c>
      <c r="AB2070" s="107">
        <v>499.85485250721177</v>
      </c>
      <c r="AC2070" s="107">
        <v>2.1443250027351133</v>
      </c>
      <c r="AD2070" s="107">
        <v>31.763541224720694</v>
      </c>
      <c r="AE2070" s="107">
        <v>93.296527159394472</v>
      </c>
      <c r="AF2070" s="106">
        <v>6.9637608342968602E-2</v>
      </c>
      <c r="AG2070" s="107">
        <v>9552</v>
      </c>
      <c r="AH2070" s="107">
        <v>38835.396015008409</v>
      </c>
      <c r="AI2070" s="107">
        <v>40834.444611204555</v>
      </c>
      <c r="AJ2070" s="107">
        <v>41949.399896493727</v>
      </c>
      <c r="AK2070" s="104">
        <v>34529.909069737354</v>
      </c>
      <c r="AL2070" s="118">
        <v>479489175</v>
      </c>
      <c r="AM2070" s="118">
        <v>28848</v>
      </c>
      <c r="AN2070" s="118">
        <v>1047720</v>
      </c>
      <c r="AO2070" s="118">
        <v>7450</v>
      </c>
      <c r="AP2070" s="118">
        <f t="shared" si="32"/>
        <v>2266</v>
      </c>
    </row>
    <row r="2071" spans="1:42" ht="12.75">
      <c r="A2071" s="106">
        <v>2018</v>
      </c>
      <c r="B2071" s="106">
        <v>-129525</v>
      </c>
      <c r="C2071" s="106">
        <v>0</v>
      </c>
      <c r="D2071" s="106">
        <v>129525</v>
      </c>
      <c r="E2071" s="106" t="s">
        <v>3183</v>
      </c>
      <c r="F2071" s="106" t="s">
        <v>3184</v>
      </c>
      <c r="G2071" s="106" t="s">
        <v>99</v>
      </c>
      <c r="H2071" s="106">
        <v>5</v>
      </c>
      <c r="I2071" s="106" t="s">
        <v>3639</v>
      </c>
      <c r="J2071" s="106">
        <v>38910</v>
      </c>
      <c r="K2071" s="106">
        <v>29819</v>
      </c>
      <c r="L2071" s="106">
        <v>25554</v>
      </c>
      <c r="M2071" s="106">
        <v>0.36</v>
      </c>
      <c r="N2071" s="106">
        <v>0.76</v>
      </c>
      <c r="O2071" s="106">
        <v>0.99</v>
      </c>
      <c r="P2071" s="106">
        <v>21640</v>
      </c>
      <c r="Q2071" s="106">
        <v>13793.876958174906</v>
      </c>
      <c r="R2071" s="106">
        <v>0.46649614309536802</v>
      </c>
      <c r="S2071" s="106">
        <v>27347.805475285171</v>
      </c>
      <c r="T2071" s="106">
        <v>27612.471482889734</v>
      </c>
      <c r="U2071" s="106">
        <v>21605.670796946364</v>
      </c>
      <c r="V2071" s="106">
        <v>0.73014329143546908</v>
      </c>
      <c r="W2071" s="106">
        <v>84609.69661308841</v>
      </c>
      <c r="X2071" s="110">
        <v>0.54122268551158892</v>
      </c>
      <c r="Y2071" s="106">
        <v>356.41410842586544</v>
      </c>
      <c r="Z2071" s="106">
        <v>12.883736120182887</v>
      </c>
      <c r="AA2071" s="106">
        <v>84709.174412595312</v>
      </c>
      <c r="AB2071" s="106">
        <v>781.00657259839647</v>
      </c>
      <c r="AC2071" s="106">
        <v>1.1805096755273194</v>
      </c>
      <c r="AD2071" s="106">
        <v>29.576719576719579</v>
      </c>
      <c r="AE2071" s="106">
        <v>108.46153846153847</v>
      </c>
      <c r="AF2071" s="106">
        <v>6.0941354284003248E-2</v>
      </c>
      <c r="AG2071" s="106">
        <v>36088</v>
      </c>
      <c r="AH2071" s="106">
        <v>25557.726083650192</v>
      </c>
      <c r="AI2071" s="106">
        <v>27602.266463878328</v>
      </c>
      <c r="AJ2071" s="106">
        <v>29362.433460076045</v>
      </c>
      <c r="AK2071" s="104">
        <v>22314.372623574145</v>
      </c>
      <c r="AL2071" s="118"/>
      <c r="AM2071" s="118">
        <v>5069</v>
      </c>
      <c r="AN2071" s="118">
        <v>181890</v>
      </c>
      <c r="AO2071" s="118">
        <v>1072</v>
      </c>
      <c r="AP2071" s="118">
        <f t="shared" si="32"/>
        <v>2822</v>
      </c>
    </row>
    <row r="2072" spans="1:42" ht="12.75">
      <c r="A2072" s="106">
        <v>2018</v>
      </c>
      <c r="B2072" s="106">
        <v>-141565</v>
      </c>
      <c r="C2072" s="106">
        <v>0</v>
      </c>
      <c r="D2072" s="106">
        <v>141565</v>
      </c>
      <c r="E2072" s="106" t="s">
        <v>3187</v>
      </c>
      <c r="F2072" s="106" t="s">
        <v>1446</v>
      </c>
      <c r="G2072" s="106" t="s">
        <v>453</v>
      </c>
      <c r="H2072" s="106">
        <v>2</v>
      </c>
      <c r="I2072" s="106" t="s">
        <v>25</v>
      </c>
      <c r="J2072" s="106">
        <v>7648</v>
      </c>
      <c r="K2072" s="106">
        <v>15343</v>
      </c>
      <c r="L2072" s="106">
        <v>12702</v>
      </c>
      <c r="M2072" s="106">
        <v>0.44</v>
      </c>
      <c r="N2072" s="106">
        <v>0.49</v>
      </c>
      <c r="O2072" s="106">
        <v>0.56999999999999995</v>
      </c>
      <c r="P2072" s="106">
        <v>4183</v>
      </c>
      <c r="Q2072" s="106">
        <v>2879.1432168712622</v>
      </c>
      <c r="R2072" s="106">
        <v>0.2415178144722091</v>
      </c>
      <c r="S2072" s="106">
        <v>35110.408876298396</v>
      </c>
      <c r="T2072" s="106">
        <v>37307.631098520615</v>
      </c>
      <c r="U2072" s="106">
        <v>24260.090505023276</v>
      </c>
      <c r="V2072" s="106">
        <v>0.37270658561748249</v>
      </c>
      <c r="W2072" s="106">
        <v>141723.01587301589</v>
      </c>
      <c r="X2072" s="110">
        <v>0.67796700115883102</v>
      </c>
      <c r="Y2072" s="106">
        <v>328.44293478260869</v>
      </c>
      <c r="Z2072" s="106">
        <v>12.949728260869565</v>
      </c>
      <c r="AA2072" s="106">
        <v>81819.859378406531</v>
      </c>
      <c r="AB2072" s="106">
        <v>956.5180016190393</v>
      </c>
      <c r="AC2072" s="106">
        <v>1.2221971628857564</v>
      </c>
      <c r="AD2072" s="106">
        <v>30.814524043179585</v>
      </c>
      <c r="AE2072" s="106">
        <v>85.539278131634816</v>
      </c>
      <c r="AF2072" s="106">
        <v>-1.780652857522189E-2</v>
      </c>
      <c r="AG2072" s="106">
        <v>7200</v>
      </c>
      <c r="AH2072" s="106">
        <v>34580.614730878187</v>
      </c>
      <c r="AI2072" s="106">
        <v>34580.614730878187</v>
      </c>
      <c r="AJ2072" s="106">
        <v>35200.202706956246</v>
      </c>
      <c r="AK2072" s="104">
        <v>30650.077746301544</v>
      </c>
      <c r="AL2072" s="118">
        <v>36703927</v>
      </c>
      <c r="AM2072" s="118">
        <v>2971</v>
      </c>
      <c r="AN2072" s="118">
        <v>80578</v>
      </c>
      <c r="AO2072" s="118">
        <v>785</v>
      </c>
      <c r="AP2072" s="118">
        <f t="shared" si="32"/>
        <v>448</v>
      </c>
    </row>
    <row r="2073" spans="1:42" ht="12.75">
      <c r="A2073" s="106">
        <v>2018</v>
      </c>
      <c r="B2073" s="106">
        <v>-141574</v>
      </c>
      <c r="C2073" s="106">
        <v>0</v>
      </c>
      <c r="D2073" s="106">
        <v>141574</v>
      </c>
      <c r="E2073" s="106" t="s">
        <v>3188</v>
      </c>
      <c r="F2073" s="106" t="s">
        <v>703</v>
      </c>
      <c r="G2073" s="106" t="s">
        <v>453</v>
      </c>
      <c r="H2073" s="106">
        <v>1</v>
      </c>
      <c r="I2073" s="106" t="s">
        <v>23</v>
      </c>
      <c r="J2073" s="106">
        <v>11754</v>
      </c>
      <c r="K2073" s="106">
        <v>15712</v>
      </c>
      <c r="L2073" s="106">
        <v>11391</v>
      </c>
      <c r="M2073" s="106">
        <v>0.28000000000000003</v>
      </c>
      <c r="N2073" s="106">
        <v>0.37</v>
      </c>
      <c r="O2073" s="106">
        <v>0.63</v>
      </c>
      <c r="P2073" s="106">
        <v>5522</v>
      </c>
      <c r="Q2073" s="106">
        <v>4915.9841064737047</v>
      </c>
      <c r="R2073" s="106">
        <v>0.29251868834749073</v>
      </c>
      <c r="S2073" s="106">
        <v>63673.00103372529</v>
      </c>
      <c r="T2073" s="106">
        <v>66150.416720506531</v>
      </c>
      <c r="U2073" s="106">
        <v>30734.386970911659</v>
      </c>
      <c r="V2073" s="106">
        <v>0.38685415876273871</v>
      </c>
      <c r="W2073" s="106">
        <v>166192.2937633727</v>
      </c>
      <c r="X2073" s="110">
        <v>0.68275853969252043</v>
      </c>
      <c r="Y2073" s="106">
        <v>262.79601577090682</v>
      </c>
      <c r="Z2073" s="106">
        <v>9.6356090475202336</v>
      </c>
      <c r="AA2073" s="106">
        <v>100657.39346927013</v>
      </c>
      <c r="AB2073" s="106">
        <v>1126.8988850465266</v>
      </c>
      <c r="AC2073" s="106">
        <v>0.99346899967690072</v>
      </c>
      <c r="AD2073" s="106">
        <v>31.620500468352734</v>
      </c>
      <c r="AE2073" s="106">
        <v>89.322471434617015</v>
      </c>
      <c r="AF2073" s="106">
        <v>-1.7476126374463784E-2</v>
      </c>
      <c r="AG2073" s="106">
        <v>10872</v>
      </c>
      <c r="AH2073" s="106">
        <v>63285.874143946246</v>
      </c>
      <c r="AI2073" s="106">
        <v>63483.183873885515</v>
      </c>
      <c r="AJ2073" s="106">
        <v>63966.477322651503</v>
      </c>
      <c r="AK2073" s="104">
        <v>54881.225804367488</v>
      </c>
      <c r="AL2073" s="118">
        <v>244416553</v>
      </c>
      <c r="AM2073" s="118">
        <v>12881</v>
      </c>
      <c r="AN2073" s="118">
        <v>422138</v>
      </c>
      <c r="AO2073" s="118">
        <v>3273</v>
      </c>
      <c r="AP2073" s="118">
        <f t="shared" si="32"/>
        <v>882</v>
      </c>
    </row>
    <row r="2074" spans="1:42" ht="12.75">
      <c r="A2074" s="106">
        <v>2018</v>
      </c>
      <c r="B2074" s="106">
        <v>-141839</v>
      </c>
      <c r="C2074" s="106">
        <v>0</v>
      </c>
      <c r="D2074" s="106">
        <v>141839</v>
      </c>
      <c r="E2074" s="106" t="s">
        <v>3185</v>
      </c>
      <c r="F2074" s="106" t="s">
        <v>3186</v>
      </c>
      <c r="G2074" s="106" t="s">
        <v>453</v>
      </c>
      <c r="H2074" s="106">
        <v>4</v>
      </c>
      <c r="I2074" s="106" t="s">
        <v>24</v>
      </c>
      <c r="J2074" s="106">
        <v>3158</v>
      </c>
      <c r="K2074" s="106">
        <v>10373</v>
      </c>
      <c r="L2074" s="106">
        <v>9186</v>
      </c>
      <c r="M2074" s="106">
        <v>0.45</v>
      </c>
      <c r="N2074" s="106">
        <v>0.1</v>
      </c>
      <c r="O2074" s="106">
        <v>0.24</v>
      </c>
      <c r="P2074" s="106">
        <v>1588</v>
      </c>
      <c r="Q2074" s="106">
        <v>759.5919055649241</v>
      </c>
      <c r="R2074" s="106">
        <v>0.15099803155941258</v>
      </c>
      <c r="S2074" s="106">
        <v>27291.074761101743</v>
      </c>
      <c r="T2074" s="106">
        <v>29612.594154019112</v>
      </c>
      <c r="U2074" s="106">
        <v>24766.802500577869</v>
      </c>
      <c r="V2074" s="106">
        <v>0.17244388501083796</v>
      </c>
      <c r="W2074" s="106">
        <v>126106.61194029852</v>
      </c>
      <c r="X2074" s="110">
        <v>0.69499608064075713</v>
      </c>
      <c r="Y2074" s="106">
        <v>432.73783783783779</v>
      </c>
      <c r="Z2074" s="106">
        <v>14.424324324324322</v>
      </c>
      <c r="AA2074" s="106">
        <v>69059.783148163056</v>
      </c>
      <c r="AB2074" s="106">
        <v>825.54461502553886</v>
      </c>
      <c r="AC2074" s="106">
        <v>1.4480207646389045</v>
      </c>
      <c r="AD2074" s="106">
        <v>31.351351351351354</v>
      </c>
      <c r="AE2074" s="106">
        <v>83.653605015673975</v>
      </c>
      <c r="AF2074" s="106">
        <v>-6.4068081853494455E-2</v>
      </c>
      <c r="AG2074" s="106">
        <v>3024</v>
      </c>
      <c r="AH2074" s="106">
        <v>26418.445756042722</v>
      </c>
      <c r="AI2074" s="106">
        <v>26418.445756042722</v>
      </c>
      <c r="AJ2074" s="106">
        <v>27328.99606520517</v>
      </c>
      <c r="AK2074" s="104">
        <v>27310.679595278245</v>
      </c>
      <c r="AL2074" s="118">
        <v>17289781</v>
      </c>
      <c r="AM2074" s="118">
        <v>3302</v>
      </c>
      <c r="AN2074" s="118">
        <v>53371</v>
      </c>
      <c r="AO2074" s="118">
        <v>504</v>
      </c>
      <c r="AP2074" s="118">
        <f t="shared" si="32"/>
        <v>134</v>
      </c>
    </row>
    <row r="2075" spans="1:42" ht="12.75">
      <c r="A2075" s="106">
        <v>2018</v>
      </c>
      <c r="B2075" s="106">
        <v>-141981</v>
      </c>
      <c r="C2075" s="106">
        <v>0</v>
      </c>
      <c r="D2075" s="106">
        <v>141981</v>
      </c>
      <c r="E2075" s="106" t="s">
        <v>3189</v>
      </c>
      <c r="F2075" s="106" t="s">
        <v>3190</v>
      </c>
      <c r="G2075" s="106" t="s">
        <v>453</v>
      </c>
      <c r="H2075" s="106">
        <v>3</v>
      </c>
      <c r="I2075" s="104" t="s">
        <v>26</v>
      </c>
      <c r="J2075" s="106">
        <v>7440</v>
      </c>
      <c r="K2075" s="106">
        <v>9851</v>
      </c>
      <c r="L2075" s="106">
        <v>7728</v>
      </c>
      <c r="M2075" s="106">
        <v>0.42</v>
      </c>
      <c r="N2075" s="106">
        <v>0.26</v>
      </c>
      <c r="O2075" s="106">
        <v>0.4</v>
      </c>
      <c r="P2075" s="106">
        <v>2523</v>
      </c>
      <c r="Q2075" s="106">
        <v>1105.0612612612613</v>
      </c>
      <c r="R2075" s="106">
        <v>0.13155053832401539</v>
      </c>
      <c r="S2075" s="106">
        <v>22964.491891891892</v>
      </c>
      <c r="T2075" s="106">
        <v>24282.131981981984</v>
      </c>
      <c r="U2075" s="106">
        <v>19838.130874976177</v>
      </c>
      <c r="V2075" s="106">
        <v>0.36773716556231656</v>
      </c>
      <c r="W2075" s="106">
        <v>129735.11813842483</v>
      </c>
      <c r="X2075" s="110">
        <v>0.67226503795017922</v>
      </c>
      <c r="Y2075" s="106">
        <v>559.68907563025209</v>
      </c>
      <c r="Z2075" s="106">
        <v>18.655462184873951</v>
      </c>
      <c r="AA2075" s="106">
        <v>71844.454392246509</v>
      </c>
      <c r="AB2075" s="106">
        <v>661.24124352427236</v>
      </c>
      <c r="AC2075" s="106">
        <v>1.3918958790338041</v>
      </c>
      <c r="AD2075" s="106">
        <v>27.800453514739232</v>
      </c>
      <c r="AE2075" s="106">
        <v>108.65089722675367</v>
      </c>
      <c r="AF2075" s="106">
        <v>0.25556541070315619</v>
      </c>
      <c r="AG2075" s="106">
        <v>7200</v>
      </c>
      <c r="AH2075" s="106">
        <v>22700.063513513513</v>
      </c>
      <c r="AI2075" s="106">
        <v>22700.063513513513</v>
      </c>
      <c r="AJ2075" s="106">
        <v>22997</v>
      </c>
      <c r="AK2075" s="104">
        <v>21366.553153153152</v>
      </c>
      <c r="AL2075" s="118">
        <v>16203655</v>
      </c>
      <c r="AM2075" s="118">
        <v>3082</v>
      </c>
      <c r="AN2075" s="118">
        <v>66603</v>
      </c>
      <c r="AO2075" s="118">
        <v>613</v>
      </c>
      <c r="AP2075" s="118">
        <f t="shared" si="32"/>
        <v>240</v>
      </c>
    </row>
    <row r="2076" spans="1:42" ht="12.75">
      <c r="A2076" s="106">
        <v>2018</v>
      </c>
      <c r="B2076" s="106">
        <v>-160065</v>
      </c>
      <c r="C2076" s="106">
        <v>0</v>
      </c>
      <c r="D2076" s="106">
        <v>160065</v>
      </c>
      <c r="E2076" s="106" t="s">
        <v>3191</v>
      </c>
      <c r="F2076" s="106" t="s">
        <v>1031</v>
      </c>
      <c r="G2076" s="106" t="s">
        <v>306</v>
      </c>
      <c r="H2076" s="106">
        <v>7</v>
      </c>
      <c r="I2076" s="106" t="s">
        <v>3641</v>
      </c>
      <c r="J2076" s="106">
        <v>14180</v>
      </c>
      <c r="K2076" s="106">
        <v>12886</v>
      </c>
      <c r="L2076" s="106">
        <v>12148</v>
      </c>
      <c r="M2076" s="106">
        <v>0.43</v>
      </c>
      <c r="N2076" s="106">
        <v>0.54</v>
      </c>
      <c r="O2076" s="106">
        <v>0.1</v>
      </c>
      <c r="P2076" s="106">
        <v>9609</v>
      </c>
      <c r="Q2076" s="106">
        <v>430.10675381263616</v>
      </c>
      <c r="R2076" s="106">
        <v>2.8118559454204918E-2</v>
      </c>
      <c r="S2076" s="106">
        <v>17362.5348583878</v>
      </c>
      <c r="T2076" s="106">
        <v>17959.635076252722</v>
      </c>
      <c r="U2076" s="106">
        <v>16953.313725490196</v>
      </c>
      <c r="V2076" s="106">
        <v>0.87688347250188936</v>
      </c>
      <c r="W2076" s="106">
        <v>58767.63190184049</v>
      </c>
      <c r="X2076" s="110">
        <v>0.58101267396719036</v>
      </c>
      <c r="Y2076" s="106">
        <v>326.5840336134454</v>
      </c>
      <c r="Z2076" s="106">
        <v>11.571428571428573</v>
      </c>
      <c r="AA2076" s="106">
        <v>71719.548387096773</v>
      </c>
      <c r="AB2076" s="106">
        <v>600.68478135011003</v>
      </c>
      <c r="AC2076" s="106">
        <v>1.3943199901408083</v>
      </c>
      <c r="AD2076" s="106">
        <v>24.8</v>
      </c>
      <c r="AE2076" s="106">
        <v>119.3963133640553</v>
      </c>
      <c r="AF2076" s="106">
        <v>3.2042769939378865E-2</v>
      </c>
      <c r="AG2076" s="106">
        <v>12480</v>
      </c>
      <c r="AH2076" s="106">
        <v>15844.100217864923</v>
      </c>
      <c r="AI2076" s="106">
        <v>17235.427015250545</v>
      </c>
      <c r="AJ2076" s="106">
        <v>19525.521786492376</v>
      </c>
      <c r="AK2076" s="104">
        <v>17383.420479302833</v>
      </c>
      <c r="AL2076" s="118"/>
      <c r="AM2076" s="118">
        <v>912</v>
      </c>
      <c r="AN2076" s="118">
        <v>25909</v>
      </c>
      <c r="AO2076" s="118">
        <v>132</v>
      </c>
      <c r="AP2076" s="118">
        <f t="shared" si="32"/>
        <v>1700</v>
      </c>
    </row>
    <row r="2077" spans="1:42" ht="12.75">
      <c r="A2077" s="106">
        <v>2018</v>
      </c>
      <c r="B2077" s="106">
        <v>-225511</v>
      </c>
      <c r="C2077" s="106">
        <v>0</v>
      </c>
      <c r="D2077" s="106">
        <v>225511</v>
      </c>
      <c r="E2077" s="106" t="s">
        <v>3192</v>
      </c>
      <c r="F2077" s="106" t="s">
        <v>1518</v>
      </c>
      <c r="G2077" s="106" t="s">
        <v>60</v>
      </c>
      <c r="H2077" s="106">
        <v>1</v>
      </c>
      <c r="I2077" s="106" t="s">
        <v>23</v>
      </c>
      <c r="J2077" s="106">
        <v>9706</v>
      </c>
      <c r="K2077" s="106">
        <v>16002</v>
      </c>
      <c r="L2077" s="106">
        <v>12955</v>
      </c>
      <c r="M2077" s="106">
        <v>0.43</v>
      </c>
      <c r="N2077" s="106">
        <v>0.39</v>
      </c>
      <c r="O2077" s="106">
        <v>0.54</v>
      </c>
      <c r="P2077" s="106">
        <v>5233</v>
      </c>
      <c r="Q2077" s="106">
        <v>2483.8373299275399</v>
      </c>
      <c r="R2077" s="106">
        <v>0.18695642821753203</v>
      </c>
      <c r="S2077" s="106">
        <v>27322.423838815619</v>
      </c>
      <c r="T2077" s="106">
        <v>27969.731011833395</v>
      </c>
      <c r="U2077" s="106">
        <v>13398.673023490033</v>
      </c>
      <c r="V2077" s="106">
        <v>0.80618512215422244</v>
      </c>
      <c r="W2077" s="106">
        <v>109668.4888337469</v>
      </c>
      <c r="X2077" s="110">
        <v>0.53542105498092563</v>
      </c>
      <c r="Y2077" s="106">
        <v>648.88539553752537</v>
      </c>
      <c r="Z2077" s="106">
        <v>23.346450304259637</v>
      </c>
      <c r="AA2077" s="106">
        <v>50725.625539690016</v>
      </c>
      <c r="AB2077" s="106">
        <v>482.07504135118756</v>
      </c>
      <c r="AC2077" s="106">
        <v>1.9713901787520687</v>
      </c>
      <c r="AD2077" s="106">
        <v>26.688788812514812</v>
      </c>
      <c r="AE2077" s="106">
        <v>105.22350503256365</v>
      </c>
      <c r="AF2077" s="106">
        <v>7.8073691703815243E-2</v>
      </c>
      <c r="AG2077" s="106">
        <v>8724</v>
      </c>
      <c r="AH2077" s="106">
        <v>24237.989391648855</v>
      </c>
      <c r="AI2077" s="106">
        <v>26373.428817181881</v>
      </c>
      <c r="AJ2077" s="106">
        <v>28403.703904498776</v>
      </c>
      <c r="AK2077" s="104">
        <v>24408.459912422459</v>
      </c>
      <c r="AL2077" s="118">
        <v>192533516</v>
      </c>
      <c r="AM2077" s="118">
        <v>37215</v>
      </c>
      <c r="AN2077" s="118">
        <v>1066335</v>
      </c>
      <c r="AO2077" s="118">
        <v>7367</v>
      </c>
      <c r="AP2077" s="118">
        <f t="shared" si="32"/>
        <v>982</v>
      </c>
    </row>
    <row r="2078" spans="1:42" ht="12.75">
      <c r="A2078" s="106">
        <v>2018</v>
      </c>
      <c r="B2078" s="106">
        <v>-225414</v>
      </c>
      <c r="C2078" s="106">
        <v>0</v>
      </c>
      <c r="D2078" s="106">
        <v>225414</v>
      </c>
      <c r="E2078" s="106" t="s">
        <v>3193</v>
      </c>
      <c r="F2078" s="106" t="s">
        <v>1518</v>
      </c>
      <c r="G2078" s="106" t="s">
        <v>60</v>
      </c>
      <c r="H2078" s="106">
        <v>2</v>
      </c>
      <c r="I2078" s="106" t="s">
        <v>25</v>
      </c>
      <c r="J2078" s="106">
        <v>6718</v>
      </c>
      <c r="K2078" s="106">
        <v>10664</v>
      </c>
      <c r="L2078" s="106">
        <v>7169</v>
      </c>
      <c r="M2078" s="106">
        <v>0.36</v>
      </c>
      <c r="N2078" s="106">
        <v>0.23</v>
      </c>
      <c r="O2078" s="106">
        <v>0.32</v>
      </c>
      <c r="P2078" s="106">
        <v>4912</v>
      </c>
      <c r="Q2078" s="106">
        <v>1463.9873015873015</v>
      </c>
      <c r="R2078" s="106">
        <v>0.13249644021907497</v>
      </c>
      <c r="S2078" s="106">
        <v>18722.862380952381</v>
      </c>
      <c r="T2078" s="106">
        <v>19914.884285714284</v>
      </c>
      <c r="U2078" s="106">
        <v>16207.667438352746</v>
      </c>
      <c r="V2078" s="106">
        <v>0.59140344247059085</v>
      </c>
      <c r="W2078" s="106">
        <v>84902.037575327893</v>
      </c>
      <c r="X2078" s="110">
        <v>0.63632884109628751</v>
      </c>
      <c r="Y2078" s="106">
        <v>483.47967479674799</v>
      </c>
      <c r="Z2078" s="106">
        <v>17.073170731707318</v>
      </c>
      <c r="AA2078" s="106">
        <v>41796.277061654648</v>
      </c>
      <c r="AB2078" s="106">
        <v>572.34313614953874</v>
      </c>
      <c r="AC2078" s="106">
        <v>2.3925575919713542</v>
      </c>
      <c r="AD2078" s="106">
        <v>41.796407185628745</v>
      </c>
      <c r="AE2078" s="106">
        <v>73.026606631191157</v>
      </c>
      <c r="AF2078" s="106">
        <v>6.5651531687137804E-2</v>
      </c>
      <c r="AG2078" s="106">
        <v>5160</v>
      </c>
      <c r="AH2078" s="106">
        <v>17128.591269841269</v>
      </c>
      <c r="AI2078" s="106">
        <v>17304.355238095239</v>
      </c>
      <c r="AJ2078" s="106">
        <v>19021.814285714285</v>
      </c>
      <c r="AK2078" s="104">
        <v>18551.98507936508</v>
      </c>
      <c r="AL2078" s="118">
        <v>33968801</v>
      </c>
      <c r="AM2078" s="118">
        <v>5798</v>
      </c>
      <c r="AN2078" s="118">
        <v>178404</v>
      </c>
      <c r="AO2078" s="118">
        <v>1387</v>
      </c>
      <c r="AP2078" s="118">
        <f t="shared" si="32"/>
        <v>1558</v>
      </c>
    </row>
    <row r="2079" spans="1:42" ht="12.75">
      <c r="A2079" s="106">
        <v>2018</v>
      </c>
      <c r="B2079" s="106">
        <v>-225432</v>
      </c>
      <c r="C2079" s="106">
        <v>0</v>
      </c>
      <c r="D2079" s="106">
        <v>225432</v>
      </c>
      <c r="E2079" s="106" t="s">
        <v>3194</v>
      </c>
      <c r="F2079" s="106" t="s">
        <v>1518</v>
      </c>
      <c r="G2079" s="106" t="s">
        <v>60</v>
      </c>
      <c r="H2079" s="106">
        <v>2</v>
      </c>
      <c r="I2079" s="106" t="s">
        <v>25</v>
      </c>
      <c r="J2079" s="106">
        <v>6162</v>
      </c>
      <c r="K2079" s="106">
        <v>7883</v>
      </c>
      <c r="L2079" s="106">
        <v>6646</v>
      </c>
      <c r="M2079" s="106">
        <v>0.68</v>
      </c>
      <c r="N2079" s="106">
        <v>0.21</v>
      </c>
      <c r="O2079" s="106">
        <v>0.41</v>
      </c>
      <c r="P2079" s="106">
        <v>1902</v>
      </c>
      <c r="Q2079" s="106">
        <v>1290.5046478198371</v>
      </c>
      <c r="R2079" s="106">
        <v>0.1406328795802114</v>
      </c>
      <c r="S2079" s="106">
        <v>14354.281456636319</v>
      </c>
      <c r="T2079" s="106">
        <v>16955.518160038333</v>
      </c>
      <c r="U2079" s="106">
        <v>11395.927703448715</v>
      </c>
      <c r="V2079" s="106">
        <v>0.69199308031165918</v>
      </c>
      <c r="W2079" s="106">
        <v>89416.878316559931</v>
      </c>
      <c r="X2079" s="110">
        <v>0.55237771108203459</v>
      </c>
      <c r="Y2079" s="106">
        <v>631.60316368638235</v>
      </c>
      <c r="Z2079" s="106">
        <v>21.530261348005503</v>
      </c>
      <c r="AA2079" s="106">
        <v>32323.051259985685</v>
      </c>
      <c r="AB2079" s="106">
        <v>388.46749963408547</v>
      </c>
      <c r="AC2079" s="106">
        <v>3.0937673301837996</v>
      </c>
      <c r="AD2079" s="106">
        <v>39.117490696438068</v>
      </c>
      <c r="AE2079" s="106">
        <v>83.206577874422393</v>
      </c>
      <c r="AF2079" s="106">
        <v>2.0735537667482636E-4</v>
      </c>
      <c r="AG2079" s="106">
        <v>4996</v>
      </c>
      <c r="AH2079" s="106">
        <v>12656.197508385241</v>
      </c>
      <c r="AI2079" s="106">
        <v>12821.815620507907</v>
      </c>
      <c r="AJ2079" s="106">
        <v>14544.971921418304</v>
      </c>
      <c r="AK2079" s="104">
        <v>14782.579779587924</v>
      </c>
      <c r="AL2079" s="118">
        <v>31179932</v>
      </c>
      <c r="AM2079" s="118">
        <v>12407</v>
      </c>
      <c r="AN2079" s="118">
        <v>306117</v>
      </c>
      <c r="AO2079" s="118">
        <v>2786</v>
      </c>
      <c r="AP2079" s="118">
        <f t="shared" si="32"/>
        <v>1166</v>
      </c>
    </row>
    <row r="2080" spans="1:42" ht="12.75">
      <c r="A2080" s="106">
        <v>2018</v>
      </c>
      <c r="B2080" s="106">
        <v>-225502</v>
      </c>
      <c r="C2080" s="106">
        <v>0</v>
      </c>
      <c r="D2080" s="106">
        <v>225502</v>
      </c>
      <c r="E2080" s="106" t="s">
        <v>3195</v>
      </c>
      <c r="F2080" s="106" t="s">
        <v>3196</v>
      </c>
      <c r="G2080" s="106" t="s">
        <v>60</v>
      </c>
      <c r="H2080" s="106">
        <v>2</v>
      </c>
      <c r="I2080" s="106" t="s">
        <v>25</v>
      </c>
      <c r="J2080" s="106">
        <v>6212</v>
      </c>
      <c r="K2080" s="106">
        <v>10458</v>
      </c>
      <c r="L2080" s="106">
        <v>8107</v>
      </c>
      <c r="M2080" s="106">
        <v>0.69</v>
      </c>
      <c r="N2080" s="106">
        <v>0.64</v>
      </c>
      <c r="O2080" s="106">
        <v>0.84</v>
      </c>
      <c r="P2080" s="106">
        <v>1702</v>
      </c>
      <c r="Q2080" s="106">
        <v>1613.3766233766235</v>
      </c>
      <c r="R2080" s="106">
        <v>0.17975411162963148</v>
      </c>
      <c r="S2080" s="106">
        <v>17997.155527399431</v>
      </c>
      <c r="T2080" s="106">
        <v>19485.532467532466</v>
      </c>
      <c r="U2080" s="106">
        <v>15011.342153591246</v>
      </c>
      <c r="V2080" s="106">
        <v>0.4904350101543381</v>
      </c>
      <c r="W2080" s="106">
        <v>75159.755555555559</v>
      </c>
      <c r="X2080" s="110">
        <v>0.5498079469826187</v>
      </c>
      <c r="Y2080" s="106">
        <v>557.99382716049388</v>
      </c>
      <c r="Z2080" s="106">
        <v>19.487654320987655</v>
      </c>
      <c r="AA2080" s="106">
        <v>46234.933833061034</v>
      </c>
      <c r="AB2080" s="106">
        <v>524.26358956676324</v>
      </c>
      <c r="AC2080" s="106">
        <v>2.1628667267280348</v>
      </c>
      <c r="AD2080" s="106">
        <v>34.722222222222221</v>
      </c>
      <c r="AE2080" s="106">
        <v>88.190243902439022</v>
      </c>
      <c r="AF2080" s="106">
        <v>0.24294786545801794</v>
      </c>
      <c r="AG2080" s="106">
        <v>4742</v>
      </c>
      <c r="AH2080" s="106">
        <v>15759.955970858409</v>
      </c>
      <c r="AI2080" s="106">
        <v>16119.77985429205</v>
      </c>
      <c r="AJ2080" s="106">
        <v>18280.650934431422</v>
      </c>
      <c r="AK2080" s="104">
        <v>18586.031358885019</v>
      </c>
      <c r="AL2080" s="118">
        <v>17953885</v>
      </c>
      <c r="AM2080" s="118">
        <v>3273</v>
      </c>
      <c r="AN2080" s="118">
        <v>90395</v>
      </c>
      <c r="AO2080" s="118">
        <v>665</v>
      </c>
      <c r="AP2080" s="118">
        <f t="shared" si="32"/>
        <v>1470</v>
      </c>
    </row>
    <row r="2081" spans="1:42">
      <c r="A2081" s="106">
        <v>2018</v>
      </c>
      <c r="B2081" s="106">
        <v>-142285</v>
      </c>
      <c r="C2081" s="106">
        <v>0</v>
      </c>
      <c r="D2081" s="106">
        <v>142285</v>
      </c>
      <c r="E2081" s="106" t="s">
        <v>3197</v>
      </c>
      <c r="F2081" s="106" t="s">
        <v>3198</v>
      </c>
      <c r="G2081" s="106" t="s">
        <v>418</v>
      </c>
      <c r="H2081" s="106">
        <v>1</v>
      </c>
      <c r="I2081" s="106" t="s">
        <v>23</v>
      </c>
      <c r="J2081" s="107">
        <v>7488</v>
      </c>
      <c r="K2081" s="107">
        <v>15061</v>
      </c>
      <c r="L2081" s="107">
        <v>11519</v>
      </c>
      <c r="M2081" s="107">
        <v>0.38</v>
      </c>
      <c r="N2081" s="107">
        <v>0.52</v>
      </c>
      <c r="O2081" s="107">
        <v>0.88</v>
      </c>
      <c r="P2081" s="107">
        <v>5752</v>
      </c>
      <c r="Q2081" s="107">
        <v>3246.5636031649424</v>
      </c>
      <c r="R2081" s="107">
        <v>0.27441938739115518</v>
      </c>
      <c r="S2081" s="107">
        <v>40588.02475147089</v>
      </c>
      <c r="T2081" s="107">
        <v>43220.28839521201</v>
      </c>
      <c r="U2081" s="107">
        <v>19367.951197165108</v>
      </c>
      <c r="V2081" s="107">
        <v>0.44321159425199397</v>
      </c>
      <c r="W2081" s="107">
        <v>99829.60467914438</v>
      </c>
      <c r="X2081" s="111">
        <v>0.58420224314611002</v>
      </c>
      <c r="Y2081" s="107">
        <v>335.53159396657156</v>
      </c>
      <c r="Z2081" s="107">
        <v>12.05625764370159</v>
      </c>
      <c r="AA2081" s="107">
        <v>77993.979943485974</v>
      </c>
      <c r="AB2081" s="107">
        <v>695.92555175869643</v>
      </c>
      <c r="AC2081" s="107">
        <v>1.282150238678158</v>
      </c>
      <c r="AD2081" s="107">
        <v>24.69982847341338</v>
      </c>
      <c r="AE2081" s="107">
        <v>112.07230392156863</v>
      </c>
      <c r="AF2081" s="107">
        <v>-5.9927182963683524E-2</v>
      </c>
      <c r="AG2081" s="107">
        <v>5346</v>
      </c>
      <c r="AH2081" s="107">
        <v>36316.30827754108</v>
      </c>
      <c r="AI2081" s="107">
        <v>38461.960742544128</v>
      </c>
      <c r="AJ2081" s="107">
        <v>40591.920064921891</v>
      </c>
      <c r="AK2081" s="104">
        <v>37203.745485899773</v>
      </c>
      <c r="AL2081" s="118">
        <v>144473100</v>
      </c>
      <c r="AM2081" s="118">
        <v>9885</v>
      </c>
      <c r="AN2081" s="118">
        <v>274353</v>
      </c>
      <c r="AO2081" s="118">
        <v>1670</v>
      </c>
      <c r="AP2081" s="118">
        <f t="shared" si="32"/>
        <v>2142</v>
      </c>
    </row>
    <row r="2082" spans="1:42" ht="12.75">
      <c r="A2082" s="106">
        <v>2018</v>
      </c>
      <c r="B2082" s="106">
        <v>-145600</v>
      </c>
      <c r="C2082" s="106">
        <v>0</v>
      </c>
      <c r="D2082" s="106">
        <v>145600</v>
      </c>
      <c r="E2082" s="106" t="s">
        <v>3199</v>
      </c>
      <c r="F2082" s="106" t="s">
        <v>725</v>
      </c>
      <c r="G2082" s="106" t="s">
        <v>243</v>
      </c>
      <c r="H2082" s="106">
        <v>1</v>
      </c>
      <c r="I2082" s="106" t="s">
        <v>23</v>
      </c>
      <c r="J2082" s="106">
        <v>15027</v>
      </c>
      <c r="K2082" s="106">
        <v>12248</v>
      </c>
      <c r="L2082" s="106">
        <v>10632</v>
      </c>
      <c r="M2082" s="106">
        <v>0.61</v>
      </c>
      <c r="N2082" s="106">
        <v>0.34</v>
      </c>
      <c r="O2082" s="106">
        <v>0.61</v>
      </c>
      <c r="P2082" s="106">
        <v>5490</v>
      </c>
      <c r="Q2082" s="106">
        <v>2830.2511415525114</v>
      </c>
      <c r="R2082" s="106">
        <v>0.16739797639461471</v>
      </c>
      <c r="S2082" s="106">
        <v>110620.7690848286</v>
      </c>
      <c r="T2082" s="106">
        <v>102807.41671490128</v>
      </c>
      <c r="U2082" s="106">
        <v>38916.385528585044</v>
      </c>
      <c r="V2082" s="106">
        <v>0.36172600798752003</v>
      </c>
      <c r="W2082" s="106">
        <v>184927.46343612336</v>
      </c>
      <c r="X2082" s="110">
        <v>0.65650852269697635</v>
      </c>
      <c r="Y2082" s="106">
        <v>277.53470824949699</v>
      </c>
      <c r="Z2082" s="106">
        <v>11.732142857142858</v>
      </c>
      <c r="AA2082" s="106">
        <v>160145.79292946114</v>
      </c>
      <c r="AB2082" s="106">
        <v>1645.1008862450421</v>
      </c>
      <c r="AC2082" s="106">
        <v>0.62443101483188301</v>
      </c>
      <c r="AD2082" s="106">
        <v>27.324004772751927</v>
      </c>
      <c r="AE2082" s="106">
        <v>97.347095408230786</v>
      </c>
      <c r="AF2082" s="106">
        <v>0.17161474069397606</v>
      </c>
      <c r="AG2082" s="106">
        <v>11907</v>
      </c>
      <c r="AH2082" s="106">
        <v>109881.43864557207</v>
      </c>
      <c r="AI2082" s="106">
        <v>110967.20647630072</v>
      </c>
      <c r="AJ2082" s="106">
        <v>111025.2943597659</v>
      </c>
      <c r="AK2082" s="104">
        <v>62565.182262524919</v>
      </c>
      <c r="AL2082" s="118">
        <v>326945346</v>
      </c>
      <c r="AM2082" s="118">
        <v>19448</v>
      </c>
      <c r="AN2082" s="118">
        <v>735652</v>
      </c>
      <c r="AO2082" s="118">
        <v>4073</v>
      </c>
      <c r="AP2082" s="118">
        <f t="shared" si="32"/>
        <v>3120</v>
      </c>
    </row>
    <row r="2083" spans="1:42" ht="12.75">
      <c r="A2083" s="106">
        <v>2018</v>
      </c>
      <c r="B2083" s="106">
        <v>-148654</v>
      </c>
      <c r="C2083" s="106">
        <v>0</v>
      </c>
      <c r="D2083" s="106">
        <v>148654</v>
      </c>
      <c r="E2083" s="106" t="s">
        <v>3200</v>
      </c>
      <c r="F2083" s="106" t="s">
        <v>149</v>
      </c>
      <c r="G2083" s="106" t="s">
        <v>243</v>
      </c>
      <c r="H2083" s="106">
        <v>2</v>
      </c>
      <c r="I2083" s="106" t="s">
        <v>25</v>
      </c>
      <c r="J2083" s="106">
        <v>11523</v>
      </c>
      <c r="K2083" s="106">
        <v>10733</v>
      </c>
      <c r="L2083" s="106">
        <v>10135</v>
      </c>
      <c r="M2083" s="106">
        <v>0.44</v>
      </c>
      <c r="N2083" s="106">
        <v>0.49</v>
      </c>
      <c r="O2083" s="106">
        <v>0.9</v>
      </c>
      <c r="P2083" s="106">
        <v>8986</v>
      </c>
      <c r="Q2083" s="106">
        <v>1504.3457095709571</v>
      </c>
      <c r="R2083" s="106">
        <v>0.12437771644164282</v>
      </c>
      <c r="S2083" s="106">
        <v>37260.979922992301</v>
      </c>
      <c r="T2083" s="106">
        <v>36228.923817381736</v>
      </c>
      <c r="U2083" s="106">
        <v>23988.511663273046</v>
      </c>
      <c r="V2083" s="106">
        <v>0.44148766550681079</v>
      </c>
      <c r="W2083" s="106">
        <v>115274.23140495867</v>
      </c>
      <c r="X2083" s="110">
        <v>0.67061095504205259</v>
      </c>
      <c r="Y2083" s="106">
        <v>394.40832249674907</v>
      </c>
      <c r="Z2083" s="106">
        <v>14.184655396618986</v>
      </c>
      <c r="AA2083" s="106">
        <v>56381.530968106526</v>
      </c>
      <c r="AB2083" s="106">
        <v>862.73222955154097</v>
      </c>
      <c r="AC2083" s="106">
        <v>1.7736304474698859</v>
      </c>
      <c r="AD2083" s="106">
        <v>44.607843137254903</v>
      </c>
      <c r="AE2083" s="106">
        <v>65.352294764059465</v>
      </c>
      <c r="AF2083" s="106">
        <v>6.3212347504494254E-2</v>
      </c>
      <c r="AG2083" s="106">
        <v>9515</v>
      </c>
      <c r="AH2083" s="106">
        <v>38041.660891089108</v>
      </c>
      <c r="AI2083" s="106">
        <v>38820.592684268428</v>
      </c>
      <c r="AJ2083" s="106">
        <v>37294.168316831681</v>
      </c>
      <c r="AK2083" s="104">
        <v>30457.65209020902</v>
      </c>
      <c r="AL2083" s="118">
        <v>27410103</v>
      </c>
      <c r="AM2083" s="118">
        <v>2932</v>
      </c>
      <c r="AN2083" s="118">
        <v>101100</v>
      </c>
      <c r="AO2083" s="118">
        <v>715</v>
      </c>
      <c r="AP2083" s="118">
        <f t="shared" si="32"/>
        <v>2008</v>
      </c>
    </row>
    <row r="2084" spans="1:42" ht="12.75">
      <c r="A2084" s="106">
        <v>2018</v>
      </c>
      <c r="B2084" s="106">
        <v>-145637</v>
      </c>
      <c r="C2084" s="106">
        <v>0</v>
      </c>
      <c r="D2084" s="106">
        <v>145637</v>
      </c>
      <c r="E2084" s="106" t="s">
        <v>3201</v>
      </c>
      <c r="F2084" s="106" t="s">
        <v>2420</v>
      </c>
      <c r="G2084" s="106" t="s">
        <v>243</v>
      </c>
      <c r="H2084" s="106">
        <v>1</v>
      </c>
      <c r="I2084" s="106" t="s">
        <v>23</v>
      </c>
      <c r="J2084" s="106">
        <v>17293</v>
      </c>
      <c r="K2084" s="106">
        <v>15829</v>
      </c>
      <c r="L2084" s="106">
        <v>6725</v>
      </c>
      <c r="M2084" s="106">
        <v>0.25</v>
      </c>
      <c r="N2084" s="106">
        <v>0.4</v>
      </c>
      <c r="O2084" s="106">
        <v>0.46</v>
      </c>
      <c r="P2084" s="106">
        <v>8865</v>
      </c>
      <c r="Q2084" s="106">
        <v>4768.1987271607477</v>
      </c>
      <c r="R2084" s="106">
        <v>0.2494774938314962</v>
      </c>
      <c r="S2084" s="106">
        <v>58244.532558182938</v>
      </c>
      <c r="T2084" s="106">
        <v>53537.973404751683</v>
      </c>
      <c r="U2084" s="106">
        <v>23915.428053865813</v>
      </c>
      <c r="V2084" s="106">
        <v>0.5998028657262634</v>
      </c>
      <c r="W2084" s="106">
        <v>160882.23099795578</v>
      </c>
      <c r="X2084" s="110">
        <v>0.60357094519160281</v>
      </c>
      <c r="Y2084" s="106">
        <v>555.13366149185913</v>
      </c>
      <c r="Z2084" s="106">
        <v>20.288148428625522</v>
      </c>
      <c r="AA2084" s="106">
        <v>98282.907697053553</v>
      </c>
      <c r="AB2084" s="106">
        <v>874.02329879803142</v>
      </c>
      <c r="AC2084" s="106">
        <v>1.0174709147620988</v>
      </c>
      <c r="AD2084" s="106">
        <v>29.072178741052912</v>
      </c>
      <c r="AE2084" s="106">
        <v>112.44884184690903</v>
      </c>
      <c r="AF2084" s="106">
        <v>0.11723850779453959</v>
      </c>
      <c r="AG2084" s="106">
        <v>14255</v>
      </c>
      <c r="AH2084" s="106">
        <v>54380.882421007445</v>
      </c>
      <c r="AI2084" s="106">
        <v>57259.121442302312</v>
      </c>
      <c r="AJ2084" s="106">
        <v>58675.070174128887</v>
      </c>
      <c r="AK2084" s="104">
        <v>46662.914074018772</v>
      </c>
      <c r="AL2084" s="118">
        <v>363240426</v>
      </c>
      <c r="AM2084" s="118">
        <v>33955</v>
      </c>
      <c r="AN2084" s="118">
        <v>1466108</v>
      </c>
      <c r="AO2084" s="118">
        <v>8133</v>
      </c>
      <c r="AP2084" s="118">
        <f t="shared" si="32"/>
        <v>3038</v>
      </c>
    </row>
    <row r="2085" spans="1:42" ht="12.75">
      <c r="A2085" s="106">
        <v>2018</v>
      </c>
      <c r="B2085" s="106">
        <v>-151263</v>
      </c>
      <c r="C2085" s="106">
        <v>0</v>
      </c>
      <c r="D2085" s="106">
        <v>151263</v>
      </c>
      <c r="E2085" s="106" t="s">
        <v>3202</v>
      </c>
      <c r="F2085" s="106" t="s">
        <v>493</v>
      </c>
      <c r="G2085" s="106" t="s">
        <v>161</v>
      </c>
      <c r="H2085" s="106">
        <v>6</v>
      </c>
      <c r="I2085" s="106" t="s">
        <v>3640</v>
      </c>
      <c r="J2085" s="106">
        <v>28390</v>
      </c>
      <c r="K2085" s="106">
        <v>20976</v>
      </c>
      <c r="L2085" s="106">
        <v>14768</v>
      </c>
      <c r="M2085" s="106">
        <v>0.44</v>
      </c>
      <c r="N2085" s="106">
        <v>0.68</v>
      </c>
      <c r="O2085" s="106">
        <v>0.99</v>
      </c>
      <c r="P2085" s="106">
        <v>15128</v>
      </c>
      <c r="Q2085" s="106">
        <v>9085.6285266457671</v>
      </c>
      <c r="R2085" s="106">
        <v>0.38218420901392536</v>
      </c>
      <c r="S2085" s="106">
        <v>20497.147683733892</v>
      </c>
      <c r="T2085" s="106">
        <v>20994.094566353186</v>
      </c>
      <c r="U2085" s="106">
        <v>18143.523334885718</v>
      </c>
      <c r="V2085" s="106">
        <v>0.80950514641872795</v>
      </c>
      <c r="W2085" s="106">
        <v>84357.358924395943</v>
      </c>
      <c r="X2085" s="110">
        <v>0.59854669121222337</v>
      </c>
      <c r="Y2085" s="106">
        <v>401.11256544502618</v>
      </c>
      <c r="Z2085" s="106">
        <v>15.031413612565444</v>
      </c>
      <c r="AA2085" s="106">
        <v>72146.891266560808</v>
      </c>
      <c r="AB2085" s="106">
        <v>679.91588180071005</v>
      </c>
      <c r="AC2085" s="106">
        <v>1.3860611073390596</v>
      </c>
      <c r="AD2085" s="106">
        <v>28.667857851895974</v>
      </c>
      <c r="AE2085" s="106">
        <v>106.11149584487535</v>
      </c>
      <c r="AF2085" s="106">
        <v>4.2854440718719911E-2</v>
      </c>
      <c r="AG2085" s="106">
        <v>27860</v>
      </c>
      <c r="AH2085" s="106">
        <v>18999.897770811564</v>
      </c>
      <c r="AI2085" s="106">
        <v>20497.147683733892</v>
      </c>
      <c r="AJ2085" s="106">
        <v>22043.894636015324</v>
      </c>
      <c r="AK2085" s="104">
        <v>18502.951933124346</v>
      </c>
      <c r="AL2085" s="118"/>
      <c r="AM2085" s="118">
        <v>4488</v>
      </c>
      <c r="AN2085" s="118">
        <v>153225</v>
      </c>
      <c r="AO2085" s="118">
        <v>904</v>
      </c>
      <c r="AP2085" s="118">
        <f t="shared" si="32"/>
        <v>530</v>
      </c>
    </row>
    <row r="2086" spans="1:42" ht="12.75">
      <c r="A2086" s="106">
        <v>2018</v>
      </c>
      <c r="B2086" s="106">
        <v>-153658</v>
      </c>
      <c r="C2086" s="106">
        <v>0</v>
      </c>
      <c r="D2086" s="106">
        <v>153658</v>
      </c>
      <c r="E2086" s="106" t="s">
        <v>3203</v>
      </c>
      <c r="F2086" s="106" t="s">
        <v>3204</v>
      </c>
      <c r="G2086" s="106" t="s">
        <v>447</v>
      </c>
      <c r="H2086" s="106">
        <v>1</v>
      </c>
      <c r="I2086" s="106" t="s">
        <v>23</v>
      </c>
      <c r="J2086" s="106">
        <v>8965</v>
      </c>
      <c r="K2086" s="106">
        <v>15817</v>
      </c>
      <c r="L2086" s="106">
        <v>10599</v>
      </c>
      <c r="M2086" s="106">
        <v>0.2</v>
      </c>
      <c r="N2086" s="106">
        <v>0.47</v>
      </c>
      <c r="O2086" s="106">
        <v>0.75</v>
      </c>
      <c r="P2086" s="106">
        <v>7565</v>
      </c>
      <c r="Q2086" s="106">
        <v>4306.032189412078</v>
      </c>
      <c r="R2086" s="106">
        <v>0.23444498759799395</v>
      </c>
      <c r="S2086" s="106">
        <v>117102.65363128492</v>
      </c>
      <c r="T2086" s="106">
        <v>117340.98164405426</v>
      </c>
      <c r="U2086" s="106">
        <v>19288.694381959351</v>
      </c>
      <c r="V2086" s="106">
        <v>0.72897039714594314</v>
      </c>
      <c r="W2086" s="106">
        <v>197780.36002149381</v>
      </c>
      <c r="X2086" s="110">
        <v>0.55630919001393719</v>
      </c>
      <c r="Y2086" s="106">
        <v>276.56017479626786</v>
      </c>
      <c r="Z2086" s="106">
        <v>10.655013582142434</v>
      </c>
      <c r="AA2086" s="106">
        <v>73657.094279908764</v>
      </c>
      <c r="AB2086" s="106">
        <v>743.1341145664652</v>
      </c>
      <c r="AC2086" s="106">
        <v>1.357642477993823</v>
      </c>
      <c r="AD2086" s="106">
        <v>27.777777777777779</v>
      </c>
      <c r="AE2086" s="106">
        <v>99.116825396825391</v>
      </c>
      <c r="AF2086" s="106">
        <v>0.14019830008077833</v>
      </c>
      <c r="AG2086" s="106">
        <v>7486</v>
      </c>
      <c r="AH2086" s="106">
        <v>113049.88028731046</v>
      </c>
      <c r="AI2086" s="106">
        <v>116282.42218675179</v>
      </c>
      <c r="AJ2086" s="106">
        <v>119270.51742484703</v>
      </c>
      <c r="AK2086" s="104">
        <v>42027.467411545622</v>
      </c>
      <c r="AL2086" s="118">
        <v>222992000</v>
      </c>
      <c r="AM2086" s="118">
        <v>24503</v>
      </c>
      <c r="AN2086" s="118">
        <v>780545</v>
      </c>
      <c r="AO2086" s="118">
        <v>4646</v>
      </c>
      <c r="AP2086" s="118">
        <f t="shared" si="32"/>
        <v>1479</v>
      </c>
    </row>
    <row r="2087" spans="1:42" ht="12.75">
      <c r="A2087" s="106">
        <v>2018</v>
      </c>
      <c r="B2087" s="106">
        <v>-200156</v>
      </c>
      <c r="C2087" s="106">
        <v>0</v>
      </c>
      <c r="D2087" s="106">
        <v>200156</v>
      </c>
      <c r="E2087" s="106" t="s">
        <v>3205</v>
      </c>
      <c r="F2087" s="106" t="s">
        <v>1403</v>
      </c>
      <c r="G2087" s="106" t="s">
        <v>382</v>
      </c>
      <c r="H2087" s="106">
        <v>7</v>
      </c>
      <c r="I2087" s="106" t="s">
        <v>3641</v>
      </c>
      <c r="J2087" s="106">
        <v>21158</v>
      </c>
      <c r="K2087" s="106">
        <v>19306</v>
      </c>
      <c r="L2087" s="106">
        <v>18030</v>
      </c>
      <c r="M2087" s="106">
        <v>0.32</v>
      </c>
      <c r="N2087" s="106">
        <v>0.7</v>
      </c>
      <c r="O2087" s="106">
        <v>1</v>
      </c>
      <c r="P2087" s="106">
        <v>11235</v>
      </c>
      <c r="Q2087" s="106">
        <v>9230.2607861936722</v>
      </c>
      <c r="R2087" s="106">
        <v>0.44105605193442687</v>
      </c>
      <c r="S2087" s="106">
        <v>20357.408437200382</v>
      </c>
      <c r="T2087" s="106">
        <v>23696.519654841803</v>
      </c>
      <c r="U2087" s="106">
        <v>19800.392138063278</v>
      </c>
      <c r="V2087" s="106">
        <v>0.59076485745147067</v>
      </c>
      <c r="W2087" s="106">
        <v>69052.246753246756</v>
      </c>
      <c r="X2087" s="110">
        <v>0.57367826709344394</v>
      </c>
      <c r="Y2087" s="106">
        <v>362.24409448818898</v>
      </c>
      <c r="Z2087" s="106">
        <v>12.318897637795274</v>
      </c>
      <c r="AA2087" s="106">
        <v>79430.034615384619</v>
      </c>
      <c r="AB2087" s="106">
        <v>673.35536354744045</v>
      </c>
      <c r="AC2087" s="106">
        <v>1.2589696137515121</v>
      </c>
      <c r="AD2087" s="106">
        <v>23.465703971119133</v>
      </c>
      <c r="AE2087" s="106">
        <v>117.96153846153847</v>
      </c>
      <c r="AF2087" s="106">
        <v>-8.529681663910502E-3</v>
      </c>
      <c r="AG2087" s="106">
        <v>20578</v>
      </c>
      <c r="AH2087" s="106">
        <v>16973.121764141899</v>
      </c>
      <c r="AI2087" s="106">
        <v>20833.461169702779</v>
      </c>
      <c r="AJ2087" s="106">
        <v>23124.164908916588</v>
      </c>
      <c r="AK2087" s="104">
        <v>19800.392138063278</v>
      </c>
      <c r="AL2087" s="118"/>
      <c r="AM2087" s="118">
        <v>914</v>
      </c>
      <c r="AN2087" s="118">
        <v>30670</v>
      </c>
      <c r="AO2087" s="118">
        <v>182</v>
      </c>
      <c r="AP2087" s="118">
        <f t="shared" si="32"/>
        <v>580</v>
      </c>
    </row>
    <row r="2088" spans="1:42" ht="12.75">
      <c r="A2088" s="106">
        <v>2018</v>
      </c>
      <c r="B2088" s="106">
        <v>-155317</v>
      </c>
      <c r="C2088" s="106">
        <v>0</v>
      </c>
      <c r="D2088" s="106">
        <v>155317</v>
      </c>
      <c r="E2088" s="106" t="s">
        <v>3206</v>
      </c>
      <c r="F2088" s="106" t="s">
        <v>3207</v>
      </c>
      <c r="G2088" s="106" t="s">
        <v>129</v>
      </c>
      <c r="H2088" s="106">
        <v>1</v>
      </c>
      <c r="I2088" s="106" t="s">
        <v>23</v>
      </c>
      <c r="J2088" s="106">
        <v>10824</v>
      </c>
      <c r="K2088" s="106">
        <v>18415</v>
      </c>
      <c r="L2088" s="106">
        <v>13953</v>
      </c>
      <c r="M2088" s="106">
        <v>0.23</v>
      </c>
      <c r="N2088" s="106">
        <v>0.47</v>
      </c>
      <c r="O2088" s="106">
        <v>0.69</v>
      </c>
      <c r="P2088" s="106">
        <v>8233</v>
      </c>
      <c r="Q2088" s="106">
        <v>847.44056867619645</v>
      </c>
      <c r="R2088" s="106">
        <v>6.0682297741459126E-2</v>
      </c>
      <c r="S2088" s="106">
        <v>49452.504428216285</v>
      </c>
      <c r="T2088" s="106">
        <v>50920.949502796771</v>
      </c>
      <c r="U2088" s="106">
        <v>24465.316498508437</v>
      </c>
      <c r="V2088" s="106">
        <v>0.53617789123539439</v>
      </c>
      <c r="W2088" s="106">
        <v>95095.088528370252</v>
      </c>
      <c r="X2088" s="110">
        <v>0.58724631887546752</v>
      </c>
      <c r="Y2088" s="106">
        <v>192.79327474207108</v>
      </c>
      <c r="Z2088" s="106">
        <v>7.3779136415743212</v>
      </c>
      <c r="AA2088" s="106">
        <v>87307.334063986855</v>
      </c>
      <c r="AB2088" s="106">
        <v>936.25149830182124</v>
      </c>
      <c r="AC2088" s="106">
        <v>1.1453791490954333</v>
      </c>
      <c r="AD2088" s="106">
        <v>29.214757218644959</v>
      </c>
      <c r="AE2088" s="106">
        <v>93.252009980593286</v>
      </c>
      <c r="AF2088" s="106">
        <v>5.8700687611154934E-2</v>
      </c>
      <c r="AG2088" s="106">
        <v>9818</v>
      </c>
      <c r="AH2088" s="106">
        <v>46783.354451522682</v>
      </c>
      <c r="AI2088" s="106">
        <v>49203.072754816654</v>
      </c>
      <c r="AJ2088" s="106">
        <v>50035.662717526415</v>
      </c>
      <c r="AK2088" s="104">
        <v>41949.953464885024</v>
      </c>
      <c r="AL2088" s="118">
        <v>249185514</v>
      </c>
      <c r="AM2088" s="118">
        <v>19338</v>
      </c>
      <c r="AN2088" s="118">
        <v>672720</v>
      </c>
      <c r="AO2088" s="118">
        <v>4079</v>
      </c>
      <c r="AP2088" s="118">
        <f t="shared" si="32"/>
        <v>1006</v>
      </c>
    </row>
    <row r="2089" spans="1:42" ht="12.75">
      <c r="A2089" s="106">
        <v>2018</v>
      </c>
      <c r="B2089" s="106">
        <v>-157085</v>
      </c>
      <c r="C2089" s="106">
        <v>0</v>
      </c>
      <c r="D2089" s="106">
        <v>157085</v>
      </c>
      <c r="E2089" s="106" t="s">
        <v>3208</v>
      </c>
      <c r="F2089" s="106" t="s">
        <v>413</v>
      </c>
      <c r="G2089" s="106" t="s">
        <v>118</v>
      </c>
      <c r="H2089" s="106">
        <v>1</v>
      </c>
      <c r="I2089" s="106" t="s">
        <v>23</v>
      </c>
      <c r="J2089" s="106">
        <v>11942</v>
      </c>
      <c r="K2089" s="106">
        <v>19762</v>
      </c>
      <c r="L2089" s="106">
        <v>13419</v>
      </c>
      <c r="M2089" s="106">
        <v>0.26</v>
      </c>
      <c r="N2089" s="106">
        <v>0.49</v>
      </c>
      <c r="O2089" s="106">
        <v>0.73</v>
      </c>
      <c r="P2089" s="106">
        <v>9269</v>
      </c>
      <c r="Q2089" s="106">
        <v>5516.6156569043897</v>
      </c>
      <c r="R2089" s="106">
        <v>0.29098916675256997</v>
      </c>
      <c r="S2089" s="106">
        <v>123318.84659810716</v>
      </c>
      <c r="T2089" s="106">
        <v>120502.36176317162</v>
      </c>
      <c r="U2089" s="106">
        <v>16447.963451414253</v>
      </c>
      <c r="V2089" s="106">
        <v>0.81721559450959291</v>
      </c>
      <c r="W2089" s="106">
        <v>182503.49071516999</v>
      </c>
      <c r="X2089" s="110">
        <v>0.59259246721344372</v>
      </c>
      <c r="Y2089" s="106">
        <v>252.60963513992206</v>
      </c>
      <c r="Z2089" s="106">
        <v>9.5069075451647187</v>
      </c>
      <c r="AA2089" s="106">
        <v>59348.002569112083</v>
      </c>
      <c r="AB2089" s="106">
        <v>619.01545343759256</v>
      </c>
      <c r="AC2089" s="106">
        <v>1.6849766743800307</v>
      </c>
      <c r="AD2089" s="106">
        <v>26.96881798404641</v>
      </c>
      <c r="AE2089" s="106">
        <v>95.874831944070991</v>
      </c>
      <c r="AF2089" s="106">
        <v>5.3294031390418051E-2</v>
      </c>
      <c r="AG2089" s="106">
        <v>10579</v>
      </c>
      <c r="AH2089" s="106">
        <v>120840.99519338252</v>
      </c>
      <c r="AI2089" s="106">
        <v>123080.06632386913</v>
      </c>
      <c r="AJ2089" s="106">
        <v>126668.3318056487</v>
      </c>
      <c r="AK2089" s="104">
        <v>57762.569975408005</v>
      </c>
      <c r="AL2089" s="118">
        <v>289806887</v>
      </c>
      <c r="AM2089" s="118">
        <v>22425</v>
      </c>
      <c r="AN2089" s="118">
        <v>713117</v>
      </c>
      <c r="AO2089" s="118">
        <v>4950</v>
      </c>
      <c r="AP2089" s="118">
        <f t="shared" si="32"/>
        <v>1363</v>
      </c>
    </row>
    <row r="2090" spans="1:42" ht="12.75">
      <c r="A2090" s="106">
        <v>2018</v>
      </c>
      <c r="B2090" s="106">
        <v>-117140</v>
      </c>
      <c r="C2090" s="106">
        <v>0</v>
      </c>
      <c r="D2090" s="106">
        <v>117140</v>
      </c>
      <c r="E2090" s="106" t="s">
        <v>3209</v>
      </c>
      <c r="F2090" s="106" t="s">
        <v>3210</v>
      </c>
      <c r="G2090" s="106" t="s">
        <v>121</v>
      </c>
      <c r="H2090" s="106">
        <v>5</v>
      </c>
      <c r="I2090" s="106" t="s">
        <v>3639</v>
      </c>
      <c r="J2090" s="106">
        <v>41450</v>
      </c>
      <c r="K2090" s="106">
        <v>26617</v>
      </c>
      <c r="L2090" s="106">
        <v>20618</v>
      </c>
      <c r="M2090" s="106">
        <v>0.5</v>
      </c>
      <c r="N2090" s="106">
        <v>0.72</v>
      </c>
      <c r="O2090" s="106">
        <v>0.97</v>
      </c>
      <c r="P2090" s="106">
        <v>20894</v>
      </c>
      <c r="Q2090" s="106">
        <v>7545.939703554468</v>
      </c>
      <c r="R2090" s="106">
        <v>0.26856341366254144</v>
      </c>
      <c r="S2090" s="106">
        <v>24682.403367390991</v>
      </c>
      <c r="T2090" s="106">
        <v>21799.959418621384</v>
      </c>
      <c r="U2090" s="106">
        <v>20748.351561375737</v>
      </c>
      <c r="V2090" s="106">
        <v>0.99051159522180199</v>
      </c>
      <c r="W2090" s="106">
        <v>97269.374430955999</v>
      </c>
      <c r="X2090" s="110">
        <v>0.56418596366213181</v>
      </c>
      <c r="Y2090" s="106">
        <v>450.66693418940605</v>
      </c>
      <c r="Z2090" s="106">
        <v>16.731139646869984</v>
      </c>
      <c r="AA2090" s="106">
        <v>56607.889674126425</v>
      </c>
      <c r="AB2090" s="106">
        <v>770.2885236968217</v>
      </c>
      <c r="AC2090" s="106">
        <v>1.7665382082898358</v>
      </c>
      <c r="AD2090" s="106">
        <v>39.697630922693264</v>
      </c>
      <c r="AE2090" s="106">
        <v>73.489202983902629</v>
      </c>
      <c r="AF2090" s="106">
        <v>0.12193848611952215</v>
      </c>
      <c r="AG2090" s="106">
        <v>39915</v>
      </c>
      <c r="AH2090" s="106">
        <v>22701.490718088935</v>
      </c>
      <c r="AI2090" s="106">
        <v>24726.039430133831</v>
      </c>
      <c r="AJ2090" s="106">
        <v>25768.693481076414</v>
      </c>
      <c r="AK2090" s="104">
        <v>20748.351561375737</v>
      </c>
      <c r="AL2090" s="118"/>
      <c r="AM2090" s="118">
        <v>5168</v>
      </c>
      <c r="AN2090" s="118">
        <v>187177</v>
      </c>
      <c r="AO2090" s="118">
        <v>1385</v>
      </c>
      <c r="AP2090" s="118">
        <f t="shared" si="32"/>
        <v>1535</v>
      </c>
    </row>
    <row r="2091" spans="1:42" ht="12.75">
      <c r="A2091" s="106">
        <v>2018</v>
      </c>
      <c r="B2091" s="106">
        <v>-160658</v>
      </c>
      <c r="C2091" s="106">
        <v>0</v>
      </c>
      <c r="D2091" s="106">
        <v>160658</v>
      </c>
      <c r="E2091" s="106" t="s">
        <v>3211</v>
      </c>
      <c r="F2091" s="106" t="s">
        <v>2807</v>
      </c>
      <c r="G2091" s="106" t="s">
        <v>306</v>
      </c>
      <c r="H2091" s="106">
        <v>1</v>
      </c>
      <c r="I2091" s="106" t="s">
        <v>23</v>
      </c>
      <c r="J2091" s="106">
        <v>9888</v>
      </c>
      <c r="K2091" s="106">
        <v>11190</v>
      </c>
      <c r="L2091" s="106">
        <v>8763</v>
      </c>
      <c r="M2091" s="106">
        <v>0.38</v>
      </c>
      <c r="N2091" s="106">
        <v>0.49</v>
      </c>
      <c r="O2091" s="106">
        <v>0.59</v>
      </c>
      <c r="P2091" s="106">
        <v>4542</v>
      </c>
      <c r="Q2091" s="106">
        <v>1826.7583857095601</v>
      </c>
      <c r="R2091" s="106">
        <v>0.15507683784941884</v>
      </c>
      <c r="S2091" s="106">
        <v>21829.966986437314</v>
      </c>
      <c r="T2091" s="106">
        <v>22526.008269930531</v>
      </c>
      <c r="U2091" s="106">
        <v>11353.02583290555</v>
      </c>
      <c r="V2091" s="106">
        <v>0.87667730224800078</v>
      </c>
      <c r="W2091" s="106">
        <v>105746.08794102159</v>
      </c>
      <c r="X2091" s="110">
        <v>0.58978929240949596</v>
      </c>
      <c r="Y2091" s="106">
        <v>612.34297520661153</v>
      </c>
      <c r="Z2091" s="106">
        <v>20.819559228650139</v>
      </c>
      <c r="AA2091" s="106">
        <v>51531.827466776995</v>
      </c>
      <c r="AB2091" s="106">
        <v>386.00098853558319</v>
      </c>
      <c r="AC2091" s="106">
        <v>1.9405482963799576</v>
      </c>
      <c r="AD2091" s="106">
        <v>22.028180194483031</v>
      </c>
      <c r="AE2091" s="106">
        <v>133.5018018018018</v>
      </c>
      <c r="AF2091" s="106">
        <v>1.1239884209420961</v>
      </c>
      <c r="AG2091" s="106">
        <v>5407</v>
      </c>
      <c r="AH2091" s="106">
        <v>20803.864902414818</v>
      </c>
      <c r="AI2091" s="106">
        <v>21142.122990406882</v>
      </c>
      <c r="AJ2091" s="106">
        <v>22528.171419120081</v>
      </c>
      <c r="AK2091" s="104">
        <v>17848.024611313263</v>
      </c>
      <c r="AL2091" s="118">
        <v>47873617</v>
      </c>
      <c r="AM2091" s="118">
        <v>15666</v>
      </c>
      <c r="AN2091" s="118">
        <v>444561</v>
      </c>
      <c r="AO2091" s="118">
        <v>2799</v>
      </c>
      <c r="AP2091" s="118">
        <f t="shared" si="32"/>
        <v>4481</v>
      </c>
    </row>
    <row r="2092" spans="1:42" ht="12.75">
      <c r="A2092" s="106">
        <v>2018</v>
      </c>
      <c r="B2092" s="106">
        <v>-159993</v>
      </c>
      <c r="C2092" s="106">
        <v>0</v>
      </c>
      <c r="D2092" s="106">
        <v>159993</v>
      </c>
      <c r="E2092" s="106" t="s">
        <v>3212</v>
      </c>
      <c r="F2092" s="106" t="s">
        <v>1833</v>
      </c>
      <c r="G2092" s="106" t="s">
        <v>306</v>
      </c>
      <c r="H2092" s="106">
        <v>1</v>
      </c>
      <c r="I2092" s="106" t="s">
        <v>23</v>
      </c>
      <c r="J2092" s="106">
        <v>8470</v>
      </c>
      <c r="K2092" s="106">
        <v>9455</v>
      </c>
      <c r="L2092" s="106">
        <v>9906</v>
      </c>
      <c r="M2092" s="106">
        <v>0.5</v>
      </c>
      <c r="N2092" s="106">
        <v>0.49</v>
      </c>
      <c r="O2092" s="106">
        <v>0.71</v>
      </c>
      <c r="P2092" s="106">
        <v>7407</v>
      </c>
      <c r="Q2092" s="106">
        <v>1709.9541322891903</v>
      </c>
      <c r="R2092" s="106">
        <v>0.16640451488056932</v>
      </c>
      <c r="S2092" s="106">
        <v>18610.078870088098</v>
      </c>
      <c r="T2092" s="106">
        <v>19636.330303454062</v>
      </c>
      <c r="U2092" s="106">
        <v>10994.75413017955</v>
      </c>
      <c r="V2092" s="106">
        <v>0.77909279408546184</v>
      </c>
      <c r="W2092" s="106">
        <v>83952.94174397031</v>
      </c>
      <c r="X2092" s="110">
        <v>0.5370890850849539</v>
      </c>
      <c r="Y2092" s="106">
        <v>491.56931911402791</v>
      </c>
      <c r="Z2092" s="106">
        <v>17.59885151763741</v>
      </c>
      <c r="AA2092" s="106">
        <v>46577.895014759451</v>
      </c>
      <c r="AB2092" s="106">
        <v>393.62718112412551</v>
      </c>
      <c r="AC2092" s="106">
        <v>2.1469411610016365</v>
      </c>
      <c r="AD2092" s="106">
        <v>23.20274914089347</v>
      </c>
      <c r="AE2092" s="106">
        <v>118.32997630331754</v>
      </c>
      <c r="AF2092" s="106">
        <v>0.80250423105864954</v>
      </c>
      <c r="AG2092" s="106">
        <v>5788</v>
      </c>
      <c r="AH2092" s="106">
        <v>17354.014683261081</v>
      </c>
      <c r="AI2092" s="106">
        <v>17475.368340092296</v>
      </c>
      <c r="AJ2092" s="106">
        <v>18959.9724514054</v>
      </c>
      <c r="AK2092" s="104">
        <v>15501.403440078311</v>
      </c>
      <c r="AL2092" s="119">
        <v>25818215</v>
      </c>
      <c r="AM2092" s="118">
        <v>7948</v>
      </c>
      <c r="AN2092" s="118">
        <v>199741</v>
      </c>
      <c r="AO2092" s="118">
        <v>1271</v>
      </c>
      <c r="AP2092" s="118">
        <f t="shared" si="32"/>
        <v>2682</v>
      </c>
    </row>
    <row r="2093" spans="1:42" ht="12.75">
      <c r="A2093" s="106">
        <v>2018</v>
      </c>
      <c r="B2093" s="106">
        <v>-157289</v>
      </c>
      <c r="C2093" s="106">
        <v>0</v>
      </c>
      <c r="D2093" s="106">
        <v>157289</v>
      </c>
      <c r="E2093" s="106" t="s">
        <v>3213</v>
      </c>
      <c r="F2093" s="106" t="s">
        <v>319</v>
      </c>
      <c r="G2093" s="106" t="s">
        <v>118</v>
      </c>
      <c r="H2093" s="106">
        <v>1</v>
      </c>
      <c r="I2093" s="106" t="s">
        <v>23</v>
      </c>
      <c r="J2093" s="106">
        <v>11264</v>
      </c>
      <c r="K2093" s="106">
        <v>17098</v>
      </c>
      <c r="L2093" s="106">
        <v>12351</v>
      </c>
      <c r="M2093" s="106">
        <v>0.33</v>
      </c>
      <c r="N2093" s="106">
        <v>0.48</v>
      </c>
      <c r="O2093" s="106">
        <v>0.69</v>
      </c>
      <c r="P2093" s="106">
        <v>8476</v>
      </c>
      <c r="Q2093" s="106">
        <v>4660.7801067282826</v>
      </c>
      <c r="R2093" s="106">
        <v>0.27317077889414831</v>
      </c>
      <c r="S2093" s="106">
        <v>51389.778291247181</v>
      </c>
      <c r="T2093" s="106">
        <v>57432.744677339499</v>
      </c>
      <c r="U2093" s="106">
        <v>24990.725319398265</v>
      </c>
      <c r="V2093" s="106">
        <v>0.49622414343090021</v>
      </c>
      <c r="W2093" s="106">
        <v>106773.18348144276</v>
      </c>
      <c r="X2093" s="110">
        <v>0.65218998903209424</v>
      </c>
      <c r="Y2093" s="106">
        <v>238.44998332777593</v>
      </c>
      <c r="Z2093" s="106">
        <v>9.0915305101700579</v>
      </c>
      <c r="AA2093" s="106">
        <v>88462.787561967329</v>
      </c>
      <c r="AB2093" s="106">
        <v>952.83689494023429</v>
      </c>
      <c r="AC2093" s="106">
        <v>1.1304188207945738</v>
      </c>
      <c r="AD2093" s="106">
        <v>28.276431718061673</v>
      </c>
      <c r="AE2093" s="106">
        <v>92.84148003894839</v>
      </c>
      <c r="AF2093" s="106">
        <v>4.1204789004215371E-3</v>
      </c>
      <c r="AG2093" s="106">
        <v>11068</v>
      </c>
      <c r="AH2093" s="106">
        <v>49179.18248335809</v>
      </c>
      <c r="AI2093" s="106">
        <v>50862.463552841502</v>
      </c>
      <c r="AJ2093" s="106">
        <v>51541.398470594708</v>
      </c>
      <c r="AK2093" s="104">
        <v>49529.900423612256</v>
      </c>
      <c r="AL2093" s="118">
        <v>132959000</v>
      </c>
      <c r="AM2093" s="118">
        <v>15546</v>
      </c>
      <c r="AN2093" s="118">
        <v>476741</v>
      </c>
      <c r="AO2093" s="118">
        <v>3039</v>
      </c>
      <c r="AP2093" s="118">
        <f t="shared" si="32"/>
        <v>196</v>
      </c>
    </row>
    <row r="2094" spans="1:42" ht="12.75">
      <c r="A2094" s="106">
        <v>2018</v>
      </c>
      <c r="B2094" s="106">
        <v>-232609</v>
      </c>
      <c r="C2094" s="106">
        <v>0</v>
      </c>
      <c r="D2094" s="106">
        <v>232609</v>
      </c>
      <c r="E2094" s="106" t="s">
        <v>4217</v>
      </c>
      <c r="F2094" s="106" t="s">
        <v>685</v>
      </c>
      <c r="G2094" s="106" t="s">
        <v>261</v>
      </c>
      <c r="H2094" s="106">
        <v>6</v>
      </c>
      <c r="I2094" s="106" t="s">
        <v>3640</v>
      </c>
      <c r="J2094" s="106">
        <v>37690</v>
      </c>
      <c r="K2094" s="106">
        <v>24613</v>
      </c>
      <c r="L2094" s="106">
        <v>19214</v>
      </c>
      <c r="M2094" s="106">
        <v>0.31</v>
      </c>
      <c r="N2094" s="106">
        <v>0.68</v>
      </c>
      <c r="O2094" s="106">
        <v>1</v>
      </c>
      <c r="P2094" s="106">
        <v>22244</v>
      </c>
      <c r="Q2094" s="106">
        <v>13287.276043493512</v>
      </c>
      <c r="R2094" s="106">
        <v>0.45933669940757221</v>
      </c>
      <c r="S2094" s="106">
        <v>23462.960364784285</v>
      </c>
      <c r="T2094" s="106">
        <v>24722.420203437392</v>
      </c>
      <c r="U2094" s="106">
        <v>20314.442770726473</v>
      </c>
      <c r="V2094" s="106">
        <v>0.76988665088576447</v>
      </c>
      <c r="W2094" s="106">
        <v>77784.79941690962</v>
      </c>
      <c r="X2094" s="110">
        <v>0.63088384223171279</v>
      </c>
      <c r="Y2094" s="106">
        <v>340.50699844479004</v>
      </c>
      <c r="Z2094" s="106">
        <v>13.301710730948678</v>
      </c>
      <c r="AA2094" s="106">
        <v>91639.994207818323</v>
      </c>
      <c r="AB2094" s="106">
        <v>793.5720635134852</v>
      </c>
      <c r="AC2094" s="106">
        <v>1.091226607601296</v>
      </c>
      <c r="AD2094" s="106">
        <v>25.089321159190153</v>
      </c>
      <c r="AE2094" s="106">
        <v>115.47784810126582</v>
      </c>
      <c r="AF2094" s="106">
        <v>3.5250980668462661E-2</v>
      </c>
      <c r="AG2094" s="106">
        <v>36720</v>
      </c>
      <c r="AH2094" s="106">
        <v>22436.143809189758</v>
      </c>
      <c r="AI2094" s="106">
        <v>23473.833742546474</v>
      </c>
      <c r="AJ2094" s="106">
        <v>26863.936864258154</v>
      </c>
      <c r="AK2094" s="104">
        <v>20478.86881795861</v>
      </c>
      <c r="AM2094" s="118">
        <v>2050</v>
      </c>
      <c r="AN2094" s="118">
        <v>72982</v>
      </c>
      <c r="AO2094" s="118">
        <v>406</v>
      </c>
      <c r="AP2094" s="118">
        <f t="shared" si="32"/>
        <v>970</v>
      </c>
    </row>
    <row r="2095" spans="1:42" ht="12.75">
      <c r="A2095" s="106">
        <v>2018</v>
      </c>
      <c r="B2095" s="106">
        <v>-161253</v>
      </c>
      <c r="C2095" s="106">
        <v>0</v>
      </c>
      <c r="D2095" s="106">
        <v>161253</v>
      </c>
      <c r="E2095" s="106" t="s">
        <v>3214</v>
      </c>
      <c r="F2095" s="106" t="s">
        <v>3215</v>
      </c>
      <c r="G2095" s="106" t="s">
        <v>301</v>
      </c>
      <c r="H2095" s="106">
        <v>1</v>
      </c>
      <c r="I2095" s="106" t="s">
        <v>23</v>
      </c>
      <c r="J2095" s="106">
        <v>10902</v>
      </c>
      <c r="K2095" s="106">
        <v>16984</v>
      </c>
      <c r="L2095" s="106">
        <v>12328</v>
      </c>
      <c r="M2095" s="106">
        <v>0.32</v>
      </c>
      <c r="N2095" s="106">
        <v>0.66</v>
      </c>
      <c r="O2095" s="106">
        <v>0.99</v>
      </c>
      <c r="P2095" s="106">
        <v>7738</v>
      </c>
      <c r="Q2095" s="106">
        <v>5676.7424950659606</v>
      </c>
      <c r="R2095" s="106">
        <v>0.33188393475277228</v>
      </c>
      <c r="S2095" s="106">
        <v>37866.001869741354</v>
      </c>
      <c r="T2095" s="106">
        <v>38382.881479173157</v>
      </c>
      <c r="U2095" s="106">
        <v>16936.678679125769</v>
      </c>
      <c r="V2095" s="106">
        <v>0.67474027007645443</v>
      </c>
      <c r="W2095" s="106">
        <v>89618.017759954164</v>
      </c>
      <c r="X2095" s="110">
        <v>0.56444986901643246</v>
      </c>
      <c r="Y2095" s="106">
        <v>422.70149253731341</v>
      </c>
      <c r="Z2095" s="106">
        <v>14.368656716417911</v>
      </c>
      <c r="AA2095" s="106">
        <v>71512.897212256052</v>
      </c>
      <c r="AB2095" s="106">
        <v>575.71909764465863</v>
      </c>
      <c r="AC2095" s="106">
        <v>1.3983491635528615</v>
      </c>
      <c r="AD2095" s="106">
        <v>23.123732251521297</v>
      </c>
      <c r="AE2095" s="106">
        <v>124.21491228070175</v>
      </c>
      <c r="AF2095" s="106">
        <v>2.1087305446424346E-2</v>
      </c>
      <c r="AG2095" s="106">
        <v>8580</v>
      </c>
      <c r="AH2095" s="106">
        <v>35889.477511166508</v>
      </c>
      <c r="AI2095" s="106">
        <v>37046.743533811154</v>
      </c>
      <c r="AJ2095" s="106">
        <v>38441.15508465773</v>
      </c>
      <c r="AK2095" s="104">
        <v>33688.99968837644</v>
      </c>
      <c r="AL2095" s="119">
        <v>98051000</v>
      </c>
      <c r="AM2095" s="118">
        <v>9279</v>
      </c>
      <c r="AN2095" s="118">
        <v>283210</v>
      </c>
      <c r="AO2095" s="118">
        <v>1760</v>
      </c>
      <c r="AP2095" s="118">
        <f t="shared" si="32"/>
        <v>2322</v>
      </c>
    </row>
    <row r="2096" spans="1:42" ht="12.75">
      <c r="A2096" s="106">
        <v>2018</v>
      </c>
      <c r="B2096" s="106">
        <v>-161217</v>
      </c>
      <c r="C2096" s="106">
        <v>0</v>
      </c>
      <c r="D2096" s="106">
        <v>161217</v>
      </c>
      <c r="E2096" s="106" t="s">
        <v>3216</v>
      </c>
      <c r="F2096" s="106" t="s">
        <v>240</v>
      </c>
      <c r="G2096" s="106" t="s">
        <v>301</v>
      </c>
      <c r="H2096" s="106">
        <v>3</v>
      </c>
      <c r="I2096" s="104" t="s">
        <v>26</v>
      </c>
      <c r="J2096" s="106">
        <v>7808</v>
      </c>
      <c r="K2096" s="106">
        <v>9899</v>
      </c>
      <c r="L2096" s="106">
        <v>8597</v>
      </c>
      <c r="M2096" s="106">
        <v>0.63</v>
      </c>
      <c r="N2096" s="106">
        <v>0.56000000000000005</v>
      </c>
      <c r="O2096" s="106">
        <v>0.56000000000000005</v>
      </c>
      <c r="P2096" s="106">
        <v>2476</v>
      </c>
      <c r="Q2096" s="106">
        <v>1913.0615640599001</v>
      </c>
      <c r="R2096" s="106">
        <v>0.22547433446095014</v>
      </c>
      <c r="S2096" s="106">
        <v>19188.019966722131</v>
      </c>
      <c r="T2096" s="106">
        <v>20121.880199667223</v>
      </c>
      <c r="U2096" s="106">
        <v>14884.595320592131</v>
      </c>
      <c r="V2096" s="106">
        <v>0.44149990506450881</v>
      </c>
      <c r="W2096" s="106">
        <v>76339.130434782608</v>
      </c>
      <c r="X2096" s="110">
        <v>0.54445661836148262</v>
      </c>
      <c r="Y2096" s="106">
        <v>510.26179245283015</v>
      </c>
      <c r="Z2096" s="106">
        <v>17.009433962264151</v>
      </c>
      <c r="AA2096" s="106">
        <v>59637.611917839138</v>
      </c>
      <c r="AB2096" s="106">
        <v>496.1738168629239</v>
      </c>
      <c r="AC2096" s="106">
        <v>1.6767941703931215</v>
      </c>
      <c r="AD2096" s="106">
        <v>24.948024948024951</v>
      </c>
      <c r="AE2096" s="106">
        <v>120.19499999999999</v>
      </c>
      <c r="AF2096" s="106">
        <v>-2.2765378739893437E-2</v>
      </c>
      <c r="AG2096" s="106">
        <v>6840</v>
      </c>
      <c r="AH2096" s="106">
        <v>16773.710482529117</v>
      </c>
      <c r="AI2096" s="106">
        <v>16901.414309484193</v>
      </c>
      <c r="AJ2096" s="106">
        <v>19413.893510815309</v>
      </c>
      <c r="AK2096" s="104">
        <v>19663.893510815309</v>
      </c>
      <c r="AL2096" s="118">
        <v>18521000</v>
      </c>
      <c r="AM2096" s="118">
        <v>4014</v>
      </c>
      <c r="AN2096" s="118">
        <v>72117</v>
      </c>
      <c r="AO2096" s="118">
        <v>537</v>
      </c>
      <c r="AP2096" s="118">
        <f t="shared" si="32"/>
        <v>968</v>
      </c>
    </row>
    <row r="2097" spans="1:42" ht="12.75">
      <c r="A2097" s="106">
        <v>2018</v>
      </c>
      <c r="B2097" s="106">
        <v>-161226</v>
      </c>
      <c r="C2097" s="106">
        <v>0</v>
      </c>
      <c r="D2097" s="106">
        <v>161226</v>
      </c>
      <c r="E2097" s="106" t="s">
        <v>3217</v>
      </c>
      <c r="F2097" s="106" t="s">
        <v>2712</v>
      </c>
      <c r="G2097" s="106" t="s">
        <v>301</v>
      </c>
      <c r="H2097" s="106">
        <v>3</v>
      </c>
      <c r="I2097" s="104" t="s">
        <v>26</v>
      </c>
      <c r="J2097" s="106">
        <v>9458</v>
      </c>
      <c r="K2097" s="106">
        <v>14579</v>
      </c>
      <c r="L2097" s="106">
        <v>11251</v>
      </c>
      <c r="M2097" s="106">
        <v>0.54</v>
      </c>
      <c r="N2097" s="106">
        <v>0.76</v>
      </c>
      <c r="O2097" s="106">
        <v>0.9</v>
      </c>
      <c r="P2097" s="106">
        <v>4201</v>
      </c>
      <c r="Q2097" s="106">
        <v>3054.779806659506</v>
      </c>
      <c r="R2097" s="106">
        <v>0.28580042206813383</v>
      </c>
      <c r="S2097" s="106">
        <v>24475.832438238453</v>
      </c>
      <c r="T2097" s="106">
        <v>25892.051557465093</v>
      </c>
      <c r="U2097" s="106">
        <v>19175.06789941747</v>
      </c>
      <c r="V2097" s="106">
        <v>0.39810691754121336</v>
      </c>
      <c r="W2097" s="106">
        <v>74251.428571428565</v>
      </c>
      <c r="X2097" s="110">
        <v>0.53904710543237022</v>
      </c>
      <c r="Y2097" s="106">
        <v>404.47921760391193</v>
      </c>
      <c r="Z2097" s="106">
        <v>13.657701711491441</v>
      </c>
      <c r="AA2097" s="106">
        <v>85826.866415181095</v>
      </c>
      <c r="AB2097" s="106">
        <v>647.46801880014755</v>
      </c>
      <c r="AC2097" s="106">
        <v>1.1651363282478173</v>
      </c>
      <c r="AD2097" s="106">
        <v>22.782037239868565</v>
      </c>
      <c r="AE2097" s="106">
        <v>132.55769230769232</v>
      </c>
      <c r="AF2097" s="106">
        <v>-2.5461694043816041E-2</v>
      </c>
      <c r="AG2097" s="106">
        <v>8576</v>
      </c>
      <c r="AH2097" s="106">
        <v>23591.836734693876</v>
      </c>
      <c r="AI2097" s="106">
        <v>24119.226638023629</v>
      </c>
      <c r="AJ2097" s="106">
        <v>24977.443609022557</v>
      </c>
      <c r="AK2097" s="104">
        <v>21343.716433941998</v>
      </c>
      <c r="AL2097" s="118">
        <v>12529000</v>
      </c>
      <c r="AM2097" s="118">
        <v>1811</v>
      </c>
      <c r="AN2097" s="118">
        <v>55144</v>
      </c>
      <c r="AO2097" s="118">
        <v>357</v>
      </c>
      <c r="AP2097" s="118">
        <f t="shared" si="32"/>
        <v>882</v>
      </c>
    </row>
    <row r="2098" spans="1:42" ht="12.75">
      <c r="A2098" s="106">
        <v>2018</v>
      </c>
      <c r="B2098" s="106">
        <v>-161235</v>
      </c>
      <c r="C2098" s="106">
        <v>0</v>
      </c>
      <c r="D2098" s="106">
        <v>161235</v>
      </c>
      <c r="E2098" s="106" t="s">
        <v>3218</v>
      </c>
      <c r="F2098" s="106" t="s">
        <v>3219</v>
      </c>
      <c r="G2098" s="106" t="s">
        <v>301</v>
      </c>
      <c r="H2098" s="106">
        <v>3</v>
      </c>
      <c r="I2098" s="104" t="s">
        <v>26</v>
      </c>
      <c r="J2098" s="106">
        <v>7965</v>
      </c>
      <c r="K2098" s="106">
        <v>10731</v>
      </c>
      <c r="L2098" s="106">
        <v>8669</v>
      </c>
      <c r="M2098" s="106">
        <v>0.46</v>
      </c>
      <c r="N2098" s="106">
        <v>0.53</v>
      </c>
      <c r="O2098" s="106">
        <v>0.6</v>
      </c>
      <c r="P2098" s="106">
        <v>3121</v>
      </c>
      <c r="Q2098" s="106">
        <v>1628.8032454361055</v>
      </c>
      <c r="R2098" s="106">
        <v>0.18510834485938221</v>
      </c>
      <c r="S2098" s="106">
        <v>18213.995943204867</v>
      </c>
      <c r="T2098" s="106">
        <v>17478.701825557808</v>
      </c>
      <c r="U2098" s="106">
        <v>13815.836659437417</v>
      </c>
      <c r="V2098" s="106">
        <v>0.51899755130931791</v>
      </c>
      <c r="W2098" s="106">
        <v>71977.040816326538</v>
      </c>
      <c r="X2098" s="110">
        <v>0.54572356968782643</v>
      </c>
      <c r="Y2098" s="106">
        <v>620.39160839160832</v>
      </c>
      <c r="Z2098" s="106">
        <v>20.685314685314683</v>
      </c>
      <c r="AA2098" s="106">
        <v>62776.105742881533</v>
      </c>
      <c r="AB2098" s="106">
        <v>460.65247349537714</v>
      </c>
      <c r="AC2098" s="106">
        <v>1.5929627812464213</v>
      </c>
      <c r="AD2098" s="106">
        <v>20.52980132450331</v>
      </c>
      <c r="AE2098" s="106">
        <v>136.27649769585253</v>
      </c>
      <c r="AF2098" s="106">
        <v>6.3306133192945507E-2</v>
      </c>
      <c r="AG2098" s="106">
        <v>6840</v>
      </c>
      <c r="AH2098" s="106">
        <v>17164.300202839757</v>
      </c>
      <c r="AI2098" s="106">
        <v>17731.237322515211</v>
      </c>
      <c r="AJ2098" s="106">
        <v>18410.75050709939</v>
      </c>
      <c r="AK2098" s="104">
        <v>15731.237322515213</v>
      </c>
      <c r="AL2098" s="118">
        <v>6645000</v>
      </c>
      <c r="AM2098" s="118">
        <v>1760</v>
      </c>
      <c r="AN2098" s="118">
        <v>29572</v>
      </c>
      <c r="AO2098" s="118">
        <v>217</v>
      </c>
      <c r="AP2098" s="118">
        <f t="shared" si="32"/>
        <v>1125</v>
      </c>
    </row>
    <row r="2099" spans="1:42" ht="12.75">
      <c r="A2099" s="106">
        <v>2018</v>
      </c>
      <c r="B2099" s="106">
        <v>-161244</v>
      </c>
      <c r="C2099" s="106">
        <v>0</v>
      </c>
      <c r="D2099" s="106">
        <v>161244</v>
      </c>
      <c r="E2099" s="106" t="s">
        <v>3220</v>
      </c>
      <c r="F2099" s="106" t="s">
        <v>3221</v>
      </c>
      <c r="G2099" s="106" t="s">
        <v>301</v>
      </c>
      <c r="H2099" s="106">
        <v>3</v>
      </c>
      <c r="I2099" s="104" t="s">
        <v>26</v>
      </c>
      <c r="J2099" s="106">
        <v>7680</v>
      </c>
      <c r="K2099" s="106">
        <v>8877</v>
      </c>
      <c r="L2099" s="106">
        <v>6742</v>
      </c>
      <c r="M2099" s="106">
        <v>0.6</v>
      </c>
      <c r="N2099" s="106">
        <v>0.41</v>
      </c>
      <c r="O2099" s="106">
        <v>0.85</v>
      </c>
      <c r="P2099" s="106">
        <v>4257</v>
      </c>
      <c r="Q2099" s="106">
        <v>3334.7547974413646</v>
      </c>
      <c r="R2099" s="106">
        <v>0.34840721764312765</v>
      </c>
      <c r="S2099" s="106">
        <v>26294.243070362474</v>
      </c>
      <c r="T2099" s="106">
        <v>27208.955223880595</v>
      </c>
      <c r="U2099" s="106">
        <v>19057.507378330331</v>
      </c>
      <c r="V2099" s="106">
        <v>0.32725548258628645</v>
      </c>
      <c r="W2099" s="106">
        <v>63202.247191011236</v>
      </c>
      <c r="X2099" s="110">
        <v>0.44079617584828773</v>
      </c>
      <c r="Y2099" s="106">
        <v>334.92857142857144</v>
      </c>
      <c r="Z2099" s="106">
        <v>11.166666666666666</v>
      </c>
      <c r="AA2099" s="106">
        <v>98219.461103702473</v>
      </c>
      <c r="AB2099" s="106">
        <v>635.38572264426853</v>
      </c>
      <c r="AC2099" s="106">
        <v>1.0181281680462244</v>
      </c>
      <c r="AD2099" s="106">
        <v>18.127490039840637</v>
      </c>
      <c r="AE2099" s="106">
        <v>154.58241758241758</v>
      </c>
      <c r="AF2099" s="106">
        <v>-3.2067270006413454E-3</v>
      </c>
      <c r="AG2099" s="106">
        <v>6840</v>
      </c>
      <c r="AH2099" s="106">
        <v>25469.083155650318</v>
      </c>
      <c r="AI2099" s="106">
        <v>25626.86567164179</v>
      </c>
      <c r="AJ2099" s="106">
        <v>26663.11300639659</v>
      </c>
      <c r="AK2099" s="104">
        <v>23095.948827292112</v>
      </c>
      <c r="AL2099" s="118">
        <v>6022000</v>
      </c>
      <c r="AM2099" s="118">
        <v>701</v>
      </c>
      <c r="AN2099" s="118">
        <v>14067</v>
      </c>
      <c r="AO2099" s="118">
        <v>79</v>
      </c>
      <c r="AP2099" s="118">
        <f t="shared" si="32"/>
        <v>840</v>
      </c>
    </row>
    <row r="2100" spans="1:42" ht="12.75">
      <c r="A2100" s="106">
        <v>2018</v>
      </c>
      <c r="B2100" s="106">
        <v>-161341</v>
      </c>
      <c r="C2100" s="106">
        <v>0</v>
      </c>
      <c r="D2100" s="106">
        <v>161341</v>
      </c>
      <c r="E2100" s="106" t="s">
        <v>3222</v>
      </c>
      <c r="F2100" s="106" t="s">
        <v>2259</v>
      </c>
      <c r="G2100" s="106" t="s">
        <v>301</v>
      </c>
      <c r="H2100" s="106">
        <v>3</v>
      </c>
      <c r="I2100" s="104" t="s">
        <v>26</v>
      </c>
      <c r="J2100" s="106">
        <v>7885</v>
      </c>
      <c r="K2100" s="106">
        <v>10370</v>
      </c>
      <c r="L2100" s="106">
        <v>8453</v>
      </c>
      <c r="M2100" s="106">
        <v>0.53</v>
      </c>
      <c r="N2100" s="106">
        <v>0.73</v>
      </c>
      <c r="O2100" s="106">
        <v>0.75</v>
      </c>
      <c r="P2100" s="106">
        <v>2785</v>
      </c>
      <c r="Q2100" s="106">
        <v>2121.2458286985539</v>
      </c>
      <c r="R2100" s="106">
        <v>0.24990171668195518</v>
      </c>
      <c r="S2100" s="106">
        <v>22172.413793103449</v>
      </c>
      <c r="T2100" s="106">
        <v>23109.010011123471</v>
      </c>
      <c r="U2100" s="106">
        <v>16971.168144823008</v>
      </c>
      <c r="V2100" s="106">
        <v>0.37517008098200688</v>
      </c>
      <c r="W2100" s="106">
        <v>71146.666666666672</v>
      </c>
      <c r="X2100" s="110">
        <v>0.51369434416365822</v>
      </c>
      <c r="Y2100" s="106">
        <v>515.52229299363057</v>
      </c>
      <c r="Z2100" s="106">
        <v>17.178343949044585</v>
      </c>
      <c r="AA2100" s="106">
        <v>101713.86774797256</v>
      </c>
      <c r="AB2100" s="106">
        <v>565.51688951391395</v>
      </c>
      <c r="AC2100" s="106">
        <v>0.98315010739519615</v>
      </c>
      <c r="AD2100" s="106">
        <v>15.030060120240481</v>
      </c>
      <c r="AE2100" s="106">
        <v>179.86</v>
      </c>
      <c r="AF2100" s="106">
        <v>-1.4379756291143377E-2</v>
      </c>
      <c r="AG2100" s="106">
        <v>6840</v>
      </c>
      <c r="AH2100" s="106">
        <v>21934.371523915463</v>
      </c>
      <c r="AI2100" s="106">
        <v>22076.751946607343</v>
      </c>
      <c r="AJ2100" s="106">
        <v>22292.547274749722</v>
      </c>
      <c r="AK2100" s="104">
        <v>20872.080088987765</v>
      </c>
      <c r="AL2100" s="118">
        <v>8225000</v>
      </c>
      <c r="AM2100" s="118">
        <v>1414</v>
      </c>
      <c r="AN2100" s="118">
        <v>26979</v>
      </c>
      <c r="AO2100" s="118">
        <v>149</v>
      </c>
      <c r="AP2100" s="118">
        <f t="shared" si="32"/>
        <v>1045</v>
      </c>
    </row>
    <row r="2101" spans="1:42" ht="12.75">
      <c r="A2101" s="106">
        <v>2018</v>
      </c>
      <c r="B2101" s="106">
        <v>-200217</v>
      </c>
      <c r="C2101" s="106">
        <v>0</v>
      </c>
      <c r="D2101" s="106">
        <v>200217</v>
      </c>
      <c r="E2101" s="106" t="s">
        <v>3223</v>
      </c>
      <c r="F2101" s="106" t="s">
        <v>381</v>
      </c>
      <c r="G2101" s="106" t="s">
        <v>382</v>
      </c>
      <c r="H2101" s="106">
        <v>6</v>
      </c>
      <c r="I2101" s="106" t="s">
        <v>3640</v>
      </c>
      <c r="J2101" s="106">
        <v>18150</v>
      </c>
      <c r="K2101" s="106">
        <v>17216</v>
      </c>
      <c r="L2101" s="106">
        <v>12797</v>
      </c>
      <c r="M2101" s="106">
        <v>0.24</v>
      </c>
      <c r="N2101" s="106">
        <v>0.66</v>
      </c>
      <c r="O2101" s="106">
        <v>0.98</v>
      </c>
      <c r="P2101" s="106">
        <v>9547</v>
      </c>
      <c r="Q2101" s="106">
        <v>4902.713027634376</v>
      </c>
      <c r="R2101" s="106">
        <v>0.28908960066608325</v>
      </c>
      <c r="S2101" s="106">
        <v>24479.824476161553</v>
      </c>
      <c r="T2101" s="106">
        <v>23103.250835104769</v>
      </c>
      <c r="U2101" s="106">
        <v>16012.651685393259</v>
      </c>
      <c r="V2101" s="106">
        <v>0.75293175594412121</v>
      </c>
      <c r="W2101" s="106">
        <v>74115.918124006363</v>
      </c>
      <c r="X2101" s="110">
        <v>0.40851316338850646</v>
      </c>
      <c r="Y2101" s="106">
        <v>465.77678571428572</v>
      </c>
      <c r="Z2101" s="106">
        <v>17.641071428571429</v>
      </c>
      <c r="AA2101" s="106">
        <v>57128.561213434456</v>
      </c>
      <c r="AB2101" s="106">
        <v>606.4714704698373</v>
      </c>
      <c r="AC2101" s="106">
        <v>1.7504379223974542</v>
      </c>
      <c r="AD2101" s="106">
        <v>32.614840989399291</v>
      </c>
      <c r="AE2101" s="106">
        <v>94.19826652221019</v>
      </c>
      <c r="AF2101" s="106">
        <v>7.9251869568018926E-2</v>
      </c>
      <c r="AG2101" s="106">
        <v>16470</v>
      </c>
      <c r="AH2101" s="106">
        <v>15472.80139690252</v>
      </c>
      <c r="AI2101" s="106">
        <v>19577.111448527179</v>
      </c>
      <c r="AJ2101" s="106">
        <v>25770.065897358032</v>
      </c>
      <c r="AK2101" s="104">
        <v>16012.651685393259</v>
      </c>
      <c r="AM2101" s="118">
        <v>2237</v>
      </c>
      <c r="AN2101" s="118">
        <v>86945</v>
      </c>
      <c r="AO2101" s="118">
        <v>495</v>
      </c>
      <c r="AP2101" s="118">
        <f t="shared" si="32"/>
        <v>1680</v>
      </c>
    </row>
    <row r="2102" spans="1:42" ht="12.75">
      <c r="A2102" s="106">
        <v>2018</v>
      </c>
      <c r="B2102" s="106">
        <v>-226471</v>
      </c>
      <c r="C2102" s="106">
        <v>0</v>
      </c>
      <c r="D2102" s="106">
        <v>226471</v>
      </c>
      <c r="E2102" s="106" t="s">
        <v>3224</v>
      </c>
      <c r="F2102" s="106" t="s">
        <v>3225</v>
      </c>
      <c r="G2102" s="106" t="s">
        <v>60</v>
      </c>
      <c r="H2102" s="106">
        <v>6</v>
      </c>
      <c r="I2102" s="106" t="s">
        <v>3640</v>
      </c>
      <c r="J2102" s="106">
        <v>25860</v>
      </c>
      <c r="K2102" s="106">
        <v>25230</v>
      </c>
      <c r="L2102" s="106">
        <v>22167</v>
      </c>
      <c r="M2102" s="106">
        <v>0.4</v>
      </c>
      <c r="N2102" s="106">
        <v>0.72</v>
      </c>
      <c r="O2102" s="106">
        <v>0.96</v>
      </c>
      <c r="P2102" s="106">
        <v>10697</v>
      </c>
      <c r="Q2102" s="106">
        <v>7932.6676479246398</v>
      </c>
      <c r="R2102" s="106">
        <v>0.29477619026157775</v>
      </c>
      <c r="S2102" s="106">
        <v>26587.330880188401</v>
      </c>
      <c r="T2102" s="106">
        <v>24582.851045039741</v>
      </c>
      <c r="U2102" s="106">
        <v>20249.949955843393</v>
      </c>
      <c r="V2102" s="106">
        <v>0.93719479894192503</v>
      </c>
      <c r="W2102" s="106">
        <v>82450.906211180132</v>
      </c>
      <c r="X2102" s="110">
        <v>0.52987357071234364</v>
      </c>
      <c r="Y2102" s="106">
        <v>463.40639999999996</v>
      </c>
      <c r="Z2102" s="106">
        <v>16.305599999999998</v>
      </c>
      <c r="AA2102" s="106">
        <v>75758.898678414102</v>
      </c>
      <c r="AB2102" s="106">
        <v>712.52271008773289</v>
      </c>
      <c r="AC2102" s="106">
        <v>1.3199769498298277</v>
      </c>
      <c r="AD2102" s="106">
        <v>25.089803813208068</v>
      </c>
      <c r="AE2102" s="106">
        <v>106.32488986784141</v>
      </c>
      <c r="AF2102" s="106">
        <v>6.4031013357033914E-2</v>
      </c>
      <c r="AG2102" s="106">
        <v>23660</v>
      </c>
      <c r="AH2102" s="106">
        <v>24306.479835148661</v>
      </c>
      <c r="AI2102" s="106">
        <v>26697.398586988518</v>
      </c>
      <c r="AJ2102" s="106">
        <v>29301.992934942595</v>
      </c>
      <c r="AK2102" s="104">
        <v>20249.949955843393</v>
      </c>
      <c r="AL2102" s="118"/>
      <c r="AM2102" s="118">
        <v>3333</v>
      </c>
      <c r="AN2102" s="118">
        <v>96543</v>
      </c>
      <c r="AO2102" s="118">
        <v>636</v>
      </c>
      <c r="AP2102" s="118">
        <f t="shared" si="32"/>
        <v>2200</v>
      </c>
    </row>
    <row r="2103" spans="1:42" ht="12.75">
      <c r="A2103" s="106">
        <v>2018</v>
      </c>
      <c r="B2103" s="106">
        <v>-232681</v>
      </c>
      <c r="C2103" s="106">
        <v>0</v>
      </c>
      <c r="D2103" s="106">
        <v>232681</v>
      </c>
      <c r="E2103" s="106" t="s">
        <v>3226</v>
      </c>
      <c r="F2103" s="106" t="s">
        <v>3227</v>
      </c>
      <c r="G2103" s="106" t="s">
        <v>261</v>
      </c>
      <c r="H2103" s="106">
        <v>2</v>
      </c>
      <c r="I2103" s="106" t="s">
        <v>25</v>
      </c>
      <c r="J2103" s="106">
        <v>12188</v>
      </c>
      <c r="K2103" s="106">
        <v>20892</v>
      </c>
      <c r="L2103" s="106">
        <v>12505</v>
      </c>
      <c r="M2103" s="106">
        <v>0.2</v>
      </c>
      <c r="N2103" s="106">
        <v>0.5</v>
      </c>
      <c r="O2103" s="106">
        <v>0.86</v>
      </c>
      <c r="P2103" s="106">
        <v>4138</v>
      </c>
      <c r="Q2103" s="106">
        <v>2234.1304547542491</v>
      </c>
      <c r="R2103" s="106">
        <v>0.2123484430574199</v>
      </c>
      <c r="S2103" s="106">
        <v>25418.844740468536</v>
      </c>
      <c r="T2103" s="106">
        <v>26330.73311897106</v>
      </c>
      <c r="U2103" s="106">
        <v>16402.693253297315</v>
      </c>
      <c r="V2103" s="106">
        <v>0.50521754042366462</v>
      </c>
      <c r="W2103" s="106">
        <v>76414.667739340308</v>
      </c>
      <c r="X2103" s="110">
        <v>0.55233838117947232</v>
      </c>
      <c r="Y2103" s="106">
        <v>425.79560439560441</v>
      </c>
      <c r="Z2103" s="106">
        <v>14.353846153846154</v>
      </c>
      <c r="AA2103" s="106">
        <v>65043.102390579705</v>
      </c>
      <c r="AB2103" s="106">
        <v>552.94543446675016</v>
      </c>
      <c r="AC2103" s="106">
        <v>1.5374420395802515</v>
      </c>
      <c r="AD2103" s="106">
        <v>25.293711126468555</v>
      </c>
      <c r="AE2103" s="106">
        <v>117.63023679417122</v>
      </c>
      <c r="AF2103" s="106">
        <v>5.1236923812880586E-2</v>
      </c>
      <c r="AG2103" s="106">
        <v>6032</v>
      </c>
      <c r="AH2103" s="106">
        <v>26221.631832797426</v>
      </c>
      <c r="AI2103" s="106">
        <v>26221.631832797426</v>
      </c>
      <c r="AJ2103" s="106">
        <v>25511.446026642167</v>
      </c>
      <c r="AK2103" s="104">
        <v>16797.031235645383</v>
      </c>
      <c r="AL2103" s="118">
        <v>31937934</v>
      </c>
      <c r="AM2103" s="118">
        <v>4398</v>
      </c>
      <c r="AN2103" s="118">
        <v>129158</v>
      </c>
      <c r="AO2103" s="118">
        <v>931</v>
      </c>
      <c r="AP2103" s="118">
        <f t="shared" si="32"/>
        <v>6156</v>
      </c>
    </row>
    <row r="2104" spans="1:42" ht="12.75">
      <c r="A2104" s="106">
        <v>2018</v>
      </c>
      <c r="B2104" s="106">
        <v>-163338</v>
      </c>
      <c r="C2104" s="106">
        <v>0</v>
      </c>
      <c r="D2104" s="106">
        <v>163338</v>
      </c>
      <c r="E2104" s="106" t="s">
        <v>3228</v>
      </c>
      <c r="F2104" s="106" t="s">
        <v>3229</v>
      </c>
      <c r="G2104" s="106" t="s">
        <v>124</v>
      </c>
      <c r="H2104" s="106">
        <v>1</v>
      </c>
      <c r="I2104" s="106" t="s">
        <v>23</v>
      </c>
      <c r="J2104" s="106">
        <v>8042</v>
      </c>
      <c r="K2104" s="106">
        <v>16606</v>
      </c>
      <c r="L2104" s="106">
        <v>15997</v>
      </c>
      <c r="M2104" s="106">
        <v>0.63</v>
      </c>
      <c r="N2104" s="106">
        <v>0.7</v>
      </c>
      <c r="O2104" s="106">
        <v>0.48</v>
      </c>
      <c r="P2104" s="106">
        <v>3665</v>
      </c>
      <c r="Q2104" s="106">
        <v>1653.3218224027858</v>
      </c>
      <c r="R2104" s="106">
        <v>0.2143426006439367</v>
      </c>
      <c r="S2104" s="106">
        <v>31566.625943122461</v>
      </c>
      <c r="T2104" s="106">
        <v>34245.814857806152</v>
      </c>
      <c r="U2104" s="106">
        <v>20913.190369195429</v>
      </c>
      <c r="V2104" s="106">
        <v>0.28977560192166829</v>
      </c>
      <c r="W2104" s="106">
        <v>89959.62665449566</v>
      </c>
      <c r="X2104" s="110">
        <v>0.55673175021755161</v>
      </c>
      <c r="Y2104" s="106">
        <v>342.04365079365078</v>
      </c>
      <c r="Z2104" s="106">
        <v>13.674603174603174</v>
      </c>
      <c r="AA2104" s="106">
        <v>113670.11673856064</v>
      </c>
      <c r="AB2104" s="106">
        <v>836.09088708448803</v>
      </c>
      <c r="AC2104" s="106">
        <v>0.87973869359172319</v>
      </c>
      <c r="AD2104" s="106">
        <v>19.930839358692236</v>
      </c>
      <c r="AE2104" s="106">
        <v>135.95425867507888</v>
      </c>
      <c r="AF2104" s="106">
        <v>-3.3797251502323003E-2</v>
      </c>
      <c r="AG2104" s="106">
        <v>5208</v>
      </c>
      <c r="AH2104" s="106">
        <v>31460.266395821243</v>
      </c>
      <c r="AI2104" s="106">
        <v>31507.148578061522</v>
      </c>
      <c r="AJ2104" s="106">
        <v>31731.441381311666</v>
      </c>
      <c r="AK2104" s="104">
        <v>26206.809344167152</v>
      </c>
      <c r="AL2104" s="119">
        <v>41614710</v>
      </c>
      <c r="AM2104" s="118">
        <v>2861</v>
      </c>
      <c r="AN2104" s="118">
        <v>86195</v>
      </c>
      <c r="AO2104" s="118">
        <v>482</v>
      </c>
      <c r="AP2104" s="118">
        <f t="shared" si="32"/>
        <v>2834</v>
      </c>
    </row>
    <row r="2105" spans="1:42" ht="12.75">
      <c r="A2105" s="106">
        <v>2018</v>
      </c>
      <c r="B2105" s="106">
        <v>-163268</v>
      </c>
      <c r="C2105" s="106">
        <v>0</v>
      </c>
      <c r="D2105" s="106">
        <v>163268</v>
      </c>
      <c r="E2105" s="106" t="s">
        <v>3230</v>
      </c>
      <c r="F2105" s="106" t="s">
        <v>284</v>
      </c>
      <c r="G2105" s="106" t="s">
        <v>124</v>
      </c>
      <c r="H2105" s="106">
        <v>1</v>
      </c>
      <c r="I2105" s="106" t="s">
        <v>23</v>
      </c>
      <c r="J2105" s="106">
        <v>11518</v>
      </c>
      <c r="K2105" s="106">
        <v>17141</v>
      </c>
      <c r="L2105" s="106">
        <v>10184</v>
      </c>
      <c r="M2105" s="106">
        <v>0.25</v>
      </c>
      <c r="N2105" s="106">
        <v>0.34</v>
      </c>
      <c r="O2105" s="106">
        <v>0.77</v>
      </c>
      <c r="P2105" s="106">
        <v>6127</v>
      </c>
      <c r="Q2105" s="106">
        <v>2604.8724171282861</v>
      </c>
      <c r="R2105" s="106">
        <v>0.2239127929573515</v>
      </c>
      <c r="S2105" s="106">
        <v>37822.342389870748</v>
      </c>
      <c r="T2105" s="106">
        <v>37460.744570473929</v>
      </c>
      <c r="U2105" s="106">
        <v>17836.569506156658</v>
      </c>
      <c r="V2105" s="106">
        <v>0.50618205426414764</v>
      </c>
      <c r="W2105" s="106">
        <v>118229.56146496814</v>
      </c>
      <c r="X2105" s="110">
        <v>0.58091557882000144</v>
      </c>
      <c r="Y2105" s="106">
        <v>423.64476473081811</v>
      </c>
      <c r="Z2105" s="106">
        <v>14.463331920305214</v>
      </c>
      <c r="AA2105" s="106">
        <v>56870.00420339773</v>
      </c>
      <c r="AB2105" s="106">
        <v>608.94467857063</v>
      </c>
      <c r="AC2105" s="106">
        <v>1.7583962125683374</v>
      </c>
      <c r="AD2105" s="106">
        <v>30.172559634579599</v>
      </c>
      <c r="AE2105" s="106">
        <v>93.39108494533221</v>
      </c>
      <c r="AF2105" s="106">
        <v>8.9701044247066819E-2</v>
      </c>
      <c r="AG2105" s="106">
        <v>8368</v>
      </c>
      <c r="AH2105" s="106">
        <v>36332.542073331577</v>
      </c>
      <c r="AI2105" s="106">
        <v>36332.830036050298</v>
      </c>
      <c r="AJ2105" s="106">
        <v>38079.498373340364</v>
      </c>
      <c r="AK2105" s="104">
        <v>31363.032796975291</v>
      </c>
      <c r="AL2105" s="118">
        <v>121297503</v>
      </c>
      <c r="AM2105" s="118">
        <v>11234</v>
      </c>
      <c r="AN2105" s="118">
        <v>333126</v>
      </c>
      <c r="AO2105" s="118">
        <v>2576</v>
      </c>
      <c r="AP2105" s="118">
        <f t="shared" si="32"/>
        <v>3150</v>
      </c>
    </row>
    <row r="2106" spans="1:42" ht="12.75">
      <c r="A2106" s="106">
        <v>2018</v>
      </c>
      <c r="B2106" s="106">
        <v>-163286</v>
      </c>
      <c r="C2106" s="106">
        <v>0</v>
      </c>
      <c r="D2106" s="106">
        <v>163286</v>
      </c>
      <c r="E2106" s="106" t="s">
        <v>3231</v>
      </c>
      <c r="F2106" s="106" t="s">
        <v>3232</v>
      </c>
      <c r="G2106" s="106" t="s">
        <v>124</v>
      </c>
      <c r="H2106" s="106">
        <v>1</v>
      </c>
      <c r="I2106" s="106" t="s">
        <v>23</v>
      </c>
      <c r="J2106" s="106">
        <v>10399</v>
      </c>
      <c r="K2106" s="106">
        <v>16790</v>
      </c>
      <c r="L2106" s="106">
        <v>7980</v>
      </c>
      <c r="M2106" s="106">
        <v>0.14000000000000001</v>
      </c>
      <c r="N2106" s="106">
        <v>0.31</v>
      </c>
      <c r="O2106" s="106">
        <v>0.53</v>
      </c>
      <c r="P2106" s="106">
        <v>6350</v>
      </c>
      <c r="Q2106" s="106">
        <v>3052.4206945228684</v>
      </c>
      <c r="R2106" s="106">
        <v>0.17168101496048244</v>
      </c>
      <c r="S2106" s="106">
        <v>54439.177752682102</v>
      </c>
      <c r="T2106" s="106">
        <v>55261.590316205533</v>
      </c>
      <c r="U2106" s="106">
        <v>21898.558549075671</v>
      </c>
      <c r="V2106" s="106">
        <v>0.67251845077719852</v>
      </c>
      <c r="W2106" s="106">
        <v>130676.34172814983</v>
      </c>
      <c r="X2106" s="110">
        <v>0.62737854723914477</v>
      </c>
      <c r="Y2106" s="106">
        <v>271.52786211823542</v>
      </c>
      <c r="Z2106" s="106">
        <v>9.4891944990176817</v>
      </c>
      <c r="AA2106" s="106">
        <v>67920.04761893698</v>
      </c>
      <c r="AB2106" s="106">
        <v>765.29782136987546</v>
      </c>
      <c r="AC2106" s="106">
        <v>1.472319344666047</v>
      </c>
      <c r="AD2106" s="106">
        <v>30.365879600085087</v>
      </c>
      <c r="AE2106" s="106">
        <v>88.749824868651487</v>
      </c>
      <c r="AF2106" s="106">
        <v>5.2497470565892712E-2</v>
      </c>
      <c r="AG2106" s="106">
        <v>8481</v>
      </c>
      <c r="AH2106" s="106">
        <v>52893.973913043475</v>
      </c>
      <c r="AI2106" s="106">
        <v>53699.439779785433</v>
      </c>
      <c r="AJ2106" s="106">
        <v>55116.804630152459</v>
      </c>
      <c r="AK2106" s="104">
        <v>43092.303952569171</v>
      </c>
      <c r="AL2106" s="118">
        <v>503031828</v>
      </c>
      <c r="AM2106" s="118">
        <v>29868</v>
      </c>
      <c r="AN2106" s="118">
        <v>1013523</v>
      </c>
      <c r="AO2106" s="118">
        <v>7577</v>
      </c>
      <c r="AP2106" s="118">
        <f t="shared" si="32"/>
        <v>1918</v>
      </c>
    </row>
    <row r="2107" spans="1:42" ht="12.75">
      <c r="A2107" s="106">
        <v>2018</v>
      </c>
      <c r="B2107" s="106">
        <v>-163204</v>
      </c>
      <c r="C2107" s="106">
        <v>0</v>
      </c>
      <c r="D2107" s="106">
        <v>163204</v>
      </c>
      <c r="E2107" s="106" t="s">
        <v>3233</v>
      </c>
      <c r="F2107" s="106" t="s">
        <v>3234</v>
      </c>
      <c r="G2107" s="106" t="s">
        <v>124</v>
      </c>
      <c r="H2107" s="106">
        <v>2</v>
      </c>
      <c r="I2107" s="106" t="s">
        <v>25</v>
      </c>
      <c r="J2107" s="106">
        <v>7296</v>
      </c>
      <c r="K2107" s="106">
        <v>13672</v>
      </c>
      <c r="L2107" s="106">
        <v>13672</v>
      </c>
      <c r="M2107" s="106">
        <v>0.34</v>
      </c>
      <c r="N2107" s="106">
        <v>0.3</v>
      </c>
      <c r="O2107" s="106">
        <v>0.1</v>
      </c>
      <c r="P2107" s="106">
        <v>1665</v>
      </c>
      <c r="Q2107" s="106">
        <v>625.141732061992</v>
      </c>
      <c r="R2107" s="106">
        <v>6.3149514731432432E-2</v>
      </c>
      <c r="S2107" s="106">
        <v>11943.105279441959</v>
      </c>
      <c r="T2107" s="106">
        <v>11918.596236604506</v>
      </c>
      <c r="U2107" s="106">
        <v>10159.517498354435</v>
      </c>
      <c r="V2107" s="106">
        <v>0.91286315307658994</v>
      </c>
      <c r="W2107" s="106">
        <v>111982.60591196593</v>
      </c>
      <c r="X2107" s="110">
        <v>0.68243534273315065</v>
      </c>
      <c r="Y2107" s="106">
        <v>746.44556402064393</v>
      </c>
      <c r="Z2107" s="106">
        <v>26.21258294421234</v>
      </c>
      <c r="AA2107" s="106">
        <v>26438.39303315731</v>
      </c>
      <c r="AB2107" s="106">
        <v>356.76706773412769</v>
      </c>
      <c r="AC2107" s="106">
        <v>3.7823781450932557</v>
      </c>
      <c r="AD2107" s="106">
        <v>46.733255798043373</v>
      </c>
      <c r="AE2107" s="106">
        <v>74.105475040257645</v>
      </c>
      <c r="AF2107" s="106">
        <v>1.7043611928874602E-2</v>
      </c>
      <c r="AG2107" s="106">
        <v>6936</v>
      </c>
      <c r="AH2107" s="106">
        <v>11169.144544764154</v>
      </c>
      <c r="AI2107" s="106">
        <v>11213.55593058251</v>
      </c>
      <c r="AJ2107" s="106">
        <v>12118.501645430766</v>
      </c>
      <c r="AK2107" s="104">
        <v>11902.90749022586</v>
      </c>
      <c r="AL2107" s="118">
        <v>43227983</v>
      </c>
      <c r="AM2107" s="118">
        <v>45604</v>
      </c>
      <c r="AN2107" s="118">
        <v>1012429</v>
      </c>
      <c r="AO2107" s="118">
        <v>7971</v>
      </c>
      <c r="AP2107" s="118">
        <f t="shared" si="32"/>
        <v>360</v>
      </c>
    </row>
    <row r="2108" spans="1:42" ht="12.75">
      <c r="A2108" s="106">
        <v>2018</v>
      </c>
      <c r="B2108" s="106">
        <v>-166629</v>
      </c>
      <c r="C2108" s="106">
        <v>0</v>
      </c>
      <c r="D2108" s="106">
        <v>166629</v>
      </c>
      <c r="E2108" s="106" t="s">
        <v>3235</v>
      </c>
      <c r="F2108" s="106" t="s">
        <v>158</v>
      </c>
      <c r="G2108" s="106" t="s">
        <v>150</v>
      </c>
      <c r="H2108" s="106">
        <v>1</v>
      </c>
      <c r="I2108" s="106" t="s">
        <v>23</v>
      </c>
      <c r="J2108" s="106">
        <v>15411</v>
      </c>
      <c r="K2108" s="106">
        <v>21740</v>
      </c>
      <c r="L2108" s="106">
        <v>12520</v>
      </c>
      <c r="M2108" s="106">
        <v>0.22</v>
      </c>
      <c r="N2108" s="106">
        <v>0.56999999999999995</v>
      </c>
      <c r="O2108" s="106">
        <v>0.82</v>
      </c>
      <c r="P2108" s="106">
        <v>7869</v>
      </c>
      <c r="Q2108" s="106">
        <v>4629.6336766983104</v>
      </c>
      <c r="R2108" s="106">
        <v>0.25506676223702329</v>
      </c>
      <c r="S2108" s="106">
        <v>42151.330640274689</v>
      </c>
      <c r="T2108" s="106">
        <v>42499.561267084093</v>
      </c>
      <c r="U2108" s="106">
        <v>24503.075716948315</v>
      </c>
      <c r="V2108" s="106">
        <v>0.55180992728152101</v>
      </c>
      <c r="W2108" s="106">
        <v>121786.06343150114</v>
      </c>
      <c r="X2108" s="110">
        <v>0.53936697721578453</v>
      </c>
      <c r="Y2108" s="106">
        <v>465.45017051913607</v>
      </c>
      <c r="Z2108" s="106">
        <v>16.884804850322091</v>
      </c>
      <c r="AA2108" s="106">
        <v>83463.865066811908</v>
      </c>
      <c r="AB2108" s="106">
        <v>888.88065343684025</v>
      </c>
      <c r="AC2108" s="106">
        <v>1.1981232826918704</v>
      </c>
      <c r="AD2108" s="106">
        <v>32.95918367346939</v>
      </c>
      <c r="AE2108" s="106">
        <v>93.897718151588123</v>
      </c>
      <c r="AF2108" s="106">
        <v>3.1591757755865237E-2</v>
      </c>
      <c r="AG2108" s="106">
        <v>15030</v>
      </c>
      <c r="AH2108" s="106">
        <v>40967.968558540364</v>
      </c>
      <c r="AI2108" s="106">
        <v>41654.717834780851</v>
      </c>
      <c r="AJ2108" s="106">
        <v>43058.02430485424</v>
      </c>
      <c r="AK2108" s="104">
        <v>32654.122870800511</v>
      </c>
      <c r="AL2108" s="118">
        <v>360160899</v>
      </c>
      <c r="AM2108" s="118">
        <v>23388</v>
      </c>
      <c r="AN2108" s="118">
        <v>818882</v>
      </c>
      <c r="AO2108" s="118">
        <v>6377</v>
      </c>
      <c r="AP2108" s="118">
        <f t="shared" si="32"/>
        <v>381</v>
      </c>
    </row>
    <row r="2109" spans="1:42" ht="12.75">
      <c r="A2109" s="106">
        <v>2018</v>
      </c>
      <c r="B2109" s="106">
        <v>-166638</v>
      </c>
      <c r="C2109" s="106">
        <v>0</v>
      </c>
      <c r="D2109" s="106">
        <v>166638</v>
      </c>
      <c r="E2109" s="106" t="s">
        <v>3236</v>
      </c>
      <c r="F2109" s="106" t="s">
        <v>425</v>
      </c>
      <c r="G2109" s="106" t="s">
        <v>150</v>
      </c>
      <c r="H2109" s="106">
        <v>1</v>
      </c>
      <c r="I2109" s="106" t="s">
        <v>23</v>
      </c>
      <c r="J2109" s="106">
        <v>13828</v>
      </c>
      <c r="K2109" s="106">
        <v>12412</v>
      </c>
      <c r="L2109" s="107">
        <v>10023</v>
      </c>
      <c r="M2109" s="106">
        <v>0.49</v>
      </c>
      <c r="N2109" s="106">
        <v>0.52</v>
      </c>
      <c r="O2109" s="106">
        <v>0.74</v>
      </c>
      <c r="P2109" s="106">
        <v>6430</v>
      </c>
      <c r="Q2109" s="106">
        <v>3306.4984709480123</v>
      </c>
      <c r="R2109" s="106">
        <v>0.17742451591729569</v>
      </c>
      <c r="S2109" s="106">
        <v>31899.617737003056</v>
      </c>
      <c r="T2109" s="106">
        <v>32883.944954128441</v>
      </c>
      <c r="U2109" s="106">
        <v>24632.386351266632</v>
      </c>
      <c r="V2109" s="106">
        <v>0.62233463446691328</v>
      </c>
      <c r="W2109" s="106">
        <v>132806.30852636768</v>
      </c>
      <c r="X2109" s="110">
        <v>0.62648271885651052</v>
      </c>
      <c r="Y2109" s="106">
        <v>446.15868028279658</v>
      </c>
      <c r="Z2109" s="106">
        <v>15.412411626080127</v>
      </c>
      <c r="AA2109" s="106">
        <v>84520.360302877103</v>
      </c>
      <c r="AB2109" s="106">
        <v>850.91805798269468</v>
      </c>
      <c r="AC2109" s="106">
        <v>1.1831468730333365</v>
      </c>
      <c r="AD2109" s="106">
        <v>29.230887201901695</v>
      </c>
      <c r="AE2109" s="106">
        <v>99.328436516264432</v>
      </c>
      <c r="AF2109" s="106">
        <v>6.5987667576770867E-2</v>
      </c>
      <c r="AG2109" s="106">
        <v>13503</v>
      </c>
      <c r="AH2109" s="106">
        <v>30925.764525993884</v>
      </c>
      <c r="AI2109" s="106">
        <v>31152.064220183485</v>
      </c>
      <c r="AJ2109" s="106">
        <v>32604.051987767583</v>
      </c>
      <c r="AK2109" s="104">
        <v>31883.027522935779</v>
      </c>
      <c r="AL2109" s="118">
        <v>135605000</v>
      </c>
      <c r="AM2109" s="118">
        <v>12660</v>
      </c>
      <c r="AN2109" s="118">
        <v>378640</v>
      </c>
      <c r="AO2109" s="118">
        <v>2543</v>
      </c>
      <c r="AP2109" s="118">
        <f t="shared" si="32"/>
        <v>325</v>
      </c>
    </row>
    <row r="2110" spans="1:42" ht="12.75">
      <c r="A2110" s="106">
        <v>2018</v>
      </c>
      <c r="B2110" s="106">
        <v>-167987</v>
      </c>
      <c r="C2110" s="106">
        <v>0</v>
      </c>
      <c r="D2110" s="106">
        <v>167987</v>
      </c>
      <c r="E2110" s="106" t="s">
        <v>3237</v>
      </c>
      <c r="F2110" s="106" t="s">
        <v>3238</v>
      </c>
      <c r="G2110" s="106" t="s">
        <v>150</v>
      </c>
      <c r="H2110" s="106">
        <v>1</v>
      </c>
      <c r="I2110" s="106" t="s">
        <v>23</v>
      </c>
      <c r="J2110" s="106">
        <v>13571</v>
      </c>
      <c r="K2110" s="106">
        <v>18152</v>
      </c>
      <c r="L2110" s="106">
        <v>14531</v>
      </c>
      <c r="M2110" s="106">
        <v>0.45</v>
      </c>
      <c r="N2110" s="106">
        <v>0.78</v>
      </c>
      <c r="O2110" s="106">
        <v>0.77</v>
      </c>
      <c r="P2110" s="106">
        <v>5201</v>
      </c>
      <c r="Q2110" s="106">
        <v>3710.5700268817204</v>
      </c>
      <c r="R2110" s="106">
        <v>0.23642512916904251</v>
      </c>
      <c r="S2110" s="106">
        <v>33004.032258064515</v>
      </c>
      <c r="T2110" s="106">
        <v>33646.236559139783</v>
      </c>
      <c r="U2110" s="106">
        <v>23946.228741258292</v>
      </c>
      <c r="V2110" s="106">
        <v>0.50045092674420366</v>
      </c>
      <c r="W2110" s="106">
        <v>113096.08056614044</v>
      </c>
      <c r="X2110" s="110">
        <v>0.55329407816944165</v>
      </c>
      <c r="Y2110" s="106">
        <v>435.47795163584635</v>
      </c>
      <c r="Z2110" s="106">
        <v>15.874822190611663</v>
      </c>
      <c r="AA2110" s="106">
        <v>88902.166584312217</v>
      </c>
      <c r="AB2110" s="106">
        <v>872.93081538389993</v>
      </c>
      <c r="AC2110" s="106">
        <v>1.1248319792652401</v>
      </c>
      <c r="AD2110" s="106">
        <v>27.714009127368278</v>
      </c>
      <c r="AE2110" s="106">
        <v>101.84331337325349</v>
      </c>
      <c r="AF2110" s="106">
        <v>2.4698993897410523E-2</v>
      </c>
      <c r="AG2110" s="106">
        <v>13166</v>
      </c>
      <c r="AH2110" s="106">
        <v>32877.256048387098</v>
      </c>
      <c r="AI2110" s="106">
        <v>32877.256048387098</v>
      </c>
      <c r="AJ2110" s="106">
        <v>33686.559139784949</v>
      </c>
      <c r="AK2110" s="104">
        <v>28502.499059139784</v>
      </c>
      <c r="AL2110" s="118">
        <v>83740000</v>
      </c>
      <c r="AM2110" s="118">
        <v>6763</v>
      </c>
      <c r="AN2110" s="118">
        <v>204094</v>
      </c>
      <c r="AO2110" s="118">
        <v>1363</v>
      </c>
      <c r="AP2110" s="118">
        <f t="shared" si="32"/>
        <v>405</v>
      </c>
    </row>
    <row r="2111" spans="1:42" ht="12.75">
      <c r="A2111" s="106">
        <v>2018</v>
      </c>
      <c r="B2111" s="106">
        <v>-166513</v>
      </c>
      <c r="C2111" s="106">
        <v>0</v>
      </c>
      <c r="D2111" s="106">
        <v>166513</v>
      </c>
      <c r="E2111" s="106" t="s">
        <v>3239</v>
      </c>
      <c r="F2111" s="106" t="s">
        <v>3240</v>
      </c>
      <c r="G2111" s="106" t="s">
        <v>150</v>
      </c>
      <c r="H2111" s="106">
        <v>1</v>
      </c>
      <c r="I2111" s="106" t="s">
        <v>23</v>
      </c>
      <c r="J2111" s="106">
        <v>14800</v>
      </c>
      <c r="K2111" s="106">
        <v>18257</v>
      </c>
      <c r="L2111" s="106">
        <v>11360</v>
      </c>
      <c r="M2111" s="106">
        <v>0.33</v>
      </c>
      <c r="N2111" s="106">
        <v>0.7</v>
      </c>
      <c r="O2111" s="106">
        <v>0.78</v>
      </c>
      <c r="P2111" s="106">
        <v>7865</v>
      </c>
      <c r="Q2111" s="106">
        <v>3358.1947095718569</v>
      </c>
      <c r="R2111" s="106">
        <v>0.19241255927688067</v>
      </c>
      <c r="S2111" s="106">
        <v>30796.973002454321</v>
      </c>
      <c r="T2111" s="106">
        <v>31233.092446141261</v>
      </c>
      <c r="U2111" s="106">
        <v>20824.389333493131</v>
      </c>
      <c r="V2111" s="106">
        <v>0.67684580027153707</v>
      </c>
      <c r="W2111" s="106">
        <v>127671.23044096728</v>
      </c>
      <c r="X2111" s="110">
        <v>0.52243373562352802</v>
      </c>
      <c r="Y2111" s="106">
        <v>514.40129975629577</v>
      </c>
      <c r="Z2111" s="106">
        <v>17.873273761169781</v>
      </c>
      <c r="AA2111" s="106">
        <v>66474.895047590267</v>
      </c>
      <c r="AB2111" s="106">
        <v>723.5596248357873</v>
      </c>
      <c r="AC2111" s="106">
        <v>1.5043273092557525</v>
      </c>
      <c r="AD2111" s="106">
        <v>32.180124658589534</v>
      </c>
      <c r="AE2111" s="106">
        <v>91.872034820457017</v>
      </c>
      <c r="AF2111" s="106">
        <v>2.9576862387848357E-2</v>
      </c>
      <c r="AG2111" s="106">
        <v>14350</v>
      </c>
      <c r="AH2111" s="106">
        <v>30219.661848922824</v>
      </c>
      <c r="AI2111" s="106">
        <v>30472.320698118354</v>
      </c>
      <c r="AJ2111" s="106">
        <v>31335.355876738478</v>
      </c>
      <c r="AK2111" s="104">
        <v>27608.331060812652</v>
      </c>
      <c r="AL2111" s="118">
        <v>117668000</v>
      </c>
      <c r="AM2111" s="118">
        <v>14012</v>
      </c>
      <c r="AN2111" s="118">
        <v>422152</v>
      </c>
      <c r="AO2111" s="118">
        <v>2836</v>
      </c>
      <c r="AP2111" s="118">
        <f t="shared" si="32"/>
        <v>450</v>
      </c>
    </row>
    <row r="2112" spans="1:42" ht="12.75">
      <c r="A2112" s="106">
        <v>2018</v>
      </c>
      <c r="B2112" s="106">
        <v>-220862</v>
      </c>
      <c r="C2112" s="106">
        <v>0</v>
      </c>
      <c r="D2112" s="106">
        <v>220862</v>
      </c>
      <c r="E2112" s="106" t="s">
        <v>3241</v>
      </c>
      <c r="F2112" s="106" t="s">
        <v>733</v>
      </c>
      <c r="G2112" s="106" t="s">
        <v>255</v>
      </c>
      <c r="H2112" s="106">
        <v>1</v>
      </c>
      <c r="I2112" s="106" t="s">
        <v>23</v>
      </c>
      <c r="J2112" s="106">
        <v>9317</v>
      </c>
      <c r="K2112" s="106">
        <v>13174</v>
      </c>
      <c r="L2112" s="106">
        <v>10599</v>
      </c>
      <c r="M2112" s="106">
        <v>0.55000000000000004</v>
      </c>
      <c r="N2112" s="106">
        <v>0.56000000000000005</v>
      </c>
      <c r="O2112" s="106">
        <v>0.76</v>
      </c>
      <c r="P2112" s="106">
        <v>3507</v>
      </c>
      <c r="Q2112" s="106">
        <v>1874.0161462029807</v>
      </c>
      <c r="R2112" s="106">
        <v>0.1569486797870662</v>
      </c>
      <c r="S2112" s="106">
        <v>25817.103264726757</v>
      </c>
      <c r="T2112" s="106">
        <v>26348.04642772652</v>
      </c>
      <c r="U2112" s="106">
        <v>17925.096450071942</v>
      </c>
      <c r="V2112" s="106">
        <v>0.56157552677427902</v>
      </c>
      <c r="W2112" s="106">
        <v>95190.398473828551</v>
      </c>
      <c r="X2112" s="110">
        <v>0.59736238726694124</v>
      </c>
      <c r="Y2112" s="106">
        <v>441.61999388566193</v>
      </c>
      <c r="Z2112" s="106">
        <v>15.507184347294407</v>
      </c>
      <c r="AA2112" s="106">
        <v>66993.264981833869</v>
      </c>
      <c r="AB2112" s="106">
        <v>629.4275144758634</v>
      </c>
      <c r="AC2112" s="106">
        <v>1.4926873623358461</v>
      </c>
      <c r="AD2112" s="106">
        <v>26.448406898567672</v>
      </c>
      <c r="AE2112" s="106">
        <v>106.43523430592396</v>
      </c>
      <c r="AF2112" s="106">
        <v>2.0027476863532664E-2</v>
      </c>
      <c r="AG2112" s="106">
        <v>7680</v>
      </c>
      <c r="AH2112" s="106">
        <v>24445.997929973975</v>
      </c>
      <c r="AI2112" s="106">
        <v>26041.832564466524</v>
      </c>
      <c r="AJ2112" s="106">
        <v>26032.647918145256</v>
      </c>
      <c r="AK2112" s="104">
        <v>24891.010113555712</v>
      </c>
      <c r="AL2112" s="118">
        <v>114087972</v>
      </c>
      <c r="AM2112" s="118">
        <v>17396</v>
      </c>
      <c r="AN2112" s="118">
        <v>481513</v>
      </c>
      <c r="AO2112" s="118">
        <v>3139</v>
      </c>
      <c r="AP2112" s="118">
        <f t="shared" si="32"/>
        <v>1637</v>
      </c>
    </row>
    <row r="2113" spans="1:42" ht="12.75">
      <c r="A2113" s="106">
        <v>2018</v>
      </c>
      <c r="B2113" s="106">
        <v>-135726</v>
      </c>
      <c r="C2113" s="106">
        <v>0</v>
      </c>
      <c r="D2113" s="106">
        <v>135726</v>
      </c>
      <c r="E2113" s="106" t="s">
        <v>3242</v>
      </c>
      <c r="F2113" s="106" t="s">
        <v>3243</v>
      </c>
      <c r="G2113" s="106" t="s">
        <v>258</v>
      </c>
      <c r="H2113" s="106">
        <v>5</v>
      </c>
      <c r="I2113" s="106" t="s">
        <v>3639</v>
      </c>
      <c r="J2113" s="106">
        <v>48484</v>
      </c>
      <c r="K2113" s="106">
        <v>43305</v>
      </c>
      <c r="L2113" s="106">
        <v>23694</v>
      </c>
      <c r="M2113" s="106">
        <v>0.12</v>
      </c>
      <c r="N2113" s="106">
        <v>0.28999999999999998</v>
      </c>
      <c r="O2113" s="106">
        <v>0.52</v>
      </c>
      <c r="P2113" s="106">
        <v>24461</v>
      </c>
      <c r="Q2113" s="106">
        <v>14170.03541451075</v>
      </c>
      <c r="R2113" s="106">
        <v>0.3185376998594262</v>
      </c>
      <c r="S2113" s="106">
        <v>186802.74387719904</v>
      </c>
      <c r="T2113" s="106">
        <v>183485.65741060136</v>
      </c>
      <c r="U2113" s="106">
        <v>41994.609152509256</v>
      </c>
      <c r="V2113" s="106">
        <v>0.72186899218300771</v>
      </c>
      <c r="W2113" s="106">
        <v>163731.61922730837</v>
      </c>
      <c r="X2113" s="110">
        <v>0.58913055344174869</v>
      </c>
      <c r="Y2113" s="106">
        <v>148.65507175869618</v>
      </c>
      <c r="Z2113" s="106">
        <v>6.3466309900267577</v>
      </c>
      <c r="AA2113" s="106">
        <v>138553.53406652994</v>
      </c>
      <c r="AB2113" s="106">
        <v>1792.9041014760071</v>
      </c>
      <c r="AC2113" s="106">
        <v>0.72174268721274548</v>
      </c>
      <c r="AD2113" s="106">
        <v>32.645984271471917</v>
      </c>
      <c r="AE2113" s="106">
        <v>77.278831562974204</v>
      </c>
      <c r="AF2113" s="106">
        <v>0.10198009077539769</v>
      </c>
      <c r="AG2113" s="106">
        <v>47040</v>
      </c>
      <c r="AH2113" s="106">
        <v>174848.07571576405</v>
      </c>
      <c r="AI2113" s="106">
        <v>187339.08870875015</v>
      </c>
      <c r="AJ2113" s="106">
        <v>192684.42123720824</v>
      </c>
      <c r="AK2113" s="104">
        <v>75222.273312636535</v>
      </c>
      <c r="AL2113" s="118">
        <v>16544803</v>
      </c>
      <c r="AM2113" s="118">
        <v>10832</v>
      </c>
      <c r="AN2113" s="118">
        <v>407414</v>
      </c>
      <c r="AO2113" s="118">
        <v>2661</v>
      </c>
      <c r="AP2113" s="118">
        <f t="shared" si="32"/>
        <v>1444</v>
      </c>
    </row>
    <row r="2114" spans="1:42" ht="12.75">
      <c r="A2114" s="106">
        <v>2018</v>
      </c>
      <c r="B2114" s="106">
        <v>-170976</v>
      </c>
      <c r="C2114" s="106">
        <v>0</v>
      </c>
      <c r="D2114" s="106">
        <v>170976</v>
      </c>
      <c r="E2114" s="106" t="s">
        <v>3244</v>
      </c>
      <c r="F2114" s="106" t="s">
        <v>923</v>
      </c>
      <c r="G2114" s="106" t="s">
        <v>74</v>
      </c>
      <c r="H2114" s="106">
        <v>1</v>
      </c>
      <c r="I2114" s="106" t="s">
        <v>23</v>
      </c>
      <c r="J2114" s="106">
        <v>15761</v>
      </c>
      <c r="K2114" s="106">
        <v>16856</v>
      </c>
      <c r="L2114" s="106">
        <v>3962</v>
      </c>
      <c r="M2114" s="106">
        <v>0.15</v>
      </c>
      <c r="N2114" s="106">
        <v>0.32</v>
      </c>
      <c r="O2114" s="106">
        <v>0.49</v>
      </c>
      <c r="P2114" s="106">
        <v>17856</v>
      </c>
      <c r="Q2114" s="106">
        <v>10062.099367506442</v>
      </c>
      <c r="R2114" s="106">
        <v>0.31162141591776382</v>
      </c>
      <c r="S2114" s="106">
        <v>166478.69327256852</v>
      </c>
      <c r="T2114" s="106">
        <v>177967.84292011842</v>
      </c>
      <c r="U2114" s="106">
        <v>35606.132864878833</v>
      </c>
      <c r="V2114" s="106">
        <v>0.62425761371210642</v>
      </c>
      <c r="W2114" s="106">
        <v>238331.26835535976</v>
      </c>
      <c r="X2114" s="110">
        <v>0.62149299088793897</v>
      </c>
      <c r="Y2114" s="106">
        <v>167.74767150489339</v>
      </c>
      <c r="Z2114" s="106">
        <v>6.660252470332372</v>
      </c>
      <c r="AA2114" s="106">
        <v>120189.57522364428</v>
      </c>
      <c r="AB2114" s="106">
        <v>1413.7056702177479</v>
      </c>
      <c r="AC2114" s="106">
        <v>0.83201891523390215</v>
      </c>
      <c r="AD2114" s="106">
        <v>31.286687807840224</v>
      </c>
      <c r="AE2114" s="106">
        <v>85.017396305082315</v>
      </c>
      <c r="AF2114" s="106">
        <v>7.0396908767840147E-2</v>
      </c>
      <c r="AG2114" s="106">
        <v>15433</v>
      </c>
      <c r="AH2114" s="106">
        <v>160147.56053410567</v>
      </c>
      <c r="AI2114" s="106">
        <v>164241.8169814937</v>
      </c>
      <c r="AJ2114" s="106">
        <v>192999.51019017398</v>
      </c>
      <c r="AK2114" s="104">
        <v>69033.583917200842</v>
      </c>
      <c r="AL2114" s="118">
        <v>314590000</v>
      </c>
      <c r="AM2114" s="118">
        <v>29821</v>
      </c>
      <c r="AN2114" s="118">
        <v>1182677</v>
      </c>
      <c r="AO2114" s="118">
        <v>7450</v>
      </c>
      <c r="AP2114" s="118">
        <f t="shared" si="32"/>
        <v>328</v>
      </c>
    </row>
    <row r="2115" spans="1:42" ht="12.75">
      <c r="A2115" s="106">
        <v>2018</v>
      </c>
      <c r="B2115" s="106">
        <v>-171137</v>
      </c>
      <c r="C2115" s="106">
        <v>0</v>
      </c>
      <c r="D2115" s="106">
        <v>171137</v>
      </c>
      <c r="E2115" s="106" t="s">
        <v>3245</v>
      </c>
      <c r="F2115" s="106" t="s">
        <v>1462</v>
      </c>
      <c r="G2115" s="106" t="s">
        <v>74</v>
      </c>
      <c r="H2115" s="106">
        <v>2</v>
      </c>
      <c r="I2115" s="106" t="s">
        <v>25</v>
      </c>
      <c r="J2115" s="106">
        <v>12637</v>
      </c>
      <c r="K2115" s="106">
        <v>10533</v>
      </c>
      <c r="L2115" s="106">
        <v>6634</v>
      </c>
      <c r="M2115" s="106">
        <v>0.43</v>
      </c>
      <c r="N2115" s="106">
        <v>0.87</v>
      </c>
      <c r="O2115" s="106">
        <v>0.82</v>
      </c>
      <c r="P2115" s="106">
        <v>6877</v>
      </c>
      <c r="Q2115" s="106">
        <v>2843.6797752808989</v>
      </c>
      <c r="R2115" s="106">
        <v>0.1663462486443853</v>
      </c>
      <c r="S2115" s="106">
        <v>20390.308988764045</v>
      </c>
      <c r="T2115" s="106">
        <v>21109.831460674159</v>
      </c>
      <c r="U2115" s="106">
        <v>18295.22511613644</v>
      </c>
      <c r="V2115" s="106">
        <v>0.77896084658582121</v>
      </c>
      <c r="W2115" s="106">
        <v>109995.26756461595</v>
      </c>
      <c r="X2115" s="110">
        <v>0.67011084350174976</v>
      </c>
      <c r="Y2115" s="106">
        <v>503.8</v>
      </c>
      <c r="Z2115" s="106">
        <v>17.365853658536587</v>
      </c>
      <c r="AA2115" s="106">
        <v>59589.205318797554</v>
      </c>
      <c r="AB2115" s="106">
        <v>630.63160384439936</v>
      </c>
      <c r="AC2115" s="106">
        <v>1.6781562946679331</v>
      </c>
      <c r="AD2115" s="106">
        <v>30.858272162619986</v>
      </c>
      <c r="AE2115" s="106">
        <v>94.491308325709056</v>
      </c>
      <c r="AF2115" s="106">
        <v>4.4415936361716049E-2</v>
      </c>
      <c r="AG2115" s="106">
        <v>11883</v>
      </c>
      <c r="AH2115" s="106">
        <v>19379.915730337078</v>
      </c>
      <c r="AI2115" s="106">
        <v>19876.685393258427</v>
      </c>
      <c r="AJ2115" s="106">
        <v>21151.825842696628</v>
      </c>
      <c r="AK2115" s="104">
        <v>20265.870786516854</v>
      </c>
      <c r="AL2115" s="118">
        <v>25422000</v>
      </c>
      <c r="AM2115" s="118">
        <v>7132</v>
      </c>
      <c r="AN2115" s="118">
        <v>206558</v>
      </c>
      <c r="AO2115" s="118">
        <v>1380</v>
      </c>
      <c r="AP2115" s="118">
        <f t="shared" si="32"/>
        <v>754</v>
      </c>
    </row>
    <row r="2116" spans="1:42" ht="12.75">
      <c r="A2116" s="106">
        <v>2018</v>
      </c>
      <c r="B2116" s="106">
        <v>-171146</v>
      </c>
      <c r="C2116" s="106">
        <v>0</v>
      </c>
      <c r="D2116" s="106">
        <v>171146</v>
      </c>
      <c r="E2116" s="106" t="s">
        <v>3246</v>
      </c>
      <c r="F2116" s="106" t="s">
        <v>272</v>
      </c>
      <c r="G2116" s="106" t="s">
        <v>74</v>
      </c>
      <c r="H2116" s="106">
        <v>2</v>
      </c>
      <c r="I2116" s="106" t="s">
        <v>25</v>
      </c>
      <c r="J2116" s="106">
        <v>10842</v>
      </c>
      <c r="K2116" s="106">
        <v>12519</v>
      </c>
      <c r="L2116" s="106">
        <v>8488</v>
      </c>
      <c r="M2116" s="106">
        <v>0.49</v>
      </c>
      <c r="N2116" s="106">
        <v>0.53</v>
      </c>
      <c r="O2116" s="106">
        <v>0.76</v>
      </c>
      <c r="P2116" s="106">
        <v>5315</v>
      </c>
      <c r="Q2116" s="106">
        <v>1987.4075240044074</v>
      </c>
      <c r="R2116" s="106">
        <v>0.14331604217982044</v>
      </c>
      <c r="S2116" s="106">
        <v>19001.416653549502</v>
      </c>
      <c r="T2116" s="106">
        <v>21233.905241618133</v>
      </c>
      <c r="U2116" s="106">
        <v>16375.723356935463</v>
      </c>
      <c r="V2116" s="106">
        <v>0.72545798443527376</v>
      </c>
      <c r="W2116" s="106">
        <v>92458.06451612903</v>
      </c>
      <c r="X2116" s="110">
        <v>0.63741021060200598</v>
      </c>
      <c r="Y2116" s="106">
        <v>405.0440816326531</v>
      </c>
      <c r="Z2116" s="106">
        <v>15.558367346938777</v>
      </c>
      <c r="AA2116" s="106">
        <v>62937.066235094368</v>
      </c>
      <c r="AB2116" s="106">
        <v>629.01676906889043</v>
      </c>
      <c r="AC2116" s="106">
        <v>1.5888888056278503</v>
      </c>
      <c r="AD2116" s="106">
        <v>28.989828130480532</v>
      </c>
      <c r="AE2116" s="106">
        <v>100.05626134301271</v>
      </c>
      <c r="AF2116" s="106">
        <v>-8.3833908546998345E-3</v>
      </c>
      <c r="AG2116" s="106">
        <v>10410</v>
      </c>
      <c r="AH2116" s="106">
        <v>17774.122461829058</v>
      </c>
      <c r="AI2116" s="106">
        <v>17907.602707382339</v>
      </c>
      <c r="AJ2116" s="106">
        <v>20682.984416810956</v>
      </c>
      <c r="AK2116" s="104">
        <v>19401.227766409571</v>
      </c>
      <c r="AL2116" s="118">
        <v>23062000</v>
      </c>
      <c r="AM2116" s="118">
        <v>6434</v>
      </c>
      <c r="AN2116" s="118">
        <v>165393</v>
      </c>
      <c r="AO2116" s="118">
        <v>1147</v>
      </c>
      <c r="AP2116" s="118">
        <f t="shared" si="32"/>
        <v>432</v>
      </c>
    </row>
    <row r="2117" spans="1:42" ht="12.75">
      <c r="A2117" s="106">
        <v>2018</v>
      </c>
      <c r="B2117" s="106">
        <v>-174075</v>
      </c>
      <c r="C2117" s="106">
        <v>0</v>
      </c>
      <c r="D2117" s="106">
        <v>174075</v>
      </c>
      <c r="E2117" s="106" t="s">
        <v>3247</v>
      </c>
      <c r="F2117" s="106" t="s">
        <v>3248</v>
      </c>
      <c r="G2117" s="106" t="s">
        <v>113</v>
      </c>
      <c r="H2117" s="106">
        <v>3</v>
      </c>
      <c r="I2117" s="104" t="s">
        <v>26</v>
      </c>
      <c r="J2117" s="106">
        <v>11814</v>
      </c>
      <c r="K2117" s="106">
        <v>12135</v>
      </c>
      <c r="L2117" s="106">
        <v>4968</v>
      </c>
      <c r="M2117" s="106">
        <v>0.4</v>
      </c>
      <c r="N2117" s="106">
        <v>0.61</v>
      </c>
      <c r="O2117" s="106">
        <v>0.92</v>
      </c>
      <c r="P2117" s="106">
        <v>6023</v>
      </c>
      <c r="Q2117" s="106">
        <v>2373.3456653782441</v>
      </c>
      <c r="R2117" s="106">
        <v>0.23430028086843535</v>
      </c>
      <c r="S2117" s="106">
        <v>18531.096079514082</v>
      </c>
      <c r="T2117" s="106">
        <v>21046.505245720597</v>
      </c>
      <c r="U2117" s="106">
        <v>12288.462691505096</v>
      </c>
      <c r="V2117" s="106">
        <v>0.63117402645832044</v>
      </c>
      <c r="W2117" s="106">
        <v>82362.946969696975</v>
      </c>
      <c r="X2117" s="110">
        <v>0.57047597861232391</v>
      </c>
      <c r="Y2117" s="106">
        <v>599.28308823529403</v>
      </c>
      <c r="Z2117" s="106">
        <v>19.974264705882351</v>
      </c>
      <c r="AA2117" s="106">
        <v>52240.389517173076</v>
      </c>
      <c r="AB2117" s="106">
        <v>409.57772953557981</v>
      </c>
      <c r="AC2117" s="106">
        <v>1.9142276871256259</v>
      </c>
      <c r="AD2117" s="106">
        <v>22.952586206896552</v>
      </c>
      <c r="AE2117" s="106">
        <v>127.5469483568075</v>
      </c>
      <c r="AF2117" s="106">
        <v>-9.5267483702293945E-2</v>
      </c>
      <c r="AG2117" s="106">
        <v>10282</v>
      </c>
      <c r="AH2117" s="106">
        <v>18840.031474323579</v>
      </c>
      <c r="AI2117" s="106">
        <v>19351.364439536166</v>
      </c>
      <c r="AJ2117" s="106">
        <v>18908.581446714521</v>
      </c>
      <c r="AK2117" s="104">
        <v>13186.179458862507</v>
      </c>
      <c r="AL2117" s="118">
        <v>11637153</v>
      </c>
      <c r="AM2117" s="118">
        <v>2834</v>
      </c>
      <c r="AN2117" s="118">
        <v>54335</v>
      </c>
      <c r="AO2117" s="118">
        <v>406</v>
      </c>
      <c r="AP2117" s="118">
        <f t="shared" si="32"/>
        <v>1532</v>
      </c>
    </row>
    <row r="2118" spans="1:42" ht="12.75">
      <c r="A2118" s="106">
        <v>2018</v>
      </c>
      <c r="B2118" s="106">
        <v>-174233</v>
      </c>
      <c r="C2118" s="106">
        <v>0</v>
      </c>
      <c r="D2118" s="106">
        <v>174233</v>
      </c>
      <c r="E2118" s="106" t="s">
        <v>3249</v>
      </c>
      <c r="F2118" s="106" t="s">
        <v>1723</v>
      </c>
      <c r="G2118" s="106" t="s">
        <v>113</v>
      </c>
      <c r="H2118" s="106">
        <v>2</v>
      </c>
      <c r="I2118" s="106" t="s">
        <v>25</v>
      </c>
      <c r="J2118" s="106">
        <v>13344</v>
      </c>
      <c r="K2118" s="106">
        <v>16993</v>
      </c>
      <c r="L2118" s="106">
        <v>7712</v>
      </c>
      <c r="M2118" s="106">
        <v>0.24</v>
      </c>
      <c r="N2118" s="106">
        <v>0.64</v>
      </c>
      <c r="O2118" s="106">
        <v>0.74</v>
      </c>
      <c r="P2118" s="106">
        <v>2968</v>
      </c>
      <c r="Q2118" s="106">
        <v>1519.0817705854356</v>
      </c>
      <c r="R2118" s="106">
        <v>0.12357593578840195</v>
      </c>
      <c r="S2118" s="106">
        <v>21990.154212279867</v>
      </c>
      <c r="T2118" s="106">
        <v>24139.653498334126</v>
      </c>
      <c r="U2118" s="106">
        <v>12240.142503728111</v>
      </c>
      <c r="V2118" s="106">
        <v>0.88018723077908023</v>
      </c>
      <c r="W2118" s="106">
        <v>97579.065966010734</v>
      </c>
      <c r="X2118" s="110">
        <v>0.57360127523857096</v>
      </c>
      <c r="Y2118" s="106">
        <v>527.83769633507859</v>
      </c>
      <c r="Z2118" s="106">
        <v>18.333333333333332</v>
      </c>
      <c r="AA2118" s="106">
        <v>54879.512164602565</v>
      </c>
      <c r="AB2118" s="106">
        <v>425.13563189298037</v>
      </c>
      <c r="AC2118" s="106">
        <v>1.822173631938738</v>
      </c>
      <c r="AD2118" s="106">
        <v>22.939103191697672</v>
      </c>
      <c r="AE2118" s="106">
        <v>129.08706786171575</v>
      </c>
      <c r="AF2118" s="106">
        <v>0.10327237170125494</v>
      </c>
      <c r="AG2118" s="106">
        <v>12016</v>
      </c>
      <c r="AH2118" s="106">
        <v>22611.966968110424</v>
      </c>
      <c r="AI2118" s="106">
        <v>23190.082532127559</v>
      </c>
      <c r="AJ2118" s="106">
        <v>23117.856925273678</v>
      </c>
      <c r="AK2118" s="104">
        <v>16790.162113279392</v>
      </c>
      <c r="AL2118" s="118">
        <v>48209495</v>
      </c>
      <c r="AM2118" s="118">
        <v>10118</v>
      </c>
      <c r="AN2118" s="118">
        <v>302451</v>
      </c>
      <c r="AO2118" s="118">
        <v>2096</v>
      </c>
      <c r="AP2118" s="118">
        <f t="shared" ref="AP2118:AP2181" si="33">J2118-AG2118</f>
        <v>1328</v>
      </c>
    </row>
    <row r="2119" spans="1:42" ht="12.75">
      <c r="A2119" s="106">
        <v>2018</v>
      </c>
      <c r="B2119" s="106">
        <v>-174251</v>
      </c>
      <c r="C2119" s="106">
        <v>0</v>
      </c>
      <c r="D2119" s="106">
        <v>174251</v>
      </c>
      <c r="E2119" s="106" t="s">
        <v>3250</v>
      </c>
      <c r="F2119" s="106" t="s">
        <v>3251</v>
      </c>
      <c r="G2119" s="106" t="s">
        <v>113</v>
      </c>
      <c r="H2119" s="106">
        <v>3</v>
      </c>
      <c r="I2119" s="104" t="s">
        <v>26</v>
      </c>
      <c r="J2119" s="106">
        <v>13072</v>
      </c>
      <c r="K2119" s="106">
        <v>11403</v>
      </c>
      <c r="L2119" s="106">
        <v>4040</v>
      </c>
      <c r="M2119" s="106">
        <v>0.39</v>
      </c>
      <c r="N2119" s="106">
        <v>0.51</v>
      </c>
      <c r="O2119" s="106">
        <v>0.96</v>
      </c>
      <c r="P2119" s="106">
        <v>7190</v>
      </c>
      <c r="Q2119" s="106">
        <v>2969.0954151177198</v>
      </c>
      <c r="R2119" s="106">
        <v>0.303717980326007</v>
      </c>
      <c r="S2119" s="106">
        <v>30091.302354399009</v>
      </c>
      <c r="T2119" s="106">
        <v>34350.420693928128</v>
      </c>
      <c r="U2119" s="106">
        <v>19630.932255164404</v>
      </c>
      <c r="V2119" s="106">
        <v>0.3467351795547815</v>
      </c>
      <c r="W2119" s="106">
        <v>74160.450530035334</v>
      </c>
      <c r="X2119" s="110">
        <v>0.50473327969248494</v>
      </c>
      <c r="Y2119" s="106">
        <v>349.95180722891564</v>
      </c>
      <c r="Z2119" s="106">
        <v>11.667469879518071</v>
      </c>
      <c r="AA2119" s="106">
        <v>93740.605502471444</v>
      </c>
      <c r="AB2119" s="106">
        <v>654.49957983547506</v>
      </c>
      <c r="AC2119" s="106">
        <v>1.0667735658840345</v>
      </c>
      <c r="AD2119" s="106">
        <v>21.569878749202299</v>
      </c>
      <c r="AE2119" s="106">
        <v>143.22485207100593</v>
      </c>
      <c r="AF2119" s="106">
        <v>-0.10730842659622886</v>
      </c>
      <c r="AG2119" s="106">
        <v>12016</v>
      </c>
      <c r="AH2119" s="106">
        <v>30156.423791821562</v>
      </c>
      <c r="AI2119" s="106">
        <v>31390.309789343246</v>
      </c>
      <c r="AJ2119" s="106">
        <v>30625.551425030979</v>
      </c>
      <c r="AK2119" s="104">
        <v>22595.671623296159</v>
      </c>
      <c r="AL2119" s="119">
        <v>22306994</v>
      </c>
      <c r="AM2119" s="118">
        <v>1627</v>
      </c>
      <c r="AN2119" s="118">
        <v>48410</v>
      </c>
      <c r="AO2119" s="118">
        <v>338</v>
      </c>
      <c r="AP2119" s="118">
        <f t="shared" si="33"/>
        <v>1056</v>
      </c>
    </row>
    <row r="2120" spans="1:42" ht="12.75">
      <c r="A2120" s="106">
        <v>2018</v>
      </c>
      <c r="B2120" s="106">
        <v>2547</v>
      </c>
      <c r="C2120" s="106">
        <v>1</v>
      </c>
      <c r="D2120" s="106">
        <v>174066</v>
      </c>
      <c r="E2120" s="106" t="s">
        <v>3886</v>
      </c>
      <c r="F2120" s="106" t="s">
        <v>238</v>
      </c>
      <c r="G2120" s="106" t="s">
        <v>113</v>
      </c>
      <c r="H2120" s="106">
        <v>1</v>
      </c>
      <c r="I2120" s="106" t="s">
        <v>23</v>
      </c>
      <c r="J2120" s="106">
        <v>14417</v>
      </c>
      <c r="K2120" s="106">
        <v>16691</v>
      </c>
      <c r="L2120" s="106">
        <v>7688</v>
      </c>
      <c r="M2120" s="106">
        <v>0.18</v>
      </c>
      <c r="N2120" s="106">
        <v>0.46</v>
      </c>
      <c r="O2120" s="106">
        <v>0.61</v>
      </c>
      <c r="P2120" s="106">
        <v>6010</v>
      </c>
      <c r="Q2120" s="106">
        <v>4033.4518131199234</v>
      </c>
      <c r="R2120" s="106">
        <v>0.21774566647928284</v>
      </c>
      <c r="S2120" s="106">
        <v>62424.309138443728</v>
      </c>
      <c r="T2120" s="106">
        <v>69157.947971341331</v>
      </c>
      <c r="U2120" s="106">
        <v>25320.665127272692</v>
      </c>
      <c r="V2120" s="106">
        <v>0.57226899970118861</v>
      </c>
      <c r="W2120" s="106">
        <v>123604.11064257425</v>
      </c>
      <c r="X2120" s="110">
        <v>0.60339075022607458</v>
      </c>
      <c r="Y2120" s="106">
        <v>219.37306580513518</v>
      </c>
      <c r="Z2120" s="106">
        <v>8.5201496344159153</v>
      </c>
      <c r="AA2120" s="106">
        <v>94400.488655673573</v>
      </c>
      <c r="AB2120" s="106">
        <v>983.4199788178837</v>
      </c>
      <c r="AC2120" s="106">
        <v>1.0593165504126858</v>
      </c>
      <c r="AD2120" s="106">
        <v>30.015409696942623</v>
      </c>
      <c r="AE2120" s="106">
        <v>95.992038690476193</v>
      </c>
      <c r="AF2120" s="106">
        <v>-1.5690501535033739E-2</v>
      </c>
      <c r="AG2120" s="106">
        <v>12800</v>
      </c>
      <c r="AH2120" s="106">
        <v>59055.968627137925</v>
      </c>
      <c r="AI2120" s="106">
        <v>62780.418324784958</v>
      </c>
      <c r="AJ2120" s="106">
        <v>65474.443650587746</v>
      </c>
      <c r="AK2120" s="104">
        <v>58066.30430877921</v>
      </c>
      <c r="AL2120" s="118">
        <v>602107699</v>
      </c>
      <c r="AM2120" s="118">
        <v>35905</v>
      </c>
      <c r="AN2120" s="118">
        <v>1290133</v>
      </c>
      <c r="AO2120" s="118">
        <v>7896</v>
      </c>
      <c r="AP2120" s="118">
        <f t="shared" si="33"/>
        <v>1617</v>
      </c>
    </row>
    <row r="2121" spans="1:42" ht="12.75">
      <c r="A2121" s="106">
        <v>2018</v>
      </c>
      <c r="B2121" s="106">
        <v>-176017</v>
      </c>
      <c r="C2121" s="106">
        <v>0</v>
      </c>
      <c r="D2121" s="106">
        <v>176017</v>
      </c>
      <c r="E2121" s="106" t="s">
        <v>3252</v>
      </c>
      <c r="F2121" s="106" t="s">
        <v>3253</v>
      </c>
      <c r="G2121" s="106" t="s">
        <v>107</v>
      </c>
      <c r="H2121" s="106">
        <v>1</v>
      </c>
      <c r="I2121" s="106" t="s">
        <v>23</v>
      </c>
      <c r="J2121" s="106">
        <v>8300</v>
      </c>
      <c r="K2121" s="106">
        <v>14459</v>
      </c>
      <c r="L2121" s="106">
        <v>9848</v>
      </c>
      <c r="M2121" s="106">
        <v>0.24</v>
      </c>
      <c r="N2121" s="106">
        <v>0.41</v>
      </c>
      <c r="O2121" s="106">
        <v>0.65</v>
      </c>
      <c r="P2121" s="106">
        <v>10391</v>
      </c>
      <c r="Q2121" s="106">
        <v>5288.1104181658275</v>
      </c>
      <c r="R2121" s="106">
        <v>0.33609414380634983</v>
      </c>
      <c r="S2121" s="106">
        <v>79760.691532741665</v>
      </c>
      <c r="T2121" s="106">
        <v>83270.669505077152</v>
      </c>
      <c r="U2121" s="106">
        <v>20529.986005294228</v>
      </c>
      <c r="V2121" s="106">
        <v>0.50881208250914645</v>
      </c>
      <c r="W2121" s="106">
        <v>108202.77453202385</v>
      </c>
      <c r="X2121" s="110">
        <v>0.61884849186955926</v>
      </c>
      <c r="Y2121" s="106">
        <v>346.58811333794057</v>
      </c>
      <c r="Z2121" s="106">
        <v>12.965100207325502</v>
      </c>
      <c r="AA2121" s="106">
        <v>89826.319737000144</v>
      </c>
      <c r="AB2121" s="106">
        <v>767.98169230373355</v>
      </c>
      <c r="AC2121" s="106">
        <v>1.113259457726723</v>
      </c>
      <c r="AD2121" s="106">
        <v>26.397931384771667</v>
      </c>
      <c r="AE2121" s="106">
        <v>116.96414203253454</v>
      </c>
      <c r="AF2121" s="106">
        <v>-3.4928661657253134E-2</v>
      </c>
      <c r="AG2121" s="106">
        <v>8190</v>
      </c>
      <c r="AH2121" s="106">
        <v>77683.408371312064</v>
      </c>
      <c r="AI2121" s="106">
        <v>78444.269369153277</v>
      </c>
      <c r="AJ2121" s="106">
        <v>80579.470136723437</v>
      </c>
      <c r="AK2121" s="104">
        <v>31922.216798592788</v>
      </c>
      <c r="AL2121" s="119">
        <v>247004461</v>
      </c>
      <c r="AM2121" s="118">
        <v>18737</v>
      </c>
      <c r="AN2121" s="118">
        <v>668684</v>
      </c>
      <c r="AO2121" s="118">
        <v>4214</v>
      </c>
      <c r="AP2121" s="118">
        <f t="shared" si="33"/>
        <v>110</v>
      </c>
    </row>
    <row r="2122" spans="1:42" ht="12.75">
      <c r="A2122" s="106">
        <v>2018</v>
      </c>
      <c r="B2122" s="106">
        <v>-178396</v>
      </c>
      <c r="C2122" s="106">
        <v>0</v>
      </c>
      <c r="D2122" s="106">
        <v>178396</v>
      </c>
      <c r="E2122" s="106" t="s">
        <v>3254</v>
      </c>
      <c r="F2122" s="106" t="s">
        <v>131</v>
      </c>
      <c r="G2122" s="106" t="s">
        <v>264</v>
      </c>
      <c r="H2122" s="106">
        <v>1</v>
      </c>
      <c r="I2122" s="106" t="s">
        <v>23</v>
      </c>
      <c r="J2122" s="106">
        <v>9787</v>
      </c>
      <c r="K2122" s="106">
        <v>17833</v>
      </c>
      <c r="L2122" s="106">
        <v>13236</v>
      </c>
      <c r="M2122" s="106">
        <v>0.21</v>
      </c>
      <c r="N2122" s="106">
        <v>0.44</v>
      </c>
      <c r="O2122" s="106">
        <v>0.7</v>
      </c>
      <c r="P2122" s="106">
        <v>7881</v>
      </c>
      <c r="Q2122" s="106">
        <v>4205.9092059589238</v>
      </c>
      <c r="R2122" s="106">
        <v>0.2723249414555326</v>
      </c>
      <c r="S2122" s="106">
        <v>84786.471145501884</v>
      </c>
      <c r="T2122" s="106">
        <v>82824.109524153886</v>
      </c>
      <c r="U2122" s="106">
        <v>17176.083552069675</v>
      </c>
      <c r="V2122" s="106">
        <v>0.65431340788600023</v>
      </c>
      <c r="W2122" s="106">
        <v>150884.39094239095</v>
      </c>
      <c r="X2122" s="110">
        <v>0.59343718955413993</v>
      </c>
      <c r="Y2122" s="106">
        <v>303.37263655462186</v>
      </c>
      <c r="Z2122" s="106">
        <v>10.893907563025211</v>
      </c>
      <c r="AA2122" s="106">
        <v>51193.206888246459</v>
      </c>
      <c r="AB2122" s="106">
        <v>616.78162090058834</v>
      </c>
      <c r="AC2122" s="106">
        <v>1.9533841710345985</v>
      </c>
      <c r="AD2122" s="106">
        <v>32.837880879074213</v>
      </c>
      <c r="AE2122" s="106">
        <v>83.00053885116931</v>
      </c>
      <c r="AF2122" s="106">
        <v>5.9340019354785292E-2</v>
      </c>
      <c r="AG2122" s="106">
        <v>8460</v>
      </c>
      <c r="AH2122" s="106">
        <v>82348.103811107896</v>
      </c>
      <c r="AI2122" s="106">
        <v>84132.505062192649</v>
      </c>
      <c r="AJ2122" s="106">
        <v>88322.07965721724</v>
      </c>
      <c r="AK2122" s="104">
        <v>30666.305828753255</v>
      </c>
      <c r="AL2122" s="119">
        <v>201944592</v>
      </c>
      <c r="AM2122" s="118">
        <v>23799</v>
      </c>
      <c r="AN2122" s="118">
        <v>770162</v>
      </c>
      <c r="AO2122" s="118">
        <v>6512</v>
      </c>
      <c r="AP2122" s="118">
        <f t="shared" si="33"/>
        <v>1327</v>
      </c>
    </row>
    <row r="2123" spans="1:42" ht="12.75">
      <c r="A2123" s="106">
        <v>2018</v>
      </c>
      <c r="B2123" s="106">
        <v>-178402</v>
      </c>
      <c r="C2123" s="106">
        <v>0</v>
      </c>
      <c r="D2123" s="106">
        <v>178402</v>
      </c>
      <c r="E2123" s="106" t="s">
        <v>3255</v>
      </c>
      <c r="F2123" s="106" t="s">
        <v>263</v>
      </c>
      <c r="G2123" s="106" t="s">
        <v>264</v>
      </c>
      <c r="H2123" s="106">
        <v>1</v>
      </c>
      <c r="I2123" s="106" t="s">
        <v>23</v>
      </c>
      <c r="J2123" s="106">
        <v>9763</v>
      </c>
      <c r="K2123" s="106">
        <v>14521</v>
      </c>
      <c r="L2123" s="106">
        <v>11459</v>
      </c>
      <c r="M2123" s="106">
        <v>0.38</v>
      </c>
      <c r="N2123" s="106">
        <v>0.49</v>
      </c>
      <c r="O2123" s="106">
        <v>0.75</v>
      </c>
      <c r="P2123" s="106">
        <v>4504</v>
      </c>
      <c r="Q2123" s="106">
        <v>3424.4014131897711</v>
      </c>
      <c r="R2123" s="106">
        <v>0.21694307811244584</v>
      </c>
      <c r="S2123" s="106">
        <v>30868.50479475101</v>
      </c>
      <c r="T2123" s="106">
        <v>32980.347325033646</v>
      </c>
      <c r="U2123" s="106">
        <v>20810.410810608479</v>
      </c>
      <c r="V2123" s="106">
        <v>0.59395227354020119</v>
      </c>
      <c r="W2123" s="106">
        <v>91178.873680422272</v>
      </c>
      <c r="X2123" s="110">
        <v>0.64619955250941186</v>
      </c>
      <c r="Y2123" s="106">
        <v>314.38054054054055</v>
      </c>
      <c r="Z2123" s="106">
        <v>12.851891891891892</v>
      </c>
      <c r="AA2123" s="106">
        <v>72422.179073920837</v>
      </c>
      <c r="AB2123" s="106">
        <v>850.73061298241964</v>
      </c>
      <c r="AC2123" s="106">
        <v>1.3807924765413457</v>
      </c>
      <c r="AD2123" s="106">
        <v>27.770099991870577</v>
      </c>
      <c r="AE2123" s="106">
        <v>85.129391100702577</v>
      </c>
      <c r="AF2123" s="106">
        <v>3.2270073689199763E-2</v>
      </c>
      <c r="AG2123" s="106">
        <v>8340</v>
      </c>
      <c r="AH2123" s="106">
        <v>29100.380299461642</v>
      </c>
      <c r="AI2123" s="106">
        <v>30239.009673620458</v>
      </c>
      <c r="AJ2123" s="106">
        <v>32314.133411843875</v>
      </c>
      <c r="AK2123" s="104">
        <v>26951.469885598923</v>
      </c>
      <c r="AL2123" s="119">
        <v>72300420</v>
      </c>
      <c r="AM2123" s="118">
        <v>11372</v>
      </c>
      <c r="AN2123" s="118">
        <v>290802</v>
      </c>
      <c r="AO2123" s="118">
        <v>1753</v>
      </c>
      <c r="AP2123" s="118">
        <f t="shared" si="33"/>
        <v>1423</v>
      </c>
    </row>
    <row r="2124" spans="1:42" ht="12.75">
      <c r="A2124" s="106">
        <v>2018</v>
      </c>
      <c r="B2124" s="106">
        <v>-178420</v>
      </c>
      <c r="C2124" s="106">
        <v>0</v>
      </c>
      <c r="D2124" s="106">
        <v>178420</v>
      </c>
      <c r="E2124" s="106" t="s">
        <v>3256</v>
      </c>
      <c r="F2124" s="106" t="s">
        <v>1259</v>
      </c>
      <c r="G2124" s="106" t="s">
        <v>264</v>
      </c>
      <c r="H2124" s="106">
        <v>1</v>
      </c>
      <c r="I2124" s="106" t="s">
        <v>23</v>
      </c>
      <c r="J2124" s="106">
        <v>10275</v>
      </c>
      <c r="K2124" s="106">
        <v>9481</v>
      </c>
      <c r="L2124" s="106">
        <v>7565</v>
      </c>
      <c r="M2124" s="106">
        <v>0.49</v>
      </c>
      <c r="N2124" s="106">
        <v>0.45</v>
      </c>
      <c r="O2124" s="106">
        <v>0.87</v>
      </c>
      <c r="P2124" s="106">
        <v>8642</v>
      </c>
      <c r="Q2124" s="106">
        <v>2301.1694634348455</v>
      </c>
      <c r="R2124" s="106">
        <v>0.19282732375908418</v>
      </c>
      <c r="S2124" s="106">
        <v>22652.760099440646</v>
      </c>
      <c r="T2124" s="106">
        <v>22621.723845038327</v>
      </c>
      <c r="U2124" s="106">
        <v>15288.071518607618</v>
      </c>
      <c r="V2124" s="106">
        <v>0.63007721513588932</v>
      </c>
      <c r="W2124" s="106">
        <v>87264.922678185743</v>
      </c>
      <c r="X2124" s="110">
        <v>0.61668935740600939</v>
      </c>
      <c r="Y2124" s="106">
        <v>470.2276887871854</v>
      </c>
      <c r="Z2124" s="106">
        <v>16.568649885583525</v>
      </c>
      <c r="AA2124" s="106">
        <v>47640.749658049695</v>
      </c>
      <c r="AB2124" s="106">
        <v>538.68096340921784</v>
      </c>
      <c r="AC2124" s="106">
        <v>2.0990433760545022</v>
      </c>
      <c r="AD2124" s="106">
        <v>29.376066755167834</v>
      </c>
      <c r="AE2124" s="106">
        <v>88.439638476436414</v>
      </c>
      <c r="AF2124" s="106">
        <v>5.7137782523795186E-2</v>
      </c>
      <c r="AG2124" s="106">
        <v>10275</v>
      </c>
      <c r="AH2124" s="106">
        <v>20853.559250051792</v>
      </c>
      <c r="AI2124" s="106">
        <v>22054.409985498238</v>
      </c>
      <c r="AJ2124" s="106">
        <v>23547.702610316966</v>
      </c>
      <c r="AK2124" s="104">
        <v>21427.918065050755</v>
      </c>
      <c r="AL2124" s="118">
        <v>55817172</v>
      </c>
      <c r="AM2124" s="118">
        <v>13787</v>
      </c>
      <c r="AN2124" s="118">
        <v>273986</v>
      </c>
      <c r="AO2124" s="118">
        <v>1988</v>
      </c>
      <c r="AP2124" s="118">
        <f t="shared" si="33"/>
        <v>0</v>
      </c>
    </row>
    <row r="2125" spans="1:42" ht="12.75">
      <c r="A2125" s="106">
        <v>2018</v>
      </c>
      <c r="B2125" s="106">
        <v>-101693</v>
      </c>
      <c r="C2125" s="106">
        <v>0</v>
      </c>
      <c r="D2125" s="106">
        <v>101693</v>
      </c>
      <c r="E2125" s="106" t="s">
        <v>3257</v>
      </c>
      <c r="F2125" s="106" t="s">
        <v>379</v>
      </c>
      <c r="G2125" s="106" t="s">
        <v>85</v>
      </c>
      <c r="H2125" s="106">
        <v>7</v>
      </c>
      <c r="I2125" s="106" t="s">
        <v>3641</v>
      </c>
      <c r="J2125" s="106">
        <v>22210</v>
      </c>
      <c r="K2125" s="106">
        <v>19779</v>
      </c>
      <c r="L2125" s="106">
        <v>12074</v>
      </c>
      <c r="M2125" s="106">
        <v>0.47</v>
      </c>
      <c r="N2125" s="106">
        <v>0.6</v>
      </c>
      <c r="O2125" s="106">
        <v>0.95</v>
      </c>
      <c r="P2125" s="106">
        <v>13454</v>
      </c>
      <c r="Q2125" s="106">
        <v>10113.549093655589</v>
      </c>
      <c r="R2125" s="106">
        <v>0.49679263361621229</v>
      </c>
      <c r="S2125" s="106">
        <v>21020.317975830814</v>
      </c>
      <c r="T2125" s="106">
        <v>22027.824773413897</v>
      </c>
      <c r="U2125" s="106">
        <v>15525.0249244713</v>
      </c>
      <c r="V2125" s="106">
        <v>0.65984681295907932</v>
      </c>
      <c r="W2125" s="106">
        <v>60645.976011994004</v>
      </c>
      <c r="X2125" s="110">
        <v>0.46232456615568607</v>
      </c>
      <c r="Y2125" s="106">
        <v>393.34228187919467</v>
      </c>
      <c r="Z2125" s="106">
        <v>13.328859060402685</v>
      </c>
      <c r="AA2125" s="106">
        <v>63052.555214723929</v>
      </c>
      <c r="AB2125" s="106">
        <v>526.08346130221128</v>
      </c>
      <c r="AC2125" s="106">
        <v>1.5859785485211892</v>
      </c>
      <c r="AD2125" s="106">
        <v>23.778264040846096</v>
      </c>
      <c r="AE2125" s="106">
        <v>119.85276073619632</v>
      </c>
      <c r="AF2125" s="106">
        <v>5.2127791580822093E-4</v>
      </c>
      <c r="AG2125" s="106">
        <v>21010</v>
      </c>
      <c r="AH2125" s="106">
        <v>15706.445619335347</v>
      </c>
      <c r="AI2125" s="106">
        <v>21087.251510574017</v>
      </c>
      <c r="AJ2125" s="106">
        <v>22040.630664652566</v>
      </c>
      <c r="AK2125" s="104">
        <v>15525.0249244713</v>
      </c>
      <c r="AL2125" s="118"/>
      <c r="AM2125" s="118">
        <v>1443</v>
      </c>
      <c r="AN2125" s="118">
        <v>39072</v>
      </c>
      <c r="AO2125" s="118">
        <v>297</v>
      </c>
      <c r="AP2125" s="118">
        <f t="shared" si="33"/>
        <v>1200</v>
      </c>
    </row>
    <row r="2126" spans="1:42" ht="12.75">
      <c r="A2126" s="106">
        <v>2018</v>
      </c>
      <c r="B2126" s="106">
        <v>-101709</v>
      </c>
      <c r="C2126" s="106">
        <v>0</v>
      </c>
      <c r="D2126" s="106">
        <v>101709</v>
      </c>
      <c r="E2126" s="106" t="s">
        <v>3258</v>
      </c>
      <c r="F2126" s="106" t="s">
        <v>3259</v>
      </c>
      <c r="G2126" s="106" t="s">
        <v>85</v>
      </c>
      <c r="H2126" s="106">
        <v>2</v>
      </c>
      <c r="I2126" s="106" t="s">
        <v>25</v>
      </c>
      <c r="J2126" s="106">
        <v>12400</v>
      </c>
      <c r="K2126" s="106">
        <v>16308</v>
      </c>
      <c r="L2126" s="106">
        <v>13905</v>
      </c>
      <c r="M2126" s="106">
        <v>0.4</v>
      </c>
      <c r="N2126" s="106">
        <v>0.57999999999999996</v>
      </c>
      <c r="O2126" s="106">
        <v>0.86</v>
      </c>
      <c r="P2126" s="106">
        <v>10295</v>
      </c>
      <c r="Q2126" s="106">
        <v>5585.1736820596652</v>
      </c>
      <c r="R2126" s="106">
        <v>0.38915965198040481</v>
      </c>
      <c r="S2126" s="106">
        <v>25595.340825500614</v>
      </c>
      <c r="T2126" s="106">
        <v>29374.242337556192</v>
      </c>
      <c r="U2126" s="106">
        <v>25088.418392189098</v>
      </c>
      <c r="V2126" s="106">
        <v>0.34943251082724636</v>
      </c>
      <c r="W2126" s="106">
        <v>81048.787741935492</v>
      </c>
      <c r="X2126" s="110">
        <v>0.58258100990624895</v>
      </c>
      <c r="Y2126" s="106">
        <v>412.44529750479848</v>
      </c>
      <c r="Z2126" s="106">
        <v>14.09021113243762</v>
      </c>
      <c r="AA2126" s="106">
        <v>91628.895232368232</v>
      </c>
      <c r="AB2126" s="106">
        <v>857.08605301958335</v>
      </c>
      <c r="AC2126" s="106">
        <v>1.0913587874916846</v>
      </c>
      <c r="AD2126" s="106">
        <v>27.526705012325394</v>
      </c>
      <c r="AE2126" s="106">
        <v>106.90746268656716</v>
      </c>
      <c r="AF2126" s="106">
        <v>-0.38171148062652738</v>
      </c>
      <c r="AG2126" s="106">
        <v>11730</v>
      </c>
      <c r="AH2126" s="106">
        <v>24253.597874948919</v>
      </c>
      <c r="AI2126" s="106">
        <v>24253.597874948919</v>
      </c>
      <c r="AJ2126" s="106">
        <v>25768.184307315081</v>
      </c>
      <c r="AK2126" s="104">
        <v>26927.28933387822</v>
      </c>
      <c r="AL2126" s="118">
        <v>18703151</v>
      </c>
      <c r="AM2126" s="118">
        <v>2346</v>
      </c>
      <c r="AN2126" s="118">
        <v>71628</v>
      </c>
      <c r="AO2126" s="118">
        <v>510</v>
      </c>
      <c r="AP2126" s="118">
        <f t="shared" si="33"/>
        <v>670</v>
      </c>
    </row>
    <row r="2127" spans="1:42" ht="12.75">
      <c r="A2127" s="106">
        <v>2018</v>
      </c>
      <c r="B2127" s="106">
        <v>-199069</v>
      </c>
      <c r="C2127" s="106">
        <v>0</v>
      </c>
      <c r="D2127" s="106">
        <v>199069</v>
      </c>
      <c r="E2127" s="106" t="s">
        <v>3260</v>
      </c>
      <c r="F2127" s="106" t="s">
        <v>3261</v>
      </c>
      <c r="G2127" s="106" t="s">
        <v>90</v>
      </c>
      <c r="H2127" s="106">
        <v>7</v>
      </c>
      <c r="I2127" s="106" t="s">
        <v>3641</v>
      </c>
      <c r="J2127" s="106">
        <v>19700</v>
      </c>
      <c r="K2127" s="106">
        <v>16413</v>
      </c>
      <c r="L2127" s="106">
        <v>15231</v>
      </c>
      <c r="M2127" s="106">
        <v>0.52</v>
      </c>
      <c r="N2127" s="106">
        <v>0.72</v>
      </c>
      <c r="O2127" s="106">
        <v>0.97</v>
      </c>
      <c r="P2127" s="106">
        <v>8553</v>
      </c>
      <c r="Q2127" s="106">
        <v>2543.1657377530069</v>
      </c>
      <c r="R2127" s="106">
        <v>0.2102806376876836</v>
      </c>
      <c r="S2127" s="106">
        <v>12167.566148430626</v>
      </c>
      <c r="T2127" s="106">
        <v>12998.394250513347</v>
      </c>
      <c r="U2127" s="106">
        <v>11918.075388677031</v>
      </c>
      <c r="V2127" s="106">
        <v>0.80138652660941634</v>
      </c>
      <c r="W2127" s="106">
        <v>63615.194285714286</v>
      </c>
      <c r="X2127" s="110">
        <v>0.50247238156501317</v>
      </c>
      <c r="Y2127" s="106">
        <v>723.59569377990431</v>
      </c>
      <c r="Z2127" s="106">
        <v>24.466507177033492</v>
      </c>
      <c r="AA2127" s="106">
        <v>42587.755765199159</v>
      </c>
      <c r="AB2127" s="106">
        <v>402.9787345890241</v>
      </c>
      <c r="AC2127" s="106">
        <v>2.3480927370611906</v>
      </c>
      <c r="AD2127" s="106">
        <v>41.677588466579287</v>
      </c>
      <c r="AE2127" s="106">
        <v>105.68238993710692</v>
      </c>
      <c r="AF2127" s="106">
        <v>-3.1290178075071416E-2</v>
      </c>
      <c r="AG2127" s="106">
        <v>19700</v>
      </c>
      <c r="AH2127" s="106">
        <v>11324.561454972132</v>
      </c>
      <c r="AI2127" s="106">
        <v>12286.724845995894</v>
      </c>
      <c r="AJ2127" s="106">
        <v>12546.740686418305</v>
      </c>
      <c r="AK2127" s="104">
        <v>11918.075388677031</v>
      </c>
      <c r="AM2127" s="118">
        <v>3207</v>
      </c>
      <c r="AN2127" s="118">
        <v>100821</v>
      </c>
      <c r="AO2127" s="118">
        <v>869</v>
      </c>
      <c r="AP2127" s="118">
        <f t="shared" si="33"/>
        <v>0</v>
      </c>
    </row>
    <row r="2128" spans="1:42" ht="12.75">
      <c r="A2128" s="106">
        <v>2018</v>
      </c>
      <c r="B2128" s="106">
        <v>-204185</v>
      </c>
      <c r="C2128" s="106">
        <v>0</v>
      </c>
      <c r="D2128" s="106">
        <v>204185</v>
      </c>
      <c r="E2128" s="106" t="s">
        <v>3262</v>
      </c>
      <c r="F2128" s="106" t="s">
        <v>3263</v>
      </c>
      <c r="G2128" s="106" t="s">
        <v>82</v>
      </c>
      <c r="H2128" s="106">
        <v>7</v>
      </c>
      <c r="I2128" s="106" t="s">
        <v>3641</v>
      </c>
      <c r="J2128" s="106">
        <v>29890</v>
      </c>
      <c r="K2128" s="106">
        <v>22433</v>
      </c>
      <c r="L2128" s="106">
        <v>18467</v>
      </c>
      <c r="M2128" s="106">
        <v>0.36</v>
      </c>
      <c r="N2128" s="106">
        <v>0.95</v>
      </c>
      <c r="O2128" s="106">
        <v>1</v>
      </c>
      <c r="P2128" s="106">
        <v>16951</v>
      </c>
      <c r="Q2128" s="106">
        <v>12042.926819461198</v>
      </c>
      <c r="R2128" s="106">
        <v>0.46636581773110597</v>
      </c>
      <c r="S2128" s="106">
        <v>21968.566948130276</v>
      </c>
      <c r="T2128" s="106">
        <v>23172.628065942903</v>
      </c>
      <c r="U2128" s="106">
        <v>18811.894652191397</v>
      </c>
      <c r="V2128" s="106">
        <v>0.73251485908508385</v>
      </c>
      <c r="W2128" s="106">
        <v>68248.474001507158</v>
      </c>
      <c r="X2128" s="110">
        <v>0.52383141126080046</v>
      </c>
      <c r="Y2128" s="106">
        <v>403.95309568480303</v>
      </c>
      <c r="Z2128" s="106">
        <v>13.998123827392121</v>
      </c>
      <c r="AA2128" s="106">
        <v>86961.304832713751</v>
      </c>
      <c r="AB2128" s="106">
        <v>651.88566093996019</v>
      </c>
      <c r="AC2128" s="106">
        <v>1.1499367470666246</v>
      </c>
      <c r="AD2128" s="106">
        <v>24.158060170633139</v>
      </c>
      <c r="AE2128" s="106">
        <v>133.39962825278809</v>
      </c>
      <c r="AF2128" s="106">
        <v>1.7196190360226068E-2</v>
      </c>
      <c r="AG2128" s="106">
        <v>29560</v>
      </c>
      <c r="AH2128" s="106">
        <v>19626.833132287898</v>
      </c>
      <c r="AI2128" s="106">
        <v>21968.566948130276</v>
      </c>
      <c r="AJ2128" s="106">
        <v>24965.253317249699</v>
      </c>
      <c r="AK2128" s="104">
        <v>18811.894652191397</v>
      </c>
      <c r="AL2128" s="118"/>
      <c r="AM2128" s="118">
        <v>2095</v>
      </c>
      <c r="AN2128" s="118">
        <v>71769</v>
      </c>
      <c r="AO2128" s="118">
        <v>471</v>
      </c>
      <c r="AP2128" s="118">
        <f t="shared" si="33"/>
        <v>330</v>
      </c>
    </row>
    <row r="2129" spans="1:42" ht="12.75">
      <c r="A2129" s="106">
        <v>2018</v>
      </c>
      <c r="B2129" s="106">
        <v>-181215</v>
      </c>
      <c r="C2129" s="106">
        <v>0</v>
      </c>
      <c r="D2129" s="106">
        <v>181215</v>
      </c>
      <c r="E2129" s="106" t="s">
        <v>3264</v>
      </c>
      <c r="F2129" s="106" t="s">
        <v>3265</v>
      </c>
      <c r="G2129" s="106" t="s">
        <v>323</v>
      </c>
      <c r="H2129" s="106">
        <v>2</v>
      </c>
      <c r="I2129" s="106" t="s">
        <v>25</v>
      </c>
      <c r="J2129" s="106">
        <v>7326</v>
      </c>
      <c r="K2129" s="106">
        <v>15975</v>
      </c>
      <c r="L2129" s="106">
        <v>13659</v>
      </c>
      <c r="M2129" s="106">
        <v>0.42</v>
      </c>
      <c r="N2129" s="106">
        <v>0.51</v>
      </c>
      <c r="O2129" s="106">
        <v>0.65</v>
      </c>
      <c r="P2129" s="106">
        <v>4309</v>
      </c>
      <c r="Q2129" s="106">
        <v>2123.5575237740072</v>
      </c>
      <c r="R2129" s="106">
        <v>0.27156343157656737</v>
      </c>
      <c r="S2129" s="106">
        <v>20317.717508856982</v>
      </c>
      <c r="T2129" s="106">
        <v>20996.250419541302</v>
      </c>
      <c r="U2129" s="106">
        <v>14154.952386206571</v>
      </c>
      <c r="V2129" s="106">
        <v>0.40241676811342664</v>
      </c>
      <c r="W2129" s="106">
        <v>79982.932277227723</v>
      </c>
      <c r="X2129" s="110">
        <v>0.59784404647301637</v>
      </c>
      <c r="Y2129" s="106">
        <v>420.32910244786945</v>
      </c>
      <c r="Z2129" s="106">
        <v>14.586582048957387</v>
      </c>
      <c r="AA2129" s="106">
        <v>57816.458223325091</v>
      </c>
      <c r="AB2129" s="106">
        <v>491.21598570751996</v>
      </c>
      <c r="AC2129" s="106">
        <v>1.7296113091835268</v>
      </c>
      <c r="AD2129" s="106">
        <v>25.264575716759669</v>
      </c>
      <c r="AE2129" s="106">
        <v>117.7006854531607</v>
      </c>
      <c r="AF2129" s="106">
        <v>8.1496446685427309E-3</v>
      </c>
      <c r="AG2129" s="106">
        <v>5753</v>
      </c>
      <c r="AH2129" s="106">
        <v>18872.026477717696</v>
      </c>
      <c r="AI2129" s="106">
        <v>19532.588663061721</v>
      </c>
      <c r="AJ2129" s="106">
        <v>20548.31680029834</v>
      </c>
      <c r="AK2129" s="104">
        <v>16492.540369196344</v>
      </c>
      <c r="AL2129" s="119">
        <v>41312406</v>
      </c>
      <c r="AM2129" s="118">
        <v>4843</v>
      </c>
      <c r="AN2129" s="118">
        <v>154541</v>
      </c>
      <c r="AO2129" s="118">
        <v>881</v>
      </c>
      <c r="AP2129" s="118">
        <f t="shared" si="33"/>
        <v>1573</v>
      </c>
    </row>
    <row r="2130" spans="1:42" ht="12.75">
      <c r="A2130" s="106">
        <v>2018</v>
      </c>
      <c r="B2130" s="106">
        <v>-181394</v>
      </c>
      <c r="C2130" s="106">
        <v>0</v>
      </c>
      <c r="D2130" s="106">
        <v>181394</v>
      </c>
      <c r="E2130" s="106" t="s">
        <v>3266</v>
      </c>
      <c r="F2130" s="106" t="s">
        <v>835</v>
      </c>
      <c r="G2130" s="106" t="s">
        <v>323</v>
      </c>
      <c r="H2130" s="106">
        <v>1</v>
      </c>
      <c r="I2130" s="106" t="s">
        <v>23</v>
      </c>
      <c r="J2130" s="106">
        <v>7630</v>
      </c>
      <c r="K2130" s="106">
        <v>12105</v>
      </c>
      <c r="L2130" s="106">
        <v>10211</v>
      </c>
      <c r="M2130" s="106">
        <v>0.41</v>
      </c>
      <c r="N2130" s="106">
        <v>0.41</v>
      </c>
      <c r="O2130" s="106">
        <v>0.56000000000000005</v>
      </c>
      <c r="P2130" s="106">
        <v>4122</v>
      </c>
      <c r="Q2130" s="106">
        <v>2362.609572754468</v>
      </c>
      <c r="R2130" s="106">
        <v>0.25276881615930585</v>
      </c>
      <c r="S2130" s="106">
        <v>20141.375853340491</v>
      </c>
      <c r="T2130" s="106">
        <v>20032.059369486844</v>
      </c>
      <c r="U2130" s="106">
        <v>12695.812262682977</v>
      </c>
      <c r="V2130" s="106">
        <v>0.55012700059573705</v>
      </c>
      <c r="W2130" s="106">
        <v>90317.443263096851</v>
      </c>
      <c r="X2130" s="110">
        <v>0.59633403168208265</v>
      </c>
      <c r="Y2130" s="106">
        <v>522.31882730187817</v>
      </c>
      <c r="Z2130" s="106">
        <v>17.916170407695834</v>
      </c>
      <c r="AA2130" s="106">
        <v>48072.989970548355</v>
      </c>
      <c r="AB2130" s="106">
        <v>435.48178635896687</v>
      </c>
      <c r="AC2130" s="106">
        <v>2.0801701758360451</v>
      </c>
      <c r="AD2130" s="106">
        <v>27.039974868452056</v>
      </c>
      <c r="AE2130" s="106">
        <v>110.39035724658729</v>
      </c>
      <c r="AF2130" s="106">
        <v>4.5179675119737008E-2</v>
      </c>
      <c r="AG2130" s="106">
        <v>5954</v>
      </c>
      <c r="AH2130" s="106">
        <v>18183.362660121194</v>
      </c>
      <c r="AI2130" s="106">
        <v>18945.550510086676</v>
      </c>
      <c r="AJ2130" s="106">
        <v>20317.377234026233</v>
      </c>
      <c r="AK2130" s="104">
        <v>16332.651453555265</v>
      </c>
      <c r="AL2130" s="119">
        <v>67621831</v>
      </c>
      <c r="AM2130" s="118">
        <v>12624</v>
      </c>
      <c r="AN2130" s="118">
        <v>380074</v>
      </c>
      <c r="AO2130" s="118">
        <v>2269</v>
      </c>
      <c r="AP2130" s="118">
        <f t="shared" si="33"/>
        <v>1676</v>
      </c>
    </row>
    <row r="2131" spans="1:42" ht="12.75">
      <c r="A2131" s="106">
        <v>2018</v>
      </c>
      <c r="B2131" s="106">
        <v>-181464</v>
      </c>
      <c r="C2131" s="106">
        <v>0</v>
      </c>
      <c r="D2131" s="106">
        <v>181464</v>
      </c>
      <c r="E2131" s="106" t="s">
        <v>3267</v>
      </c>
      <c r="F2131" s="106" t="s">
        <v>1052</v>
      </c>
      <c r="G2131" s="106" t="s">
        <v>323</v>
      </c>
      <c r="H2131" s="106">
        <v>1</v>
      </c>
      <c r="I2131" s="106" t="s">
        <v>23</v>
      </c>
      <c r="J2131" s="106">
        <v>8978</v>
      </c>
      <c r="K2131" s="106">
        <v>17315</v>
      </c>
      <c r="L2131" s="106">
        <v>13161</v>
      </c>
      <c r="M2131" s="106">
        <v>0.26</v>
      </c>
      <c r="N2131" s="106">
        <v>0.46</v>
      </c>
      <c r="O2131" s="106">
        <v>0.73</v>
      </c>
      <c r="P2131" s="106">
        <v>7037</v>
      </c>
      <c r="Q2131" s="107">
        <v>4359.1407667925841</v>
      </c>
      <c r="R2131" s="106">
        <v>0.31212609615135162</v>
      </c>
      <c r="S2131" s="106">
        <v>46622.183535235119</v>
      </c>
      <c r="T2131" s="106">
        <v>47548.934696713128</v>
      </c>
      <c r="U2131" s="106">
        <v>15732.656104618187</v>
      </c>
      <c r="V2131" s="106">
        <v>0.61062924070936087</v>
      </c>
      <c r="W2131" s="106">
        <v>103243.84825938195</v>
      </c>
      <c r="X2131" s="110">
        <v>0.57864725289372443</v>
      </c>
      <c r="Y2131" s="106">
        <v>351.72536836499199</v>
      </c>
      <c r="Z2131" s="106">
        <v>12.265755370140244</v>
      </c>
      <c r="AA2131" s="106">
        <v>66508.590812309369</v>
      </c>
      <c r="AB2131" s="106">
        <v>548.64655341419279</v>
      </c>
      <c r="AC2131" s="106">
        <v>1.503565160209229</v>
      </c>
      <c r="AD2131" s="106">
        <v>22.991222147197838</v>
      </c>
      <c r="AE2131" s="106">
        <v>121.22301762114537</v>
      </c>
      <c r="AF2131" s="106">
        <v>1.9717820535847301E-2</v>
      </c>
      <c r="AG2131" s="106">
        <v>7125</v>
      </c>
      <c r="AH2131" s="106">
        <v>43000.219703877381</v>
      </c>
      <c r="AI2131" s="106">
        <v>45687.821458034821</v>
      </c>
      <c r="AJ2131" s="106">
        <v>47845.779340888366</v>
      </c>
      <c r="AK2131" s="104">
        <v>33425.268594503061</v>
      </c>
      <c r="AL2131" s="119">
        <v>268604585</v>
      </c>
      <c r="AM2131" s="118">
        <v>20954</v>
      </c>
      <c r="AN2131" s="118">
        <v>660423</v>
      </c>
      <c r="AO2131" s="118">
        <v>4102</v>
      </c>
      <c r="AP2131" s="118">
        <f t="shared" si="33"/>
        <v>1853</v>
      </c>
    </row>
    <row r="2132" spans="1:42" ht="12.75">
      <c r="A2132" s="106">
        <v>2018</v>
      </c>
      <c r="B2132" s="106">
        <v>-182281</v>
      </c>
      <c r="C2132" s="106">
        <v>0</v>
      </c>
      <c r="D2132" s="106">
        <v>182281</v>
      </c>
      <c r="E2132" s="106" t="s">
        <v>3268</v>
      </c>
      <c r="F2132" s="106" t="s">
        <v>843</v>
      </c>
      <c r="G2132" s="106" t="s">
        <v>844</v>
      </c>
      <c r="H2132" s="106">
        <v>1</v>
      </c>
      <c r="I2132" s="106" t="s">
        <v>23</v>
      </c>
      <c r="J2132" s="106">
        <v>7545</v>
      </c>
      <c r="K2132" s="106">
        <v>11693</v>
      </c>
      <c r="L2132" s="106">
        <v>8396</v>
      </c>
      <c r="M2132" s="106">
        <v>0.43</v>
      </c>
      <c r="N2132" s="106">
        <v>0.3</v>
      </c>
      <c r="O2132" s="106">
        <v>0.4</v>
      </c>
      <c r="P2132" s="106">
        <v>3081</v>
      </c>
      <c r="Q2132" s="106">
        <v>1435.7409534750143</v>
      </c>
      <c r="R2132" s="106">
        <v>0.14680791707044902</v>
      </c>
      <c r="S2132" s="106">
        <v>25590.142159678348</v>
      </c>
      <c r="T2132" s="106">
        <v>26802.699597932224</v>
      </c>
      <c r="U2132" s="106">
        <v>20437.86531475783</v>
      </c>
      <c r="V2132" s="106">
        <v>0.40826100056943471</v>
      </c>
      <c r="W2132" s="106">
        <v>110631.88727042431</v>
      </c>
      <c r="X2132" s="110">
        <v>0.6239271593429554</v>
      </c>
      <c r="Y2132" s="106">
        <v>507.66192917054985</v>
      </c>
      <c r="Z2132" s="106">
        <v>19.470643056849951</v>
      </c>
      <c r="AA2132" s="106">
        <v>101320.01712188896</v>
      </c>
      <c r="AB2132" s="106">
        <v>783.86492569533607</v>
      </c>
      <c r="AC2132" s="106">
        <v>0.98697180320941946</v>
      </c>
      <c r="AD2132" s="106">
        <v>22.351724412267789</v>
      </c>
      <c r="AE2132" s="106">
        <v>129.25698522868839</v>
      </c>
      <c r="AF2132" s="106">
        <v>6.6763383847455948E-2</v>
      </c>
      <c r="AG2132" s="106">
        <v>6899</v>
      </c>
      <c r="AH2132" s="106">
        <v>24435.848650201035</v>
      </c>
      <c r="AI2132" s="106">
        <v>25291.247846065478</v>
      </c>
      <c r="AJ2132" s="106">
        <v>26557.258759333716</v>
      </c>
      <c r="AK2132" s="104">
        <v>24439.474439977024</v>
      </c>
      <c r="AL2132" s="118">
        <v>224259000</v>
      </c>
      <c r="AM2132" s="118">
        <v>25279</v>
      </c>
      <c r="AN2132" s="118">
        <v>726295</v>
      </c>
      <c r="AO2132" s="118">
        <v>4163</v>
      </c>
      <c r="AP2132" s="118">
        <f t="shared" si="33"/>
        <v>646</v>
      </c>
    </row>
    <row r="2133" spans="1:42" ht="12.75">
      <c r="A2133" s="106">
        <v>2018</v>
      </c>
      <c r="B2133" s="106">
        <v>-182290</v>
      </c>
      <c r="C2133" s="106">
        <v>0</v>
      </c>
      <c r="D2133" s="106">
        <v>182290</v>
      </c>
      <c r="E2133" s="106" t="s">
        <v>3269</v>
      </c>
      <c r="F2133" s="106" t="s">
        <v>3101</v>
      </c>
      <c r="G2133" s="106" t="s">
        <v>844</v>
      </c>
      <c r="H2133" s="106">
        <v>1</v>
      </c>
      <c r="I2133" s="106" t="s">
        <v>23</v>
      </c>
      <c r="J2133" s="106">
        <v>7659</v>
      </c>
      <c r="K2133" s="106">
        <v>15723</v>
      </c>
      <c r="L2133" s="106">
        <v>10875</v>
      </c>
      <c r="M2133" s="106">
        <v>0.3</v>
      </c>
      <c r="N2133" s="106">
        <v>0.38</v>
      </c>
      <c r="O2133" s="106">
        <v>0.49</v>
      </c>
      <c r="P2133" s="106">
        <v>2870</v>
      </c>
      <c r="Q2133" s="106">
        <v>1331.4451666150831</v>
      </c>
      <c r="R2133" s="106">
        <v>0.13412445472407261</v>
      </c>
      <c r="S2133" s="106">
        <v>30732.94557928402</v>
      </c>
      <c r="T2133" s="106">
        <v>31841.004745692768</v>
      </c>
      <c r="U2133" s="106">
        <v>19279.109331387321</v>
      </c>
      <c r="V2133" s="106">
        <v>0.44584492140589738</v>
      </c>
      <c r="W2133" s="106">
        <v>111539.52918026493</v>
      </c>
      <c r="X2133" s="110">
        <v>0.62750462837381571</v>
      </c>
      <c r="Y2133" s="106">
        <v>464.75476387738195</v>
      </c>
      <c r="Z2133" s="106">
        <v>16.061309030654517</v>
      </c>
      <c r="AA2133" s="106">
        <v>78287.560431142556</v>
      </c>
      <c r="AB2133" s="106">
        <v>666.26048160074902</v>
      </c>
      <c r="AC2133" s="106">
        <v>1.2773421403002398</v>
      </c>
      <c r="AD2133" s="106">
        <v>25.347775299989383</v>
      </c>
      <c r="AE2133" s="106">
        <v>117.50293255131965</v>
      </c>
      <c r="AF2133" s="106">
        <v>8.0804048042727519E-2</v>
      </c>
      <c r="AG2133" s="106">
        <v>6885</v>
      </c>
      <c r="AH2133" s="106">
        <v>30093.583668626845</v>
      </c>
      <c r="AI2133" s="106">
        <v>31304.502991849789</v>
      </c>
      <c r="AJ2133" s="106">
        <v>31713.136541834312</v>
      </c>
      <c r="AK2133" s="104">
        <v>29490.809708036726</v>
      </c>
      <c r="AL2133" s="119">
        <v>183726699</v>
      </c>
      <c r="AM2133" s="118">
        <v>18348</v>
      </c>
      <c r="AN2133" s="118">
        <v>560959</v>
      </c>
      <c r="AO2133" s="118">
        <v>3758</v>
      </c>
      <c r="AP2133" s="118">
        <f t="shared" si="33"/>
        <v>774</v>
      </c>
    </row>
    <row r="2134" spans="1:42" ht="12.75">
      <c r="A2134" s="106">
        <v>2018</v>
      </c>
      <c r="B2134" s="106">
        <v>-161457</v>
      </c>
      <c r="C2134" s="106">
        <v>0</v>
      </c>
      <c r="D2134" s="106">
        <v>161457</v>
      </c>
      <c r="E2134" s="106" t="s">
        <v>3270</v>
      </c>
      <c r="F2134" s="106" t="s">
        <v>3271</v>
      </c>
      <c r="G2134" s="106" t="s">
        <v>301</v>
      </c>
      <c r="H2134" s="106">
        <v>6</v>
      </c>
      <c r="I2134" s="106" t="s">
        <v>3640</v>
      </c>
      <c r="J2134" s="106">
        <v>36530</v>
      </c>
      <c r="K2134" s="106">
        <v>34445</v>
      </c>
      <c r="L2134" s="106">
        <v>29087</v>
      </c>
      <c r="M2134" s="106">
        <v>0.27</v>
      </c>
      <c r="N2134" s="106">
        <v>0.96</v>
      </c>
      <c r="O2134" s="106">
        <v>1</v>
      </c>
      <c r="P2134" s="106">
        <v>17871</v>
      </c>
      <c r="Q2134" s="106">
        <v>5829.273251028807</v>
      </c>
      <c r="R2134" s="106">
        <v>0.20088765266111719</v>
      </c>
      <c r="S2134" s="106">
        <v>29962.896982167353</v>
      </c>
      <c r="T2134" s="106">
        <v>25744.578463648835</v>
      </c>
      <c r="U2134" s="106">
        <v>19544.879182006851</v>
      </c>
      <c r="V2134" s="106">
        <v>1.1864133379315822</v>
      </c>
      <c r="W2134" s="106">
        <v>93339.885520894633</v>
      </c>
      <c r="X2134" s="110">
        <v>0.5633211668729784</v>
      </c>
      <c r="Y2134" s="106">
        <v>398.56368118323746</v>
      </c>
      <c r="Z2134" s="106">
        <v>17.970419063270334</v>
      </c>
      <c r="AA2134" s="106">
        <v>80271.644640467566</v>
      </c>
      <c r="AB2134" s="106">
        <v>881.23852228315684</v>
      </c>
      <c r="AC2134" s="106">
        <v>1.2457699159883253</v>
      </c>
      <c r="AD2134" s="106">
        <v>26.711813393528971</v>
      </c>
      <c r="AE2134" s="106">
        <v>91.089577464788732</v>
      </c>
      <c r="AF2134" s="106">
        <v>0.12352967615405916</v>
      </c>
      <c r="AG2134" s="106">
        <v>35240</v>
      </c>
      <c r="AH2134" s="106">
        <v>29371.357750342937</v>
      </c>
      <c r="AI2134" s="106">
        <v>29788.089986282579</v>
      </c>
      <c r="AJ2134" s="106">
        <v>30578.201646090536</v>
      </c>
      <c r="AK2134" s="104">
        <v>22494.092181069958</v>
      </c>
      <c r="AM2134" s="118">
        <v>4423</v>
      </c>
      <c r="AN2134" s="118">
        <v>161684</v>
      </c>
      <c r="AO2134" s="118">
        <v>477</v>
      </c>
      <c r="AP2134" s="118">
        <f t="shared" si="33"/>
        <v>1290</v>
      </c>
    </row>
    <row r="2135" spans="1:42" ht="12.75">
      <c r="A2135" s="106">
        <v>2018</v>
      </c>
      <c r="B2135" s="106">
        <v>-183071</v>
      </c>
      <c r="C2135" s="106">
        <v>0</v>
      </c>
      <c r="D2135" s="106">
        <v>183071</v>
      </c>
      <c r="E2135" s="106" t="s">
        <v>3272</v>
      </c>
      <c r="F2135" s="106" t="s">
        <v>1871</v>
      </c>
      <c r="G2135" s="106" t="s">
        <v>179</v>
      </c>
      <c r="H2135" s="106">
        <v>3</v>
      </c>
      <c r="I2135" s="104" t="s">
        <v>26</v>
      </c>
      <c r="J2135" s="106">
        <v>14850</v>
      </c>
      <c r="K2135" s="106">
        <v>12723</v>
      </c>
      <c r="L2135" s="106">
        <v>7795</v>
      </c>
      <c r="M2135" s="106">
        <v>0.43</v>
      </c>
      <c r="N2135" s="106">
        <v>0.62</v>
      </c>
      <c r="O2135" s="106">
        <v>0.87</v>
      </c>
      <c r="P2135" s="106">
        <v>5705</v>
      </c>
      <c r="Q2135" s="106">
        <v>2101.9504447268105</v>
      </c>
      <c r="R2135" s="106">
        <v>0.14832374491688999</v>
      </c>
      <c r="S2135" s="106">
        <v>15921.458703939008</v>
      </c>
      <c r="T2135" s="106">
        <v>22940.372299872935</v>
      </c>
      <c r="U2135" s="106">
        <v>21839.796165058244</v>
      </c>
      <c r="V2135" s="106">
        <v>0.55263418907324979</v>
      </c>
      <c r="W2135" s="106">
        <v>96149.118644067799</v>
      </c>
      <c r="X2135" s="110">
        <v>0.62842307107099882</v>
      </c>
      <c r="Y2135" s="106">
        <v>378.82417582417577</v>
      </c>
      <c r="Z2135" s="106">
        <v>12.972527472527471</v>
      </c>
      <c r="AA2135" s="106">
        <v>83843.510155613854</v>
      </c>
      <c r="AB2135" s="106">
        <v>747.8861535941536</v>
      </c>
      <c r="AC2135" s="106">
        <v>1.1926981565347115</v>
      </c>
      <c r="AD2135" s="106">
        <v>31.587057010785824</v>
      </c>
      <c r="AE2135" s="106">
        <v>112.10731707317073</v>
      </c>
      <c r="AF2135" s="106">
        <v>0.91281634559217983</v>
      </c>
      <c r="AG2135" s="106">
        <v>14420</v>
      </c>
      <c r="AH2135" s="106">
        <v>15853.443456162642</v>
      </c>
      <c r="AI2135" s="106">
        <v>15921.458703939008</v>
      </c>
      <c r="AJ2135" s="106">
        <v>16081.364675984752</v>
      </c>
      <c r="AK2135" s="104">
        <v>22940.372299872935</v>
      </c>
      <c r="AL2135" s="118">
        <v>2539974</v>
      </c>
      <c r="AM2135" s="118">
        <v>737</v>
      </c>
      <c r="AN2135" s="118">
        <v>22982</v>
      </c>
      <c r="AO2135" s="118">
        <v>205</v>
      </c>
      <c r="AP2135" s="118">
        <f t="shared" si="33"/>
        <v>430</v>
      </c>
    </row>
    <row r="2136" spans="1:42" ht="12.75">
      <c r="A2136" s="106">
        <v>2018</v>
      </c>
      <c r="B2136" s="106">
        <v>-183044</v>
      </c>
      <c r="C2136" s="106">
        <v>0</v>
      </c>
      <c r="D2136" s="106">
        <v>183044</v>
      </c>
      <c r="E2136" s="106" t="s">
        <v>3273</v>
      </c>
      <c r="F2136" s="106" t="s">
        <v>1069</v>
      </c>
      <c r="G2136" s="106" t="s">
        <v>179</v>
      </c>
      <c r="H2136" s="106">
        <v>1</v>
      </c>
      <c r="I2136" s="106" t="s">
        <v>23</v>
      </c>
      <c r="J2136" s="106">
        <v>18067</v>
      </c>
      <c r="K2136" s="106">
        <v>22694</v>
      </c>
      <c r="L2136" s="106">
        <v>15675</v>
      </c>
      <c r="M2136" s="106">
        <v>0.24</v>
      </c>
      <c r="N2136" s="106">
        <v>0.71</v>
      </c>
      <c r="O2136" s="106">
        <v>0.82</v>
      </c>
      <c r="P2136" s="106">
        <v>10874</v>
      </c>
      <c r="Q2136" s="106">
        <v>6790.0832440607473</v>
      </c>
      <c r="R2136" s="106">
        <v>0.31471001369889695</v>
      </c>
      <c r="S2136" s="106">
        <v>36824.510240090742</v>
      </c>
      <c r="T2136" s="106">
        <v>36855.81435503182</v>
      </c>
      <c r="U2136" s="106">
        <v>16970.417271842533</v>
      </c>
      <c r="V2136" s="106">
        <v>0.87125724310096553</v>
      </c>
      <c r="W2136" s="106">
        <v>122710.15126603091</v>
      </c>
      <c r="X2136" s="110">
        <v>0.63803035284807419</v>
      </c>
      <c r="Y2136" s="106">
        <v>516.59289415247963</v>
      </c>
      <c r="Z2136" s="106">
        <v>17.619170984455959</v>
      </c>
      <c r="AA2136" s="106">
        <v>67783.426047538174</v>
      </c>
      <c r="AB2136" s="106">
        <v>578.80138688454895</v>
      </c>
      <c r="AC2136" s="106">
        <v>1.4752868928440939</v>
      </c>
      <c r="AD2136" s="106">
        <v>27.405670138649374</v>
      </c>
      <c r="AE2136" s="106">
        <v>117.10999244903095</v>
      </c>
      <c r="AF2136" s="106">
        <v>4.895560142549437E-2</v>
      </c>
      <c r="AG2136" s="106">
        <v>14770</v>
      </c>
      <c r="AH2136" s="106">
        <v>36315.000252063772</v>
      </c>
      <c r="AI2136" s="106">
        <v>37076.796269456172</v>
      </c>
      <c r="AJ2136" s="106">
        <v>38908.325603377656</v>
      </c>
      <c r="AK2136" s="104">
        <v>28291.231268510932</v>
      </c>
      <c r="AL2136" s="119">
        <v>52801513</v>
      </c>
      <c r="AM2136" s="118">
        <v>13005</v>
      </c>
      <c r="AN2136" s="118">
        <v>465278</v>
      </c>
      <c r="AO2136" s="118">
        <v>3108</v>
      </c>
      <c r="AP2136" s="118">
        <f t="shared" si="33"/>
        <v>3297</v>
      </c>
    </row>
    <row r="2137" spans="1:42" ht="12.75">
      <c r="A2137" s="106">
        <v>2018</v>
      </c>
      <c r="B2137" s="106">
        <v>-129941</v>
      </c>
      <c r="C2137" s="106">
        <v>0</v>
      </c>
      <c r="D2137" s="106">
        <v>129941</v>
      </c>
      <c r="E2137" s="106" t="s">
        <v>3274</v>
      </c>
      <c r="F2137" s="106" t="s">
        <v>3275</v>
      </c>
      <c r="G2137" s="106" t="s">
        <v>99</v>
      </c>
      <c r="H2137" s="106">
        <v>6</v>
      </c>
      <c r="I2137" s="106" t="s">
        <v>3640</v>
      </c>
      <c r="J2137" s="106">
        <v>38170</v>
      </c>
      <c r="K2137" s="106">
        <v>33214</v>
      </c>
      <c r="L2137" s="106">
        <v>29212</v>
      </c>
      <c r="M2137" s="106">
        <v>0.3</v>
      </c>
      <c r="N2137" s="106">
        <v>0.81</v>
      </c>
      <c r="O2137" s="106">
        <v>1</v>
      </c>
      <c r="P2137" s="106">
        <v>19756</v>
      </c>
      <c r="Q2137" s="106">
        <v>13772.062685170747</v>
      </c>
      <c r="R2137" s="106">
        <v>0.4060609770728576</v>
      </c>
      <c r="S2137" s="106">
        <v>31753.028067986903</v>
      </c>
      <c r="T2137" s="106">
        <v>29453.409168875722</v>
      </c>
      <c r="U2137" s="106">
        <v>22730.493395160313</v>
      </c>
      <c r="V2137" s="106">
        <v>0.88621833907067638</v>
      </c>
      <c r="W2137" s="106">
        <v>108613.94521575984</v>
      </c>
      <c r="X2137" s="110">
        <v>0.51081628824032999</v>
      </c>
      <c r="Y2137" s="106">
        <v>472.5063938618926</v>
      </c>
      <c r="Z2137" s="106">
        <v>16.401534526854221</v>
      </c>
      <c r="AA2137" s="106">
        <v>66169.15757746849</v>
      </c>
      <c r="AB2137" s="106">
        <v>789.01571931346734</v>
      </c>
      <c r="AC2137" s="106">
        <v>1.5112781190076898</v>
      </c>
      <c r="AD2137" s="106">
        <v>34.863111251780346</v>
      </c>
      <c r="AE2137" s="106">
        <v>83.862914207898314</v>
      </c>
      <c r="AF2137" s="106">
        <v>9.8987721380070517E-2</v>
      </c>
      <c r="AG2137" s="106">
        <v>36770</v>
      </c>
      <c r="AH2137" s="106">
        <v>30965.001871199125</v>
      </c>
      <c r="AI2137" s="106">
        <v>31753.028067986903</v>
      </c>
      <c r="AJ2137" s="106">
        <v>32511.874317791986</v>
      </c>
      <c r="AK2137" s="104">
        <v>24142.891782317169</v>
      </c>
      <c r="AL2137" s="118"/>
      <c r="AM2137" s="118">
        <v>5216</v>
      </c>
      <c r="AN2137" s="118">
        <v>184750</v>
      </c>
      <c r="AO2137" s="118">
        <v>1275</v>
      </c>
      <c r="AP2137" s="118">
        <f t="shared" si="33"/>
        <v>1400</v>
      </c>
    </row>
    <row r="2138" spans="1:42" ht="12.75">
      <c r="A2138" s="106">
        <v>2018</v>
      </c>
      <c r="B2138" s="106">
        <v>-187958</v>
      </c>
      <c r="C2138" s="106">
        <v>0</v>
      </c>
      <c r="D2138" s="106">
        <v>187958</v>
      </c>
      <c r="E2138" s="106" t="s">
        <v>4218</v>
      </c>
      <c r="F2138" s="106" t="s">
        <v>4219</v>
      </c>
      <c r="G2138" s="106" t="s">
        <v>674</v>
      </c>
      <c r="H2138" s="106">
        <v>4</v>
      </c>
      <c r="I2138" s="106" t="s">
        <v>24</v>
      </c>
      <c r="J2138" s="106">
        <v>1932</v>
      </c>
      <c r="K2138" s="106">
        <v>5490</v>
      </c>
      <c r="L2138" s="106">
        <v>6472</v>
      </c>
      <c r="M2138" s="106">
        <v>0.82</v>
      </c>
      <c r="N2138" s="106">
        <v>0.14000000000000001</v>
      </c>
      <c r="O2138" s="106">
        <v>0.05</v>
      </c>
      <c r="P2138" s="106">
        <v>1525</v>
      </c>
      <c r="Q2138" s="106">
        <v>11.293941660433807</v>
      </c>
      <c r="R2138" s="106">
        <v>4.7537539702503153E-3</v>
      </c>
      <c r="S2138" s="106">
        <v>15285.226626776364</v>
      </c>
      <c r="T2138" s="106">
        <v>17359.092744951384</v>
      </c>
      <c r="U2138" s="106">
        <v>12293.09574164838</v>
      </c>
      <c r="V2138" s="106">
        <v>0.19234376951614976</v>
      </c>
      <c r="W2138" s="106">
        <v>78312.782608695648</v>
      </c>
      <c r="X2138" s="110">
        <v>0.59498859650222646</v>
      </c>
      <c r="Y2138" s="106">
        <v>534.61333333333334</v>
      </c>
      <c r="Z2138" s="106">
        <v>17.826666666666668</v>
      </c>
      <c r="AA2138" s="106">
        <v>50885.043364036792</v>
      </c>
      <c r="AB2138" s="106">
        <v>409.91293412270261</v>
      </c>
      <c r="AC2138" s="106">
        <v>1.9652140076719555</v>
      </c>
      <c r="AD2138" s="106">
        <v>23.104434907010013</v>
      </c>
      <c r="AE2138" s="106">
        <v>124.13622291021672</v>
      </c>
      <c r="AF2138" s="106"/>
      <c r="AG2138" s="106">
        <v>1682</v>
      </c>
      <c r="AH2138" s="106">
        <v>12353.895287958116</v>
      </c>
      <c r="AI2138" s="106">
        <v>12389.863126402393</v>
      </c>
      <c r="AJ2138" s="106">
        <v>15350.867614061332</v>
      </c>
      <c r="AK2138" s="104">
        <v>16551.73148840688</v>
      </c>
      <c r="AL2138" s="119">
        <v>11175159</v>
      </c>
      <c r="AM2138" s="118">
        <v>2194</v>
      </c>
      <c r="AN2138" s="118">
        <v>40096</v>
      </c>
      <c r="AO2138" s="118">
        <v>204</v>
      </c>
      <c r="AP2138" s="118">
        <f t="shared" si="33"/>
        <v>250</v>
      </c>
    </row>
    <row r="2139" spans="1:42" ht="12.75">
      <c r="A2139" s="106">
        <v>2018</v>
      </c>
      <c r="B2139" s="106">
        <v>-187976</v>
      </c>
      <c r="C2139" s="106">
        <v>0</v>
      </c>
      <c r="D2139" s="106">
        <v>187976</v>
      </c>
      <c r="E2139" s="106" t="s">
        <v>4220</v>
      </c>
      <c r="F2139" s="106" t="s">
        <v>4221</v>
      </c>
      <c r="G2139" s="106" t="s">
        <v>674</v>
      </c>
      <c r="H2139" s="106">
        <v>4</v>
      </c>
      <c r="I2139" s="106" t="s">
        <v>24</v>
      </c>
      <c r="J2139" s="106">
        <v>2224</v>
      </c>
      <c r="K2139" s="106">
        <v>8075</v>
      </c>
      <c r="L2139" s="106">
        <v>6522</v>
      </c>
      <c r="M2139" s="106">
        <v>0.34</v>
      </c>
      <c r="N2139" s="106">
        <v>0.06</v>
      </c>
      <c r="O2139" s="106">
        <v>0.16</v>
      </c>
      <c r="P2139" s="106">
        <v>516</v>
      </c>
      <c r="Q2139" s="107">
        <v>86.947242206235018</v>
      </c>
      <c r="R2139" s="106">
        <v>3.0801028938032649E-2</v>
      </c>
      <c r="S2139" s="106">
        <v>11749.848920863309</v>
      </c>
      <c r="T2139" s="106">
        <v>12811.515587529975</v>
      </c>
      <c r="U2139" s="106">
        <v>10049.978889024353</v>
      </c>
      <c r="V2139" s="106">
        <v>0.27223150352059644</v>
      </c>
      <c r="W2139" s="106">
        <v>85384.62</v>
      </c>
      <c r="X2139" s="110">
        <v>0.79912200542003387</v>
      </c>
      <c r="Y2139" s="106">
        <v>506.91891891891891</v>
      </c>
      <c r="Z2139" s="106">
        <v>16.905405405405403</v>
      </c>
      <c r="AA2139" s="106">
        <v>29103.063866133019</v>
      </c>
      <c r="AB2139" s="106">
        <v>335.16004452360482</v>
      </c>
      <c r="AC2139" s="106">
        <v>3.4360643422278683</v>
      </c>
      <c r="AD2139" s="106">
        <v>33.25635103926097</v>
      </c>
      <c r="AE2139" s="107">
        <v>86.833333333333329</v>
      </c>
      <c r="AF2139" s="106"/>
      <c r="AG2139" s="106">
        <v>2096</v>
      </c>
      <c r="AH2139" s="106">
        <v>11571.249400479617</v>
      </c>
      <c r="AI2139" s="106">
        <v>11715.081534772182</v>
      </c>
      <c r="AJ2139" s="106">
        <v>11840.364508393286</v>
      </c>
      <c r="AK2139" s="104">
        <v>12577.501199040767</v>
      </c>
      <c r="AL2139" s="119">
        <v>3109124</v>
      </c>
      <c r="AM2139" s="118">
        <v>918</v>
      </c>
      <c r="AN2139" s="118">
        <v>12504</v>
      </c>
      <c r="AO2139" s="118">
        <v>72</v>
      </c>
      <c r="AP2139" s="118">
        <f t="shared" si="33"/>
        <v>128</v>
      </c>
    </row>
    <row r="2140" spans="1:42" ht="12.75">
      <c r="A2140" s="106">
        <v>2018</v>
      </c>
      <c r="B2140" s="106">
        <v>-187985</v>
      </c>
      <c r="C2140" s="106">
        <v>0</v>
      </c>
      <c r="D2140" s="106">
        <v>187985</v>
      </c>
      <c r="E2140" s="106" t="s">
        <v>4222</v>
      </c>
      <c r="F2140" s="106" t="s">
        <v>673</v>
      </c>
      <c r="G2140" s="106" t="s">
        <v>674</v>
      </c>
      <c r="H2140" s="106">
        <v>1</v>
      </c>
      <c r="I2140" s="106" t="s">
        <v>23</v>
      </c>
      <c r="J2140" s="106">
        <v>7449</v>
      </c>
      <c r="K2140" s="106">
        <v>11620</v>
      </c>
      <c r="L2140" s="106">
        <v>13137</v>
      </c>
      <c r="M2140" s="106">
        <v>0.37</v>
      </c>
      <c r="N2140" s="106">
        <v>0.56999999999999995</v>
      </c>
      <c r="O2140" s="106">
        <v>0.84</v>
      </c>
      <c r="P2140" s="106">
        <v>3009</v>
      </c>
      <c r="Q2140" s="106">
        <v>1423.973156518148</v>
      </c>
      <c r="R2140" s="106">
        <v>0.14579890451358898</v>
      </c>
      <c r="S2140" s="106">
        <v>104665.05946863671</v>
      </c>
      <c r="T2140" s="106">
        <v>115173.00894782729</v>
      </c>
      <c r="U2140" s="106">
        <v>19596.893775620902</v>
      </c>
      <c r="V2140" s="106">
        <v>0.42571644524234453</v>
      </c>
      <c r="W2140" s="106">
        <v>237801.93620235892</v>
      </c>
      <c r="X2140" s="110">
        <v>0.64797973683927113</v>
      </c>
      <c r="Y2140" s="106">
        <v>261.0876404494382</v>
      </c>
      <c r="Z2140" s="106">
        <v>9.794606741573034</v>
      </c>
      <c r="AA2140" s="106">
        <v>72116.70146101086</v>
      </c>
      <c r="AB2140" s="106">
        <v>735.1702576122467</v>
      </c>
      <c r="AC2140" s="106">
        <v>1.3866413462360583</v>
      </c>
      <c r="AD2140" s="106">
        <v>27.569832402234635</v>
      </c>
      <c r="AE2140" s="106">
        <v>98.095238095238102</v>
      </c>
      <c r="AF2140" s="106">
        <v>-0.25678960155688169</v>
      </c>
      <c r="AG2140" s="106">
        <v>5961</v>
      </c>
      <c r="AH2140" s="106">
        <v>104032.36263937961</v>
      </c>
      <c r="AI2140" s="106">
        <v>105568.09608589915</v>
      </c>
      <c r="AJ2140" s="106">
        <v>105928.37021061809</v>
      </c>
      <c r="AK2140" s="104">
        <v>59629.796310741978</v>
      </c>
      <c r="AL2140" s="119">
        <v>381977205</v>
      </c>
      <c r="AM2140" s="118">
        <v>20354</v>
      </c>
      <c r="AN2140" s="118">
        <v>580920</v>
      </c>
      <c r="AO2140" s="118">
        <v>4112</v>
      </c>
      <c r="AP2140" s="118">
        <f t="shared" si="33"/>
        <v>1488</v>
      </c>
    </row>
    <row r="2141" spans="1:42" ht="12.75">
      <c r="A2141" s="106">
        <v>2018</v>
      </c>
      <c r="B2141" s="106">
        <v>-188225</v>
      </c>
      <c r="C2141" s="106">
        <v>0</v>
      </c>
      <c r="D2141" s="106">
        <v>188225</v>
      </c>
      <c r="E2141" s="106" t="s">
        <v>4223</v>
      </c>
      <c r="F2141" s="106" t="s">
        <v>4224</v>
      </c>
      <c r="G2141" s="106" t="s">
        <v>674</v>
      </c>
      <c r="H2141" s="106">
        <v>4</v>
      </c>
      <c r="I2141" s="106" t="s">
        <v>24</v>
      </c>
      <c r="J2141" s="106">
        <v>1974</v>
      </c>
      <c r="K2141" s="106">
        <v>7647</v>
      </c>
      <c r="L2141" s="106">
        <v>7274</v>
      </c>
      <c r="M2141" s="106">
        <v>0.61</v>
      </c>
      <c r="N2141" s="106">
        <v>0.22</v>
      </c>
      <c r="O2141" s="106">
        <v>0.13</v>
      </c>
      <c r="P2141" s="106">
        <v>1367</v>
      </c>
      <c r="Q2141" s="106">
        <v>15.457050243111832</v>
      </c>
      <c r="R2141" s="106">
        <v>7.9682306801528643E-3</v>
      </c>
      <c r="S2141" s="106">
        <v>20383.990275526743</v>
      </c>
      <c r="T2141" s="106">
        <v>24085.314424635333</v>
      </c>
      <c r="U2141" s="106">
        <v>10672.530133349028</v>
      </c>
      <c r="V2141" s="106">
        <v>0.18031128604624888</v>
      </c>
      <c r="W2141" s="106">
        <v>84009.394495412838</v>
      </c>
      <c r="X2141" s="110">
        <v>0.61619315293238741</v>
      </c>
      <c r="Y2141" s="106">
        <v>433.75781249999994</v>
      </c>
      <c r="Z2141" s="106">
        <v>14.460937499999998</v>
      </c>
      <c r="AA2141" s="106">
        <v>47717.036900553263</v>
      </c>
      <c r="AB2141" s="106">
        <v>355.80867197689258</v>
      </c>
      <c r="AC2141" s="106">
        <v>2.0956875467437195</v>
      </c>
      <c r="AD2141" s="106">
        <v>20.94081942336874</v>
      </c>
      <c r="AE2141" s="106">
        <v>134.10869565217391</v>
      </c>
      <c r="AF2141" s="106"/>
      <c r="AG2141" s="106">
        <v>1902</v>
      </c>
      <c r="AH2141" s="106">
        <v>18362.23662884927</v>
      </c>
      <c r="AI2141" s="106">
        <v>18553.518638573743</v>
      </c>
      <c r="AJ2141" s="106">
        <v>20502.907617504054</v>
      </c>
      <c r="AK2141" s="104">
        <v>23919.047001620747</v>
      </c>
      <c r="AL2141" s="118">
        <v>5665496</v>
      </c>
      <c r="AM2141" s="118">
        <v>1360</v>
      </c>
      <c r="AN2141" s="118">
        <v>18507</v>
      </c>
      <c r="AO2141" s="118">
        <v>95</v>
      </c>
      <c r="AP2141" s="118">
        <f t="shared" si="33"/>
        <v>72</v>
      </c>
    </row>
    <row r="2142" spans="1:42" ht="12.75">
      <c r="A2142" s="106">
        <v>2018</v>
      </c>
      <c r="B2142" s="106">
        <v>-188049</v>
      </c>
      <c r="C2142" s="106">
        <v>0</v>
      </c>
      <c r="D2142" s="106">
        <v>188049</v>
      </c>
      <c r="E2142" s="106" t="s">
        <v>4225</v>
      </c>
      <c r="F2142" s="106" t="s">
        <v>4226</v>
      </c>
      <c r="G2142" s="106" t="s">
        <v>674</v>
      </c>
      <c r="H2142" s="106">
        <v>4</v>
      </c>
      <c r="I2142" s="106" t="s">
        <v>24</v>
      </c>
      <c r="J2142" s="106">
        <v>1758</v>
      </c>
      <c r="K2142" s="106">
        <v>6514</v>
      </c>
      <c r="L2142" s="106">
        <v>6630</v>
      </c>
      <c r="M2142" s="106">
        <v>0.78</v>
      </c>
      <c r="N2142" s="106">
        <v>0.16</v>
      </c>
      <c r="O2142" s="106">
        <v>0.24</v>
      </c>
      <c r="P2142" s="106">
        <v>1686</v>
      </c>
      <c r="Q2142" s="106">
        <v>50.804739336492894</v>
      </c>
      <c r="R2142" s="106">
        <v>2.7358237279968799E-2</v>
      </c>
      <c r="S2142" s="106">
        <v>15529.73933649289</v>
      </c>
      <c r="T2142" s="106">
        <v>18834.30047393365</v>
      </c>
      <c r="U2142" s="106">
        <v>10011.798654293078</v>
      </c>
      <c r="V2142" s="106">
        <v>0.18040846929813881</v>
      </c>
      <c r="W2142" s="106">
        <v>86688.327790973868</v>
      </c>
      <c r="X2142" s="110">
        <v>0.6122369155358226</v>
      </c>
      <c r="Y2142" s="106">
        <v>637.16778523489927</v>
      </c>
      <c r="Z2142" s="106">
        <v>21.24161073825503</v>
      </c>
      <c r="AA2142" s="106">
        <v>41914.474524917452</v>
      </c>
      <c r="AB2142" s="106">
        <v>333.76880428108444</v>
      </c>
      <c r="AC2142" s="106">
        <v>2.3858106569021085</v>
      </c>
      <c r="AD2142" s="106">
        <v>22.222222222222221</v>
      </c>
      <c r="AE2142" s="106">
        <v>125.57936507936508</v>
      </c>
      <c r="AF2142" s="106"/>
      <c r="AG2142" s="106">
        <v>1668</v>
      </c>
      <c r="AH2142" s="106">
        <v>13556.630331753555</v>
      </c>
      <c r="AI2142" s="106">
        <v>13654.694786729859</v>
      </c>
      <c r="AJ2142" s="106">
        <v>15636.650236966825</v>
      </c>
      <c r="AK2142" s="104">
        <v>18156.848341232228</v>
      </c>
      <c r="AL2142" s="119">
        <v>8090708</v>
      </c>
      <c r="AM2142" s="118">
        <v>2097</v>
      </c>
      <c r="AN2142" s="118">
        <v>31646</v>
      </c>
      <c r="AO2142" s="118">
        <v>140</v>
      </c>
      <c r="AP2142" s="118">
        <f t="shared" si="33"/>
        <v>90</v>
      </c>
    </row>
    <row r="2143" spans="1:42" ht="12.75">
      <c r="A2143" s="106">
        <v>2018</v>
      </c>
      <c r="B2143" s="106">
        <v>-159939</v>
      </c>
      <c r="C2143" s="106">
        <v>0</v>
      </c>
      <c r="D2143" s="106">
        <v>159939</v>
      </c>
      <c r="E2143" s="106" t="s">
        <v>3276</v>
      </c>
      <c r="F2143" s="106" t="s">
        <v>1031</v>
      </c>
      <c r="G2143" s="106" t="s">
        <v>306</v>
      </c>
      <c r="H2143" s="106">
        <v>1</v>
      </c>
      <c r="I2143" s="106" t="s">
        <v>23</v>
      </c>
      <c r="J2143" s="106">
        <v>8484</v>
      </c>
      <c r="K2143" s="106">
        <v>9859</v>
      </c>
      <c r="L2143" s="106">
        <v>8986</v>
      </c>
      <c r="M2143" s="106">
        <v>0.51</v>
      </c>
      <c r="N2143" s="106">
        <v>0.44</v>
      </c>
      <c r="O2143" s="106">
        <v>0.47</v>
      </c>
      <c r="P2143" s="106">
        <v>4261</v>
      </c>
      <c r="Q2143" s="106">
        <v>1237.834727703236</v>
      </c>
      <c r="R2143" s="106">
        <v>0.11327102414405492</v>
      </c>
      <c r="S2143" s="106">
        <v>25496.10370955012</v>
      </c>
      <c r="T2143" s="106">
        <v>25191.143962115231</v>
      </c>
      <c r="U2143" s="106">
        <v>10187.136945623781</v>
      </c>
      <c r="V2143" s="106">
        <v>0.95122354458621305</v>
      </c>
      <c r="W2143" s="106">
        <v>80250.6889952153</v>
      </c>
      <c r="X2143" s="110">
        <v>0.56053053359721383</v>
      </c>
      <c r="Y2143" s="106">
        <v>578.27899686520379</v>
      </c>
      <c r="Z2143" s="106">
        <v>19.858934169278996</v>
      </c>
      <c r="AA2143" s="106">
        <v>40410.464965890198</v>
      </c>
      <c r="AB2143" s="106">
        <v>349.84096443628891</v>
      </c>
      <c r="AC2143" s="106">
        <v>2.4746065179999372</v>
      </c>
      <c r="AD2143" s="106">
        <v>24.759689922480622</v>
      </c>
      <c r="AE2143" s="106">
        <v>115.51095804633688</v>
      </c>
      <c r="AF2143" s="106">
        <v>0.19624306059008281</v>
      </c>
      <c r="AG2143" s="106">
        <v>6090</v>
      </c>
      <c r="AH2143" s="106">
        <v>24405.963378058404</v>
      </c>
      <c r="AI2143" s="106">
        <v>24681.631412786108</v>
      </c>
      <c r="AJ2143" s="106">
        <v>25755.78547750592</v>
      </c>
      <c r="AK2143" s="104">
        <v>17443.906866614048</v>
      </c>
      <c r="AL2143" s="119">
        <v>29113270</v>
      </c>
      <c r="AM2143" s="118">
        <v>6472</v>
      </c>
      <c r="AN2143" s="118">
        <v>184471</v>
      </c>
      <c r="AO2143" s="118">
        <v>1135</v>
      </c>
      <c r="AP2143" s="118">
        <f t="shared" si="33"/>
        <v>2394</v>
      </c>
    </row>
    <row r="2144" spans="1:42" ht="12.75">
      <c r="A2144" s="106">
        <v>2018</v>
      </c>
      <c r="B2144" s="106">
        <v>-101879</v>
      </c>
      <c r="C2144" s="106">
        <v>0</v>
      </c>
      <c r="D2144" s="106">
        <v>101879</v>
      </c>
      <c r="E2144" s="106" t="s">
        <v>3277</v>
      </c>
      <c r="F2144" s="106" t="s">
        <v>1237</v>
      </c>
      <c r="G2144" s="106" t="s">
        <v>85</v>
      </c>
      <c r="H2144" s="106">
        <v>2</v>
      </c>
      <c r="I2144" s="106" t="s">
        <v>25</v>
      </c>
      <c r="J2144" s="106">
        <v>8480</v>
      </c>
      <c r="K2144" s="106">
        <v>12121</v>
      </c>
      <c r="L2144" s="106">
        <v>10474</v>
      </c>
      <c r="M2144" s="106">
        <v>0.44</v>
      </c>
      <c r="N2144" s="106">
        <v>0.69</v>
      </c>
      <c r="O2144" s="106">
        <v>0.61</v>
      </c>
      <c r="P2144" s="106">
        <v>5252</v>
      </c>
      <c r="Q2144" s="106">
        <v>2446.929605263158</v>
      </c>
      <c r="R2144" s="106">
        <v>0.23103285422896069</v>
      </c>
      <c r="S2144" s="106">
        <v>19640.983059210525</v>
      </c>
      <c r="T2144" s="106">
        <v>19155.865296052631</v>
      </c>
      <c r="U2144" s="106">
        <v>13424.722177243872</v>
      </c>
      <c r="V2144" s="106">
        <v>0.60666677397184643</v>
      </c>
      <c r="W2144" s="106">
        <v>94252.02962625341</v>
      </c>
      <c r="X2144" s="110">
        <v>0.591835110348786</v>
      </c>
      <c r="Y2144" s="106">
        <v>600.11473565804283</v>
      </c>
      <c r="Z2144" s="106">
        <v>20.517435320584926</v>
      </c>
      <c r="AA2144" s="106">
        <v>55525.381522205949</v>
      </c>
      <c r="AB2144" s="106">
        <v>458.98034592734092</v>
      </c>
      <c r="AC2144" s="106">
        <v>1.8009781699565193</v>
      </c>
      <c r="AD2144" s="106">
        <v>24.074680641991485</v>
      </c>
      <c r="AE2144" s="106">
        <v>120.97551020408163</v>
      </c>
      <c r="AF2144" s="106">
        <v>8.6965175386309351E-2</v>
      </c>
      <c r="AG2144" s="106">
        <v>6648</v>
      </c>
      <c r="AH2144" s="106">
        <v>18306.000986842104</v>
      </c>
      <c r="AI2144" s="106">
        <v>18306.000986842104</v>
      </c>
      <c r="AJ2144" s="106">
        <v>19799.802302631579</v>
      </c>
      <c r="AK2144" s="104">
        <v>16279.555921052632</v>
      </c>
      <c r="AL2144" s="118">
        <v>30071686</v>
      </c>
      <c r="AM2144" s="118">
        <v>6064</v>
      </c>
      <c r="AN2144" s="118">
        <v>177834</v>
      </c>
      <c r="AO2144" s="118">
        <v>1034</v>
      </c>
      <c r="AP2144" s="118">
        <f t="shared" si="33"/>
        <v>1832</v>
      </c>
    </row>
    <row r="2145" spans="1:42" ht="12.75">
      <c r="A2145" s="106">
        <v>2018</v>
      </c>
      <c r="B2145" s="106">
        <v>-199111</v>
      </c>
      <c r="C2145" s="106">
        <v>0</v>
      </c>
      <c r="D2145" s="106">
        <v>199111</v>
      </c>
      <c r="E2145" s="106" t="s">
        <v>3279</v>
      </c>
      <c r="F2145" s="106" t="s">
        <v>219</v>
      </c>
      <c r="G2145" s="106" t="s">
        <v>90</v>
      </c>
      <c r="H2145" s="106">
        <v>3</v>
      </c>
      <c r="I2145" s="104" t="s">
        <v>26</v>
      </c>
      <c r="J2145" s="106">
        <v>7145</v>
      </c>
      <c r="K2145" s="106">
        <v>11804</v>
      </c>
      <c r="L2145" s="106">
        <v>7867</v>
      </c>
      <c r="M2145" s="106">
        <v>0.32</v>
      </c>
      <c r="N2145" s="106">
        <v>0.5</v>
      </c>
      <c r="O2145" s="106">
        <v>0.54</v>
      </c>
      <c r="P2145" s="106">
        <v>4893</v>
      </c>
      <c r="Q2145" s="106">
        <v>1220.9796328169823</v>
      </c>
      <c r="R2145" s="106">
        <v>0.13333321011841726</v>
      </c>
      <c r="S2145" s="106">
        <v>27132.644291451521</v>
      </c>
      <c r="T2145" s="106">
        <v>28248.535570854849</v>
      </c>
      <c r="U2145" s="106">
        <v>16497.906726797573</v>
      </c>
      <c r="V2145" s="106">
        <v>0.48105351831335247</v>
      </c>
      <c r="W2145" s="106">
        <v>77695.405011389521</v>
      </c>
      <c r="X2145" s="110">
        <v>0.577278367640644</v>
      </c>
      <c r="Y2145" s="106">
        <v>406.07642487046633</v>
      </c>
      <c r="Z2145" s="106">
        <v>13.546632124352332</v>
      </c>
      <c r="AA2145" s="106">
        <v>70393.761137841298</v>
      </c>
      <c r="AB2145" s="106">
        <v>550.36702345154731</v>
      </c>
      <c r="AC2145" s="106">
        <v>1.420580437578628</v>
      </c>
      <c r="AD2145" s="106">
        <v>23.256475946484485</v>
      </c>
      <c r="AE2145" s="106">
        <v>127.90330477356181</v>
      </c>
      <c r="AF2145" s="106">
        <v>2.0468728630015681E-2</v>
      </c>
      <c r="AG2145" s="106">
        <v>4122</v>
      </c>
      <c r="AH2145" s="106">
        <v>26734.720309810673</v>
      </c>
      <c r="AI2145" s="106">
        <v>27493.813253012049</v>
      </c>
      <c r="AJ2145" s="106">
        <v>27836.616752725186</v>
      </c>
      <c r="AK2145" s="104">
        <v>19423.821285140562</v>
      </c>
      <c r="AL2145" s="118">
        <v>40128447</v>
      </c>
      <c r="AM2145" s="118">
        <v>3826</v>
      </c>
      <c r="AN2145" s="118">
        <v>104497</v>
      </c>
      <c r="AO2145" s="118">
        <v>808</v>
      </c>
      <c r="AP2145" s="118">
        <f t="shared" si="33"/>
        <v>3023</v>
      </c>
    </row>
    <row r="2146" spans="1:42" ht="12.75">
      <c r="A2146" s="106">
        <v>2018</v>
      </c>
      <c r="B2146" s="106">
        <v>-199120</v>
      </c>
      <c r="C2146" s="106">
        <v>0</v>
      </c>
      <c r="D2146" s="106">
        <v>199120</v>
      </c>
      <c r="E2146" s="106" t="s">
        <v>3280</v>
      </c>
      <c r="F2146" s="106" t="s">
        <v>3281</v>
      </c>
      <c r="G2146" s="106" t="s">
        <v>90</v>
      </c>
      <c r="H2146" s="106">
        <v>1</v>
      </c>
      <c r="I2146" s="106" t="s">
        <v>23</v>
      </c>
      <c r="J2146" s="106">
        <v>9005</v>
      </c>
      <c r="K2146" s="106">
        <v>11649</v>
      </c>
      <c r="L2146" s="106">
        <v>4159</v>
      </c>
      <c r="M2146" s="106">
        <v>0.21</v>
      </c>
      <c r="N2146" s="106">
        <v>0.28000000000000003</v>
      </c>
      <c r="O2146" s="106">
        <v>0.44</v>
      </c>
      <c r="P2146" s="106">
        <v>13557</v>
      </c>
      <c r="Q2146" s="106">
        <v>3703.6614194784752</v>
      </c>
      <c r="R2146" s="106">
        <v>0.19438080766741955</v>
      </c>
      <c r="S2146" s="106">
        <v>104336.93723906645</v>
      </c>
      <c r="T2146" s="106">
        <v>109084.49041817809</v>
      </c>
      <c r="U2146" s="106">
        <v>34969.594613609057</v>
      </c>
      <c r="V2146" s="106">
        <v>0.43895207000223879</v>
      </c>
      <c r="W2146" s="106">
        <v>127324.39904028286</v>
      </c>
      <c r="X2146" s="110">
        <v>0.5271786140367708</v>
      </c>
      <c r="Y2146" s="106">
        <v>154.02772191898882</v>
      </c>
      <c r="Z2146" s="106">
        <v>6.2960356219477163</v>
      </c>
      <c r="AA2146" s="106">
        <v>127400.75973056773</v>
      </c>
      <c r="AB2146" s="106">
        <v>1429.4167999715814</v>
      </c>
      <c r="AC2146" s="106">
        <v>0.78492467557873313</v>
      </c>
      <c r="AD2146" s="106">
        <v>29.852246082846399</v>
      </c>
      <c r="AE2146" s="106">
        <v>89.127789552424886</v>
      </c>
      <c r="AF2146" s="106">
        <v>4.8040207351248754E-2</v>
      </c>
      <c r="AG2146" s="106">
        <v>7019</v>
      </c>
      <c r="AH2146" s="106">
        <v>98507.781466018758</v>
      </c>
      <c r="AI2146" s="106">
        <v>104408.83755389774</v>
      </c>
      <c r="AJ2146" s="106">
        <v>115198.39709807679</v>
      </c>
      <c r="AK2146" s="104">
        <v>72721.482958045308</v>
      </c>
      <c r="AL2146" s="118">
        <v>518231277</v>
      </c>
      <c r="AM2146" s="118">
        <v>18862</v>
      </c>
      <c r="AN2146" s="118">
        <v>714894</v>
      </c>
      <c r="AO2146" s="118">
        <v>4628</v>
      </c>
      <c r="AP2146" s="118">
        <f t="shared" si="33"/>
        <v>1986</v>
      </c>
    </row>
    <row r="2147" spans="1:42" ht="12.75">
      <c r="A2147" s="106">
        <v>2018</v>
      </c>
      <c r="B2147" s="106">
        <v>-199139</v>
      </c>
      <c r="C2147" s="106">
        <v>0</v>
      </c>
      <c r="D2147" s="106">
        <v>199139</v>
      </c>
      <c r="E2147" s="106" t="s">
        <v>3282</v>
      </c>
      <c r="F2147" s="106" t="s">
        <v>605</v>
      </c>
      <c r="G2147" s="106" t="s">
        <v>90</v>
      </c>
      <c r="H2147" s="106">
        <v>1</v>
      </c>
      <c r="I2147" s="106" t="s">
        <v>23</v>
      </c>
      <c r="J2147" s="106">
        <v>6832</v>
      </c>
      <c r="K2147" s="106">
        <v>14987</v>
      </c>
      <c r="L2147" s="106">
        <v>11476</v>
      </c>
      <c r="M2147" s="106">
        <v>0.32</v>
      </c>
      <c r="N2147" s="106">
        <v>0.57999999999999996</v>
      </c>
      <c r="O2147" s="106">
        <v>0.38</v>
      </c>
      <c r="P2147" s="106">
        <v>4329</v>
      </c>
      <c r="Q2147" s="106">
        <v>990.9314132104455</v>
      </c>
      <c r="R2147" s="106">
        <v>9.6484817668706105E-2</v>
      </c>
      <c r="S2147" s="106">
        <v>26054.456374807989</v>
      </c>
      <c r="T2147" s="106">
        <v>24548.641013824883</v>
      </c>
      <c r="U2147" s="106">
        <v>14207.037294094342</v>
      </c>
      <c r="V2147" s="106">
        <v>0.65315544211992138</v>
      </c>
      <c r="W2147" s="106">
        <v>99373.96940271162</v>
      </c>
      <c r="X2147" s="110">
        <v>0.56564828536001688</v>
      </c>
      <c r="Y2147" s="106">
        <v>596.22210581456261</v>
      </c>
      <c r="Z2147" s="106">
        <v>20.46097433211105</v>
      </c>
      <c r="AA2147" s="106">
        <v>51091.18231435115</v>
      </c>
      <c r="AB2147" s="106">
        <v>487.55291455130873</v>
      </c>
      <c r="AC2147" s="106">
        <v>1.9572849065172389</v>
      </c>
      <c r="AD2147" s="106">
        <v>28.41167699913678</v>
      </c>
      <c r="AE2147" s="106">
        <v>104.79105095981218</v>
      </c>
      <c r="AF2147" s="106">
        <v>5.4948340270313256E-2</v>
      </c>
      <c r="AG2147" s="106">
        <v>3812</v>
      </c>
      <c r="AH2147" s="106">
        <v>25618.695660522273</v>
      </c>
      <c r="AI2147" s="106">
        <v>26072.044969278035</v>
      </c>
      <c r="AJ2147" s="106">
        <v>26475.118202764977</v>
      </c>
      <c r="AK2147" s="104">
        <v>17531.048924731182</v>
      </c>
      <c r="AL2147" s="118">
        <v>251101387</v>
      </c>
      <c r="AM2147" s="118">
        <v>23914</v>
      </c>
      <c r="AN2147" s="118">
        <v>758792</v>
      </c>
      <c r="AO2147" s="118">
        <v>5305</v>
      </c>
      <c r="AP2147" s="118">
        <f t="shared" si="33"/>
        <v>3020</v>
      </c>
    </row>
    <row r="2148" spans="1:42" ht="12.75">
      <c r="A2148" s="106">
        <v>2018</v>
      </c>
      <c r="B2148" s="106">
        <v>-199148</v>
      </c>
      <c r="C2148" s="106">
        <v>0</v>
      </c>
      <c r="D2148" s="106">
        <v>199148</v>
      </c>
      <c r="E2148" s="106" t="s">
        <v>3283</v>
      </c>
      <c r="F2148" s="106" t="s">
        <v>342</v>
      </c>
      <c r="G2148" s="106" t="s">
        <v>90</v>
      </c>
      <c r="H2148" s="106">
        <v>1</v>
      </c>
      <c r="I2148" s="106" t="s">
        <v>23</v>
      </c>
      <c r="J2148" s="106">
        <v>7250</v>
      </c>
      <c r="K2148" s="106">
        <v>10396</v>
      </c>
      <c r="L2148" s="106">
        <v>8236</v>
      </c>
      <c r="M2148" s="106">
        <v>0.55000000000000004</v>
      </c>
      <c r="N2148" s="106">
        <v>0.67</v>
      </c>
      <c r="O2148" s="106">
        <v>0.57999999999999996</v>
      </c>
      <c r="P2148" s="106">
        <v>3575</v>
      </c>
      <c r="Q2148" s="106">
        <v>1771.8121282220754</v>
      </c>
      <c r="R2148" s="106">
        <v>0.21118274985271573</v>
      </c>
      <c r="S2148" s="106">
        <v>23935.28321216127</v>
      </c>
      <c r="T2148" s="106">
        <v>23548.054086803262</v>
      </c>
      <c r="U2148" s="106">
        <v>14306.833784071079</v>
      </c>
      <c r="V2148" s="106">
        <v>0.46258558719122173</v>
      </c>
      <c r="W2148" s="106">
        <v>98379.258280657406</v>
      </c>
      <c r="X2148" s="110">
        <v>0.60671338183906587</v>
      </c>
      <c r="Y2148" s="106">
        <v>575.05858659831563</v>
      </c>
      <c r="Z2148" s="106">
        <v>19.944342731600145</v>
      </c>
      <c r="AA2148" s="106">
        <v>60309.931317296148</v>
      </c>
      <c r="AB2148" s="106">
        <v>496.19361060486636</v>
      </c>
      <c r="AC2148" s="106">
        <v>1.6581017059013168</v>
      </c>
      <c r="AD2148" s="106">
        <v>24.781357882623706</v>
      </c>
      <c r="AE2148" s="106">
        <v>121.5451590434177</v>
      </c>
      <c r="AF2148" s="106">
        <v>6.6382524434594498E-2</v>
      </c>
      <c r="AG2148" s="106">
        <v>4422</v>
      </c>
      <c r="AH2148" s="106">
        <v>22686.147609605639</v>
      </c>
      <c r="AI2148" s="106">
        <v>22963.132573254021</v>
      </c>
      <c r="AJ2148" s="106">
        <v>25380.795935228023</v>
      </c>
      <c r="AK2148" s="104">
        <v>17885.637585371227</v>
      </c>
      <c r="AL2148" s="118">
        <v>170294190</v>
      </c>
      <c r="AM2148" s="118">
        <v>16439</v>
      </c>
      <c r="AN2148" s="118">
        <v>523495</v>
      </c>
      <c r="AO2148" s="118">
        <v>3262</v>
      </c>
      <c r="AP2148" s="118">
        <f t="shared" si="33"/>
        <v>2828</v>
      </c>
    </row>
    <row r="2149" spans="1:42" ht="12.75">
      <c r="A2149" s="106">
        <v>2018</v>
      </c>
      <c r="B2149" s="106">
        <v>-199281</v>
      </c>
      <c r="C2149" s="106">
        <v>0</v>
      </c>
      <c r="D2149" s="106">
        <v>199281</v>
      </c>
      <c r="E2149" s="106" t="s">
        <v>3284</v>
      </c>
      <c r="F2149" s="106" t="s">
        <v>3285</v>
      </c>
      <c r="G2149" s="106" t="s">
        <v>90</v>
      </c>
      <c r="H2149" s="106">
        <v>2</v>
      </c>
      <c r="I2149" s="106" t="s">
        <v>25</v>
      </c>
      <c r="J2149" s="106">
        <v>5955</v>
      </c>
      <c r="K2149" s="106">
        <v>11576</v>
      </c>
      <c r="L2149" s="106">
        <v>10119</v>
      </c>
      <c r="M2149" s="106">
        <v>0.62</v>
      </c>
      <c r="N2149" s="106">
        <v>0.73</v>
      </c>
      <c r="O2149" s="106">
        <v>0.39</v>
      </c>
      <c r="P2149" s="106">
        <v>2381</v>
      </c>
      <c r="Q2149" s="106">
        <v>408.2602640622174</v>
      </c>
      <c r="R2149" s="106">
        <v>6.3340557648757512E-2</v>
      </c>
      <c r="S2149" s="106">
        <v>22504.758726713691</v>
      </c>
      <c r="T2149" s="106">
        <v>22312.745523602822</v>
      </c>
      <c r="U2149" s="106">
        <v>13253.542896879762</v>
      </c>
      <c r="V2149" s="106">
        <v>0.45551738541055847</v>
      </c>
      <c r="W2149" s="106">
        <v>75117.364012021033</v>
      </c>
      <c r="X2149" s="110">
        <v>0.54029075158326156</v>
      </c>
      <c r="Y2149" s="106">
        <v>507.19354838709683</v>
      </c>
      <c r="Z2149" s="106">
        <v>17.260145681581687</v>
      </c>
      <c r="AA2149" s="106">
        <v>63998.985743972233</v>
      </c>
      <c r="AB2149" s="106">
        <v>451.02719055614972</v>
      </c>
      <c r="AC2149" s="106">
        <v>1.5625247625024827</v>
      </c>
      <c r="AD2149" s="106">
        <v>21.587481146304675</v>
      </c>
      <c r="AE2149" s="106">
        <v>141.89606986899562</v>
      </c>
      <c r="AF2149" s="106">
        <v>0.10944035214092729</v>
      </c>
      <c r="AG2149" s="106">
        <v>3602</v>
      </c>
      <c r="AH2149" s="106">
        <v>21988.510942304216</v>
      </c>
      <c r="AI2149" s="106">
        <v>22175.3331524688</v>
      </c>
      <c r="AJ2149" s="106">
        <v>22866.239102911921</v>
      </c>
      <c r="AK2149" s="104">
        <v>15668.884970157353</v>
      </c>
      <c r="AL2149" s="118">
        <v>55613954</v>
      </c>
      <c r="AM2149" s="118">
        <v>5481</v>
      </c>
      <c r="AN2149" s="118">
        <v>162471</v>
      </c>
      <c r="AO2149" s="118">
        <v>955</v>
      </c>
      <c r="AP2149" s="118">
        <f t="shared" si="33"/>
        <v>2353</v>
      </c>
    </row>
    <row r="2150" spans="1:42" ht="12.75">
      <c r="A2150" s="106">
        <v>2018</v>
      </c>
      <c r="B2150" s="106">
        <v>-199218</v>
      </c>
      <c r="C2150" s="106">
        <v>0</v>
      </c>
      <c r="D2150" s="106">
        <v>199218</v>
      </c>
      <c r="E2150" s="106" t="s">
        <v>3278</v>
      </c>
      <c r="F2150" s="106" t="s">
        <v>589</v>
      </c>
      <c r="G2150" s="106" t="s">
        <v>90</v>
      </c>
      <c r="H2150" s="106">
        <v>2</v>
      </c>
      <c r="I2150" s="106" t="s">
        <v>25</v>
      </c>
      <c r="J2150" s="106">
        <v>7000</v>
      </c>
      <c r="K2150" s="106">
        <v>17771</v>
      </c>
      <c r="L2150" s="106">
        <v>12443</v>
      </c>
      <c r="M2150" s="106">
        <v>0.24</v>
      </c>
      <c r="N2150" s="106">
        <v>0.54</v>
      </c>
      <c r="O2150" s="106">
        <v>0.48</v>
      </c>
      <c r="P2150" s="106">
        <v>3225</v>
      </c>
      <c r="Q2150" s="106">
        <v>1223.3720718375846</v>
      </c>
      <c r="R2150" s="106">
        <v>0.14004181608773839</v>
      </c>
      <c r="S2150" s="106">
        <v>22390.316111400312</v>
      </c>
      <c r="T2150" s="106">
        <v>21651.772449245185</v>
      </c>
      <c r="U2150" s="106">
        <v>12994.27263243868</v>
      </c>
      <c r="V2150" s="106">
        <v>0.57813090654358079</v>
      </c>
      <c r="W2150" s="106">
        <v>80228.781712813914</v>
      </c>
      <c r="X2150" s="110">
        <v>0.49926323186425964</v>
      </c>
      <c r="Y2150" s="106">
        <v>592.29057591623041</v>
      </c>
      <c r="Z2150" s="106">
        <v>20.115183246073297</v>
      </c>
      <c r="AA2150" s="106">
        <v>45634.365131471124</v>
      </c>
      <c r="AB2150" s="106">
        <v>441.30733423640942</v>
      </c>
      <c r="AC2150" s="106">
        <v>2.1913310223973368</v>
      </c>
      <c r="AD2150" s="106">
        <v>30.223081704537609</v>
      </c>
      <c r="AE2150" s="106">
        <v>103.40722120658135</v>
      </c>
      <c r="AF2150" s="106">
        <v>6.7836139005416143E-2</v>
      </c>
      <c r="AG2150" s="106">
        <v>4443</v>
      </c>
      <c r="AH2150" s="106">
        <v>21434.425754815202</v>
      </c>
      <c r="AI2150" s="106">
        <v>21611.292816241541</v>
      </c>
      <c r="AJ2150" s="106">
        <v>23176.627602811037</v>
      </c>
      <c r="AK2150" s="104">
        <v>15867.150637688705</v>
      </c>
      <c r="AL2150" s="118">
        <v>136796170</v>
      </c>
      <c r="AM2150" s="118">
        <v>14502</v>
      </c>
      <c r="AN2150" s="118">
        <v>452510</v>
      </c>
      <c r="AO2150" s="118">
        <v>3708</v>
      </c>
      <c r="AP2150" s="118">
        <f t="shared" si="33"/>
        <v>2557</v>
      </c>
    </row>
    <row r="2151" spans="1:42" ht="12.75">
      <c r="A2151" s="106">
        <v>2018</v>
      </c>
      <c r="B2151" s="106">
        <v>-200280</v>
      </c>
      <c r="C2151" s="106">
        <v>0</v>
      </c>
      <c r="D2151" s="106">
        <v>200280</v>
      </c>
      <c r="E2151" s="106" t="s">
        <v>3286</v>
      </c>
      <c r="F2151" s="106" t="s">
        <v>3287</v>
      </c>
      <c r="G2151" s="106" t="s">
        <v>382</v>
      </c>
      <c r="H2151" s="106">
        <v>1</v>
      </c>
      <c r="I2151" s="106" t="s">
        <v>23</v>
      </c>
      <c r="J2151" s="106">
        <v>8447</v>
      </c>
      <c r="K2151" s="106">
        <v>15374</v>
      </c>
      <c r="L2151" s="106">
        <v>12422</v>
      </c>
      <c r="M2151" s="106">
        <v>0.18</v>
      </c>
      <c r="N2151" s="106">
        <v>0.63</v>
      </c>
      <c r="O2151" s="106">
        <v>0.6</v>
      </c>
      <c r="P2151" s="106">
        <v>3174</v>
      </c>
      <c r="Q2151" s="106">
        <v>1245.953609058028</v>
      </c>
      <c r="R2151" s="106">
        <v>9.6558353145236697E-2</v>
      </c>
      <c r="S2151" s="106">
        <v>35913.848167950935</v>
      </c>
      <c r="T2151" s="106">
        <v>35674.272841641767</v>
      </c>
      <c r="U2151" s="106">
        <v>22402.550437072405</v>
      </c>
      <c r="V2151" s="106">
        <v>0.52037289298265055</v>
      </c>
      <c r="W2151" s="106">
        <v>108110.39121338911</v>
      </c>
      <c r="X2151" s="110">
        <v>0.607463395377426</v>
      </c>
      <c r="Y2151" s="106">
        <v>410.53837072018888</v>
      </c>
      <c r="Z2151" s="106">
        <v>15.015348288075561</v>
      </c>
      <c r="AA2151" s="106">
        <v>83724.84174513277</v>
      </c>
      <c r="AB2151" s="106">
        <v>819.36822802633924</v>
      </c>
      <c r="AC2151" s="106">
        <v>1.1943886415982787</v>
      </c>
      <c r="AD2151" s="106">
        <v>28.66166933378253</v>
      </c>
      <c r="AE2151" s="106">
        <v>102.18219218336762</v>
      </c>
      <c r="AF2151" s="106">
        <v>2.2046089454819048E-2</v>
      </c>
      <c r="AG2151" s="106">
        <v>6946</v>
      </c>
      <c r="AH2151" s="106">
        <v>34537.581066205377</v>
      </c>
      <c r="AI2151" s="106">
        <v>35542.130366409816</v>
      </c>
      <c r="AJ2151" s="106">
        <v>36193.954552602612</v>
      </c>
      <c r="AK2151" s="104">
        <v>32835.774964617078</v>
      </c>
      <c r="AL2151" s="118">
        <v>107318571</v>
      </c>
      <c r="AM2151" s="118">
        <v>11000</v>
      </c>
      <c r="AN2151" s="118">
        <v>347726</v>
      </c>
      <c r="AO2151" s="118">
        <v>2174</v>
      </c>
      <c r="AP2151" s="118">
        <f t="shared" si="33"/>
        <v>1501</v>
      </c>
    </row>
    <row r="2152" spans="1:42" ht="12.75">
      <c r="A2152" s="106">
        <v>2018</v>
      </c>
      <c r="B2152" s="106">
        <v>-136172</v>
      </c>
      <c r="C2152" s="106">
        <v>0</v>
      </c>
      <c r="D2152" s="106">
        <v>136172</v>
      </c>
      <c r="E2152" s="106" t="s">
        <v>3288</v>
      </c>
      <c r="F2152" s="106" t="s">
        <v>792</v>
      </c>
      <c r="G2152" s="106" t="s">
        <v>258</v>
      </c>
      <c r="H2152" s="106">
        <v>2</v>
      </c>
      <c r="I2152" s="106" t="s">
        <v>25</v>
      </c>
      <c r="J2152" s="106">
        <v>5755</v>
      </c>
      <c r="K2152" s="106">
        <v>10809</v>
      </c>
      <c r="L2152" s="106">
        <v>4888</v>
      </c>
      <c r="M2152" s="106">
        <v>0.28999999999999998</v>
      </c>
      <c r="N2152" s="106">
        <v>0.36</v>
      </c>
      <c r="O2152" s="106">
        <v>0.47</v>
      </c>
      <c r="P2152" s="106">
        <v>4601</v>
      </c>
      <c r="Q2152" s="106">
        <v>2422.8129606452512</v>
      </c>
      <c r="R2152" s="106">
        <v>0.30403589772025619</v>
      </c>
      <c r="S2152" s="106">
        <v>19174.233973021834</v>
      </c>
      <c r="T2152" s="106">
        <v>20264.047003198444</v>
      </c>
      <c r="U2152" s="106">
        <v>12525.136386522214</v>
      </c>
      <c r="V2152" s="106">
        <v>0.44279162692204077</v>
      </c>
      <c r="W2152" s="106">
        <v>94750.747802690588</v>
      </c>
      <c r="X2152" s="110">
        <v>0.60417227879001612</v>
      </c>
      <c r="Y2152" s="106">
        <v>688.43256578947364</v>
      </c>
      <c r="Z2152" s="106">
        <v>23.654605263157894</v>
      </c>
      <c r="AA2152" s="106">
        <v>43239.681111608857</v>
      </c>
      <c r="AB2152" s="106">
        <v>430.36481975636514</v>
      </c>
      <c r="AC2152" s="106">
        <v>2.3126905062477974</v>
      </c>
      <c r="AD2152" s="106">
        <v>31.690247984177695</v>
      </c>
      <c r="AE2152" s="106">
        <v>100.47215554488719</v>
      </c>
      <c r="AF2152" s="106">
        <v>-1.3294445464026781E-2</v>
      </c>
      <c r="AG2152" s="106">
        <v>3853</v>
      </c>
      <c r="AH2152" s="106">
        <v>18772.998887498263</v>
      </c>
      <c r="AI2152" s="106">
        <v>18772.998887498263</v>
      </c>
      <c r="AJ2152" s="106">
        <v>19188.171325267696</v>
      </c>
      <c r="AK2152" s="104">
        <v>15510.648379919343</v>
      </c>
      <c r="AL2152" s="118">
        <v>93716905</v>
      </c>
      <c r="AM2152" s="118">
        <v>14255</v>
      </c>
      <c r="AN2152" s="118">
        <v>418567</v>
      </c>
      <c r="AO2152" s="118">
        <v>3441</v>
      </c>
      <c r="AP2152" s="118">
        <f t="shared" si="33"/>
        <v>1902</v>
      </c>
    </row>
    <row r="2153" spans="1:42" ht="12.75">
      <c r="A2153" s="106">
        <v>2018</v>
      </c>
      <c r="B2153" s="106">
        <v>3046</v>
      </c>
      <c r="C2153" s="106">
        <v>1</v>
      </c>
      <c r="D2153" s="106">
        <v>482680</v>
      </c>
      <c r="E2153" s="106" t="s">
        <v>3887</v>
      </c>
      <c r="F2153" s="106" t="s">
        <v>3289</v>
      </c>
      <c r="G2153" s="106" t="s">
        <v>63</v>
      </c>
      <c r="H2153" s="106">
        <v>2</v>
      </c>
      <c r="I2153" s="106" t="s">
        <v>25</v>
      </c>
      <c r="J2153" s="106">
        <v>5018</v>
      </c>
      <c r="K2153" s="106">
        <v>10264</v>
      </c>
      <c r="L2153" s="106">
        <v>7610</v>
      </c>
      <c r="M2153" s="106">
        <v>0.33</v>
      </c>
      <c r="N2153" s="106">
        <v>0.3</v>
      </c>
      <c r="O2153" s="106">
        <v>0.09</v>
      </c>
      <c r="P2153" s="106">
        <v>3868</v>
      </c>
      <c r="Q2153" s="106">
        <v>341.21346141448004</v>
      </c>
      <c r="R2153" s="106">
        <v>5.520370350398026E-2</v>
      </c>
      <c r="S2153" s="106">
        <v>14263.405002901167</v>
      </c>
      <c r="T2153" s="106">
        <v>15032.225904197021</v>
      </c>
      <c r="U2153" s="106">
        <v>10049.588096451707</v>
      </c>
      <c r="V2153" s="106">
        <v>0.58109596843983002</v>
      </c>
      <c r="W2153" s="106">
        <v>83753.692989068979</v>
      </c>
      <c r="X2153" s="110">
        <v>0.63531171695960909</v>
      </c>
      <c r="Y2153" s="106">
        <v>590.41794871794866</v>
      </c>
      <c r="Z2153" s="106">
        <v>19.885897435897437</v>
      </c>
      <c r="AA2153" s="106">
        <v>47918.586217049626</v>
      </c>
      <c r="AB2153" s="106">
        <v>338.480695908727</v>
      </c>
      <c r="AC2153" s="106">
        <v>2.086872921230293</v>
      </c>
      <c r="AD2153" s="106">
        <v>21.354953062430251</v>
      </c>
      <c r="AE2153" s="106">
        <v>141.56962803565938</v>
      </c>
      <c r="AF2153" s="106">
        <v>0.23473093122216449</v>
      </c>
      <c r="AG2153" s="106">
        <v>3705</v>
      </c>
      <c r="AH2153" s="106">
        <v>13444.967893752821</v>
      </c>
      <c r="AI2153" s="106">
        <v>13561.747791889627</v>
      </c>
      <c r="AJ2153" s="106">
        <v>14273.633937205854</v>
      </c>
      <c r="AK2153" s="104">
        <v>11100.628908516537</v>
      </c>
      <c r="AL2153" s="118">
        <v>71657564</v>
      </c>
      <c r="AM2153" s="118">
        <v>18173</v>
      </c>
      <c r="AN2153" s="118">
        <v>460526</v>
      </c>
      <c r="AO2153" s="118">
        <v>2991</v>
      </c>
      <c r="AP2153" s="118">
        <f t="shared" si="33"/>
        <v>1313</v>
      </c>
    </row>
    <row r="2154" spans="1:42" ht="12.75">
      <c r="A2154" s="106">
        <v>2018</v>
      </c>
      <c r="B2154" s="106">
        <v>-227216</v>
      </c>
      <c r="C2154" s="106">
        <v>0</v>
      </c>
      <c r="D2154" s="106">
        <v>227216</v>
      </c>
      <c r="E2154" s="106" t="s">
        <v>3290</v>
      </c>
      <c r="F2154" s="106" t="s">
        <v>3022</v>
      </c>
      <c r="G2154" s="106" t="s">
        <v>60</v>
      </c>
      <c r="H2154" s="106">
        <v>1</v>
      </c>
      <c r="I2154" s="106" t="s">
        <v>23</v>
      </c>
      <c r="J2154" s="106">
        <v>10544</v>
      </c>
      <c r="K2154" s="106">
        <v>12600</v>
      </c>
      <c r="L2154" s="107">
        <v>7102</v>
      </c>
      <c r="M2154" s="106">
        <v>0.39</v>
      </c>
      <c r="N2154" s="106">
        <v>0.51</v>
      </c>
      <c r="O2154" s="106">
        <v>0.48</v>
      </c>
      <c r="P2154" s="106">
        <v>6002</v>
      </c>
      <c r="Q2154" s="106">
        <v>3336.335197568389</v>
      </c>
      <c r="R2154" s="106">
        <v>0.26275986895193187</v>
      </c>
      <c r="S2154" s="106">
        <v>20633.895349544073</v>
      </c>
      <c r="T2154" s="106">
        <v>22520.670334346505</v>
      </c>
      <c r="U2154" s="106">
        <v>11237.427776063932</v>
      </c>
      <c r="V2154" s="106">
        <v>0.83301475636918643</v>
      </c>
      <c r="W2154" s="106">
        <v>97938.071791153008</v>
      </c>
      <c r="X2154" s="110">
        <v>0.48607953484364935</v>
      </c>
      <c r="Y2154" s="106">
        <v>715.35846230654022</v>
      </c>
      <c r="Z2154" s="106">
        <v>24.638042935596605</v>
      </c>
      <c r="AA2154" s="106">
        <v>39482.205663445471</v>
      </c>
      <c r="AB2154" s="106">
        <v>387.03425292491681</v>
      </c>
      <c r="AC2154" s="106">
        <v>2.5327865634564795</v>
      </c>
      <c r="AD2154" s="106">
        <v>28.949483707413592</v>
      </c>
      <c r="AE2154" s="106">
        <v>102.01217428449381</v>
      </c>
      <c r="AF2154" s="106">
        <v>0.70676434655722897</v>
      </c>
      <c r="AG2154" s="106">
        <v>8103</v>
      </c>
      <c r="AH2154" s="106">
        <v>18235.886686930091</v>
      </c>
      <c r="AI2154" s="106">
        <v>18700.601094224923</v>
      </c>
      <c r="AJ2154" s="106">
        <v>21121.371671732522</v>
      </c>
      <c r="AK2154" s="104">
        <v>15335.776504559271</v>
      </c>
      <c r="AL2154" s="118">
        <v>133352814</v>
      </c>
      <c r="AM2154" s="118">
        <v>31448</v>
      </c>
      <c r="AN2154" s="118">
        <v>955242</v>
      </c>
      <c r="AO2154" s="118">
        <v>7072</v>
      </c>
      <c r="AP2154" s="118">
        <f t="shared" si="33"/>
        <v>2441</v>
      </c>
    </row>
    <row r="2155" spans="1:42" ht="12.75">
      <c r="A2155" s="106">
        <v>2018</v>
      </c>
      <c r="B2155" s="106">
        <v>-484905</v>
      </c>
      <c r="C2155" s="106">
        <v>0</v>
      </c>
      <c r="D2155" s="106">
        <v>484905</v>
      </c>
      <c r="E2155" s="106" t="s">
        <v>3291</v>
      </c>
      <c r="F2155" s="106" t="s">
        <v>992</v>
      </c>
      <c r="G2155" s="106" t="s">
        <v>60</v>
      </c>
      <c r="H2155" s="106">
        <v>2</v>
      </c>
      <c r="I2155" s="106" t="s">
        <v>25</v>
      </c>
      <c r="J2155" s="106">
        <v>7549</v>
      </c>
      <c r="K2155" s="106">
        <v>7941</v>
      </c>
      <c r="L2155" s="106">
        <v>5543</v>
      </c>
      <c r="M2155" s="106">
        <v>0.69</v>
      </c>
      <c r="N2155" s="106">
        <v>0.21</v>
      </c>
      <c r="O2155" s="106">
        <v>0.7</v>
      </c>
      <c r="P2155" s="106">
        <v>5236</v>
      </c>
      <c r="Q2155" s="106">
        <v>1817.0705194358445</v>
      </c>
      <c r="R2155" s="106">
        <v>0.20624034485109352</v>
      </c>
      <c r="S2155" s="106">
        <v>20999.492948056417</v>
      </c>
      <c r="T2155" s="106">
        <v>20742.301341589267</v>
      </c>
      <c r="U2155" s="106">
        <v>10420.167593481623</v>
      </c>
      <c r="V2155" s="106">
        <v>0.67113899485918993</v>
      </c>
      <c r="W2155" s="106">
        <v>89781.855779427366</v>
      </c>
      <c r="X2155" s="110">
        <v>0.46803361379100122</v>
      </c>
      <c r="Y2155" s="106">
        <v>474.45708154506434</v>
      </c>
      <c r="Z2155" s="106">
        <v>18.714592274678111</v>
      </c>
      <c r="AA2155" s="106">
        <v>35975.566739015536</v>
      </c>
      <c r="AB2155" s="106">
        <v>411.01544382218322</v>
      </c>
      <c r="AC2155" s="106">
        <v>2.7796643406745809</v>
      </c>
      <c r="AD2155" s="106">
        <v>31.773584905660378</v>
      </c>
      <c r="AE2155" s="106">
        <v>87.528503562945374</v>
      </c>
      <c r="AF2155" s="106">
        <v>2.1715914671446916</v>
      </c>
      <c r="AG2155" s="106">
        <v>7249</v>
      </c>
      <c r="AH2155" s="106">
        <v>17487.559339525284</v>
      </c>
      <c r="AI2155" s="106">
        <v>17873.887856897145</v>
      </c>
      <c r="AJ2155" s="106">
        <v>21553.50464396285</v>
      </c>
      <c r="AK2155" s="104">
        <v>15244.014447884418</v>
      </c>
      <c r="AL2155" s="119">
        <v>25337242</v>
      </c>
      <c r="AM2155" s="118">
        <v>2687</v>
      </c>
      <c r="AN2155" s="118">
        <v>73699</v>
      </c>
      <c r="AO2155" s="118">
        <v>575</v>
      </c>
      <c r="AP2155" s="118">
        <f t="shared" si="33"/>
        <v>300</v>
      </c>
    </row>
    <row r="2156" spans="1:42" ht="12.75">
      <c r="A2156" s="106">
        <v>2018</v>
      </c>
      <c r="B2156" s="106">
        <v>-127741</v>
      </c>
      <c r="C2156" s="106">
        <v>0</v>
      </c>
      <c r="D2156" s="106">
        <v>127741</v>
      </c>
      <c r="E2156" s="106" t="s">
        <v>3292</v>
      </c>
      <c r="F2156" s="106" t="s">
        <v>81</v>
      </c>
      <c r="G2156" s="106" t="s">
        <v>66</v>
      </c>
      <c r="H2156" s="106">
        <v>1</v>
      </c>
      <c r="I2156" s="106" t="s">
        <v>23</v>
      </c>
      <c r="J2156" s="106">
        <v>9546</v>
      </c>
      <c r="K2156" s="106">
        <v>14641</v>
      </c>
      <c r="L2156" s="106">
        <v>9720</v>
      </c>
      <c r="M2156" s="106">
        <v>0.34</v>
      </c>
      <c r="N2156" s="106">
        <v>0.56000000000000005</v>
      </c>
      <c r="O2156" s="106">
        <v>0.87</v>
      </c>
      <c r="P2156" s="106">
        <v>5882</v>
      </c>
      <c r="Q2156" s="106">
        <v>3232.6608481082071</v>
      </c>
      <c r="R2156" s="106">
        <v>0.2466646349178048</v>
      </c>
      <c r="S2156" s="106">
        <v>19882.282215317126</v>
      </c>
      <c r="T2156" s="106">
        <v>25953.128861268506</v>
      </c>
      <c r="U2156" s="106">
        <v>20001.810789654042</v>
      </c>
      <c r="V2156" s="106">
        <v>0.49359675581021989</v>
      </c>
      <c r="W2156" s="106">
        <v>113791.39675074819</v>
      </c>
      <c r="X2156" s="110">
        <v>0.62483012132271576</v>
      </c>
      <c r="Y2156" s="106">
        <v>508.86792452830184</v>
      </c>
      <c r="Z2156" s="106">
        <v>17.695956873315364</v>
      </c>
      <c r="AA2156" s="106">
        <v>74315.726200473524</v>
      </c>
      <c r="AB2156" s="106">
        <v>695.56591025073749</v>
      </c>
      <c r="AC2156" s="106">
        <v>1.3456102108218759</v>
      </c>
      <c r="AD2156" s="106">
        <v>27.020827598862279</v>
      </c>
      <c r="AE2156" s="106">
        <v>106.84210526315789</v>
      </c>
      <c r="AF2156" s="106">
        <v>4.1931454914563213</v>
      </c>
      <c r="AG2156" s="106">
        <v>7374</v>
      </c>
      <c r="AH2156" s="106">
        <v>18948.064978980077</v>
      </c>
      <c r="AI2156" s="106">
        <v>18948.064978980077</v>
      </c>
      <c r="AJ2156" s="106">
        <v>19927.875159934199</v>
      </c>
      <c r="AK2156" s="104">
        <v>22606.993602632061</v>
      </c>
      <c r="AL2156" s="118"/>
      <c r="AM2156" s="118">
        <v>10092</v>
      </c>
      <c r="AN2156" s="118">
        <v>314650</v>
      </c>
      <c r="AO2156" s="118">
        <v>1958</v>
      </c>
      <c r="AP2156" s="118">
        <f t="shared" si="33"/>
        <v>2172</v>
      </c>
    </row>
    <row r="2157" spans="1:42" ht="12.75">
      <c r="A2157" s="106">
        <v>2018</v>
      </c>
      <c r="B2157" s="106">
        <v>-154095</v>
      </c>
      <c r="C2157" s="106">
        <v>0</v>
      </c>
      <c r="D2157" s="106">
        <v>154095</v>
      </c>
      <c r="E2157" s="106" t="s">
        <v>3293</v>
      </c>
      <c r="F2157" s="106" t="s">
        <v>3294</v>
      </c>
      <c r="G2157" s="106" t="s">
        <v>447</v>
      </c>
      <c r="H2157" s="106">
        <v>2</v>
      </c>
      <c r="I2157" s="106" t="s">
        <v>25</v>
      </c>
      <c r="J2157" s="106">
        <v>8699</v>
      </c>
      <c r="K2157" s="106">
        <v>16453</v>
      </c>
      <c r="L2157" s="106">
        <v>12069</v>
      </c>
      <c r="M2157" s="106">
        <v>0.24</v>
      </c>
      <c r="N2157" s="106">
        <v>0.57999999999999996</v>
      </c>
      <c r="O2157" s="106">
        <v>0.65</v>
      </c>
      <c r="P2157" s="106">
        <v>2875</v>
      </c>
      <c r="Q2157" s="106">
        <v>1976.7037885294399</v>
      </c>
      <c r="R2157" s="106">
        <v>0.21290844710615706</v>
      </c>
      <c r="S2157" s="106">
        <v>26095.632121385628</v>
      </c>
      <c r="T2157" s="106">
        <v>26190.281133695964</v>
      </c>
      <c r="U2157" s="106">
        <v>15372.537940750901</v>
      </c>
      <c r="V2157" s="106">
        <v>0.47536628913541429</v>
      </c>
      <c r="W2157" s="106">
        <v>100942.93149191351</v>
      </c>
      <c r="X2157" s="110">
        <v>0.67467430509848647</v>
      </c>
      <c r="Y2157" s="106">
        <v>495.97945585785669</v>
      </c>
      <c r="Z2157" s="106">
        <v>17.455302609661299</v>
      </c>
      <c r="AA2157" s="106">
        <v>59180.317810848159</v>
      </c>
      <c r="AB2157" s="106">
        <v>541.01495226287796</v>
      </c>
      <c r="AC2157" s="106">
        <v>1.6897509797027368</v>
      </c>
      <c r="AD2157" s="106">
        <v>25.980719671661735</v>
      </c>
      <c r="AE2157" s="106">
        <v>109.38758265980897</v>
      </c>
      <c r="AF2157" s="106">
        <v>2.0875764174851392E-2</v>
      </c>
      <c r="AG2157" s="106">
        <v>7456</v>
      </c>
      <c r="AH2157" s="106">
        <v>25427.792251169005</v>
      </c>
      <c r="AI2157" s="106">
        <v>25805.311766389921</v>
      </c>
      <c r="AJ2157" s="106">
        <v>26345.595381238669</v>
      </c>
      <c r="AK2157" s="104">
        <v>19422.838438782328</v>
      </c>
      <c r="AL2157" s="118">
        <v>101377509</v>
      </c>
      <c r="AM2157" s="118">
        <v>9961</v>
      </c>
      <c r="AN2157" s="118">
        <v>297753</v>
      </c>
      <c r="AO2157" s="118">
        <v>2184</v>
      </c>
      <c r="AP2157" s="118">
        <f t="shared" si="33"/>
        <v>1243</v>
      </c>
    </row>
    <row r="2158" spans="1:42" ht="12.75">
      <c r="A2158" s="106">
        <v>2018</v>
      </c>
      <c r="B2158" s="106">
        <v>-204486</v>
      </c>
      <c r="C2158" s="106">
        <v>0</v>
      </c>
      <c r="D2158" s="106">
        <v>204486</v>
      </c>
      <c r="E2158" s="106" t="s">
        <v>3295</v>
      </c>
      <c r="F2158" s="106" t="s">
        <v>1610</v>
      </c>
      <c r="G2158" s="106" t="s">
        <v>82</v>
      </c>
      <c r="H2158" s="106">
        <v>7</v>
      </c>
      <c r="I2158" s="106" t="s">
        <v>3641</v>
      </c>
      <c r="J2158" s="106">
        <v>10745</v>
      </c>
      <c r="K2158" s="106">
        <v>17645</v>
      </c>
      <c r="L2158" s="106">
        <v>15004</v>
      </c>
      <c r="M2158" s="106">
        <v>0.46</v>
      </c>
      <c r="N2158" s="106">
        <v>0.76</v>
      </c>
      <c r="O2158" s="106">
        <v>0.26</v>
      </c>
      <c r="P2158" s="106">
        <v>2673</v>
      </c>
      <c r="Q2158" s="106">
        <v>724.99015748031491</v>
      </c>
      <c r="R2158" s="106">
        <v>7.2250406083005717E-2</v>
      </c>
      <c r="S2158" s="106">
        <v>11959.849655511811</v>
      </c>
      <c r="T2158" s="106">
        <v>11110.974901574804</v>
      </c>
      <c r="U2158" s="106">
        <v>9563.6473917322837</v>
      </c>
      <c r="V2158" s="106">
        <v>0.97341724449047762</v>
      </c>
      <c r="W2158" s="106">
        <v>58436.409574468082</v>
      </c>
      <c r="X2158" s="110">
        <v>0.48659260384929226</v>
      </c>
      <c r="Y2158" s="106">
        <v>1334.2609756097561</v>
      </c>
      <c r="Z2158" s="106">
        <v>29.73658536585366</v>
      </c>
      <c r="AA2158" s="106">
        <v>21652.737047353759</v>
      </c>
      <c r="AB2158" s="106">
        <v>213.14437150738419</v>
      </c>
      <c r="AC2158" s="106">
        <v>4.6183537804621917</v>
      </c>
      <c r="AD2158" s="106">
        <v>50.449690837549191</v>
      </c>
      <c r="AE2158" s="106">
        <v>101.58718662952646</v>
      </c>
      <c r="AF2158" s="106">
        <v>5.4856939765802526E-2</v>
      </c>
      <c r="AG2158" s="106">
        <v>9965</v>
      </c>
      <c r="AH2158" s="106">
        <v>11437.107283464567</v>
      </c>
      <c r="AI2158" s="106">
        <v>11588.387549212599</v>
      </c>
      <c r="AJ2158" s="106">
        <v>11970.753198818898</v>
      </c>
      <c r="AK2158" s="104">
        <v>9563.6473917322837</v>
      </c>
      <c r="AL2158" s="118"/>
      <c r="AM2158" s="118">
        <v>3655</v>
      </c>
      <c r="AN2158" s="118">
        <v>182349</v>
      </c>
      <c r="AO2158" s="118">
        <v>1498</v>
      </c>
      <c r="AP2158" s="118">
        <f t="shared" si="33"/>
        <v>780</v>
      </c>
    </row>
    <row r="2159" spans="1:42" ht="12.75">
      <c r="A2159" s="106">
        <v>2018</v>
      </c>
      <c r="B2159" s="106">
        <v>-174491</v>
      </c>
      <c r="C2159" s="106">
        <v>0</v>
      </c>
      <c r="D2159" s="106">
        <v>174491</v>
      </c>
      <c r="E2159" s="106" t="s">
        <v>3296</v>
      </c>
      <c r="F2159" s="106" t="s">
        <v>366</v>
      </c>
      <c r="G2159" s="106" t="s">
        <v>113</v>
      </c>
      <c r="H2159" s="106">
        <v>6</v>
      </c>
      <c r="I2159" s="106" t="s">
        <v>3640</v>
      </c>
      <c r="J2159" s="106">
        <v>30794</v>
      </c>
      <c r="K2159" s="106">
        <v>24286</v>
      </c>
      <c r="L2159" s="106">
        <v>19083</v>
      </c>
      <c r="M2159" s="106">
        <v>0.35</v>
      </c>
      <c r="N2159" s="106">
        <v>0.67</v>
      </c>
      <c r="O2159" s="106">
        <v>0.99</v>
      </c>
      <c r="P2159" s="106">
        <v>14519</v>
      </c>
      <c r="Q2159" s="106">
        <v>7322.5778019586505</v>
      </c>
      <c r="R2159" s="106">
        <v>0.3628249197846854</v>
      </c>
      <c r="S2159" s="106">
        <v>29107.232136380124</v>
      </c>
      <c r="T2159" s="106">
        <v>28722.991657598839</v>
      </c>
      <c r="U2159" s="106">
        <v>18406.347479143998</v>
      </c>
      <c r="V2159" s="106">
        <v>0.69864740877660048</v>
      </c>
      <c r="W2159" s="106">
        <v>89580.375</v>
      </c>
      <c r="X2159" s="110">
        <v>0.54298480370223812</v>
      </c>
      <c r="Y2159" s="106">
        <v>557.64545454545453</v>
      </c>
      <c r="Z2159" s="106">
        <v>18.797727272727272</v>
      </c>
      <c r="AA2159" s="106">
        <v>86010.677966101692</v>
      </c>
      <c r="AB2159" s="106">
        <v>620.46143688560664</v>
      </c>
      <c r="AC2159" s="106">
        <v>1.1626463407184366</v>
      </c>
      <c r="AD2159" s="106">
        <v>22.50190694126621</v>
      </c>
      <c r="AE2159" s="106">
        <v>138.62372881355932</v>
      </c>
      <c r="AF2159" s="106">
        <v>2.9189477725209374E-2</v>
      </c>
      <c r="AG2159" s="106">
        <v>30260</v>
      </c>
      <c r="AH2159" s="106">
        <v>21859.176278563657</v>
      </c>
      <c r="AI2159" s="106">
        <v>29107.232136380124</v>
      </c>
      <c r="AJ2159" s="106">
        <v>29757.669931084511</v>
      </c>
      <c r="AK2159" s="104">
        <v>18406.347479143998</v>
      </c>
      <c r="AM2159" s="118">
        <v>3328</v>
      </c>
      <c r="AN2159" s="118">
        <v>81788</v>
      </c>
      <c r="AO2159" s="118">
        <v>495</v>
      </c>
      <c r="AP2159" s="118">
        <f t="shared" si="33"/>
        <v>534</v>
      </c>
    </row>
    <row r="2160" spans="1:42" ht="12.75">
      <c r="A2160" s="106">
        <v>2018</v>
      </c>
      <c r="B2160" s="106">
        <v>-152080</v>
      </c>
      <c r="C2160" s="106">
        <v>0</v>
      </c>
      <c r="D2160" s="106">
        <v>152080</v>
      </c>
      <c r="E2160" s="106" t="s">
        <v>3297</v>
      </c>
      <c r="F2160" s="106" t="s">
        <v>1501</v>
      </c>
      <c r="G2160" s="106" t="s">
        <v>161</v>
      </c>
      <c r="H2160" s="106">
        <v>5</v>
      </c>
      <c r="I2160" s="106" t="s">
        <v>3639</v>
      </c>
      <c r="J2160" s="106">
        <v>51495</v>
      </c>
      <c r="K2160" s="106">
        <v>30229</v>
      </c>
      <c r="L2160" s="106">
        <v>12607</v>
      </c>
      <c r="M2160" s="106">
        <v>0.1</v>
      </c>
      <c r="N2160" s="106">
        <v>0.33</v>
      </c>
      <c r="O2160" s="106">
        <v>0.55000000000000004</v>
      </c>
      <c r="P2160" s="106">
        <v>38004</v>
      </c>
      <c r="Q2160" s="106">
        <v>23794.355753953241</v>
      </c>
      <c r="R2160" s="106">
        <v>0.49949810359395946</v>
      </c>
      <c r="S2160" s="106">
        <v>99346.220776272981</v>
      </c>
      <c r="T2160" s="106">
        <v>97080.653703563599</v>
      </c>
      <c r="U2160" s="106">
        <v>55356.574584950147</v>
      </c>
      <c r="V2160" s="106">
        <v>0.4307017393657494</v>
      </c>
      <c r="W2160" s="106">
        <v>117235.81206703911</v>
      </c>
      <c r="X2160" s="110">
        <v>0.54516314749652217</v>
      </c>
      <c r="Y2160" s="106">
        <v>234.97387328543437</v>
      </c>
      <c r="Z2160" s="106">
        <v>8.6329196603527105</v>
      </c>
      <c r="AA2160" s="106">
        <v>199740.0617770369</v>
      </c>
      <c r="AB2160" s="106">
        <v>2033.7957338928579</v>
      </c>
      <c r="AC2160" s="106">
        <v>0.50065069125505046</v>
      </c>
      <c r="AD2160" s="106">
        <v>29.693579766536963</v>
      </c>
      <c r="AE2160" s="106">
        <v>98.210483210483204</v>
      </c>
      <c r="AF2160" s="106">
        <v>0.1095058014901809</v>
      </c>
      <c r="AG2160" s="106">
        <v>50988</v>
      </c>
      <c r="AH2160" s="106">
        <v>58752.894000151318</v>
      </c>
      <c r="AI2160" s="106">
        <v>98679.428009381852</v>
      </c>
      <c r="AJ2160" s="106">
        <v>193745.93326776123</v>
      </c>
      <c r="AK2160" s="104">
        <v>76802.981009306197</v>
      </c>
      <c r="AM2160" s="118">
        <v>8576</v>
      </c>
      <c r="AN2160" s="118">
        <v>359745</v>
      </c>
      <c r="AO2160" s="118">
        <v>2173</v>
      </c>
      <c r="AP2160" s="118">
        <f t="shared" si="33"/>
        <v>507</v>
      </c>
    </row>
    <row r="2161" spans="1:42" ht="12.75">
      <c r="A2161" s="106">
        <v>2018</v>
      </c>
      <c r="B2161" s="106">
        <v>-207500</v>
      </c>
      <c r="C2161" s="106">
        <v>0</v>
      </c>
      <c r="D2161" s="106">
        <v>207500</v>
      </c>
      <c r="E2161" s="106" t="s">
        <v>3298</v>
      </c>
      <c r="F2161" s="106" t="s">
        <v>3299</v>
      </c>
      <c r="G2161" s="106" t="s">
        <v>271</v>
      </c>
      <c r="H2161" s="106">
        <v>1</v>
      </c>
      <c r="I2161" s="106" t="s">
        <v>23</v>
      </c>
      <c r="J2161" s="106">
        <v>9063</v>
      </c>
      <c r="K2161" s="106">
        <v>21158</v>
      </c>
      <c r="L2161" s="106">
        <v>15562</v>
      </c>
      <c r="M2161" s="106">
        <v>0.23</v>
      </c>
      <c r="N2161" s="106">
        <v>0.44</v>
      </c>
      <c r="O2161" s="106">
        <v>0.84</v>
      </c>
      <c r="P2161" s="106">
        <v>7809</v>
      </c>
      <c r="Q2161" s="106">
        <v>4366.3266945069063</v>
      </c>
      <c r="R2161" s="106">
        <v>0.24426234295431215</v>
      </c>
      <c r="S2161" s="106">
        <v>40266.302601991651</v>
      </c>
      <c r="T2161" s="106">
        <v>40881.183745583039</v>
      </c>
      <c r="U2161" s="106">
        <v>17533.283012350381</v>
      </c>
      <c r="V2161" s="106">
        <v>0.77049092601006919</v>
      </c>
      <c r="W2161" s="106">
        <v>95163.753776882528</v>
      </c>
      <c r="X2161" s="110">
        <v>0.52590155239390834</v>
      </c>
      <c r="Y2161" s="106">
        <v>421.64332734889285</v>
      </c>
      <c r="Z2161" s="106">
        <v>14.903650508677439</v>
      </c>
      <c r="AA2161" s="106">
        <v>63282.44639703969</v>
      </c>
      <c r="AB2161" s="106">
        <v>619.74162837771598</v>
      </c>
      <c r="AC2161" s="106">
        <v>1.5802170379537972</v>
      </c>
      <c r="AD2161" s="106">
        <v>28.086457442911222</v>
      </c>
      <c r="AE2161" s="106">
        <v>102.11101449275363</v>
      </c>
      <c r="AF2161" s="106">
        <v>0.11023211730098972</v>
      </c>
      <c r="AG2161" s="106">
        <v>4788</v>
      </c>
      <c r="AH2161" s="106">
        <v>35125.963700610344</v>
      </c>
      <c r="AI2161" s="106">
        <v>39710.006424670733</v>
      </c>
      <c r="AJ2161" s="106">
        <v>40590.748474140702</v>
      </c>
      <c r="AK2161" s="104">
        <v>29938.925473819465</v>
      </c>
      <c r="AL2161" s="119">
        <v>112046000</v>
      </c>
      <c r="AM2161" s="118">
        <v>22032</v>
      </c>
      <c r="AN2161" s="118">
        <v>704566</v>
      </c>
      <c r="AO2161" s="118">
        <v>4347</v>
      </c>
      <c r="AP2161" s="118">
        <f t="shared" si="33"/>
        <v>4275</v>
      </c>
    </row>
    <row r="2162" spans="1:42" ht="12.75">
      <c r="A2162" s="106">
        <v>2018</v>
      </c>
      <c r="B2162" s="106">
        <v>-209551</v>
      </c>
      <c r="C2162" s="106">
        <v>0</v>
      </c>
      <c r="D2162" s="106">
        <v>209551</v>
      </c>
      <c r="E2162" s="106" t="s">
        <v>3300</v>
      </c>
      <c r="F2162" s="106" t="s">
        <v>1751</v>
      </c>
      <c r="G2162" s="106" t="s">
        <v>405</v>
      </c>
      <c r="H2162" s="106">
        <v>1</v>
      </c>
      <c r="I2162" s="106" t="s">
        <v>23</v>
      </c>
      <c r="J2162" s="106">
        <v>11931</v>
      </c>
      <c r="K2162" s="106">
        <v>15939</v>
      </c>
      <c r="L2162" s="106">
        <v>11907</v>
      </c>
      <c r="M2162" s="106">
        <v>0.24</v>
      </c>
      <c r="N2162" s="106">
        <v>0.4</v>
      </c>
      <c r="O2162" s="106">
        <v>0.64</v>
      </c>
      <c r="P2162" s="106">
        <v>5202</v>
      </c>
      <c r="Q2162" s="106">
        <v>3860.7502740146433</v>
      </c>
      <c r="R2162" s="106">
        <v>0.18921504948968063</v>
      </c>
      <c r="S2162" s="106">
        <v>40128.569161295978</v>
      </c>
      <c r="T2162" s="106">
        <v>43312.290499364288</v>
      </c>
      <c r="U2162" s="106">
        <v>23079.637375755527</v>
      </c>
      <c r="V2162" s="106">
        <v>0.71679131274620156</v>
      </c>
      <c r="W2162" s="106">
        <v>142364.46954224093</v>
      </c>
      <c r="X2162" s="110">
        <v>0.67264210923076828</v>
      </c>
      <c r="Y2162" s="106">
        <v>559.49166506993674</v>
      </c>
      <c r="Z2162" s="106">
        <v>13.111132400843072</v>
      </c>
      <c r="AA2162" s="106">
        <v>85513.880588630243</v>
      </c>
      <c r="AB2162" s="106">
        <v>540.8484170343304</v>
      </c>
      <c r="AC2162" s="106">
        <v>1.1694007956562762</v>
      </c>
      <c r="AD2162" s="106">
        <v>28.354290451844687</v>
      </c>
      <c r="AE2162" s="106">
        <v>158.11062378167642</v>
      </c>
      <c r="AF2162" s="106">
        <v>-2.6923351218151128E-3</v>
      </c>
      <c r="AG2162" s="106">
        <v>9855</v>
      </c>
      <c r="AH2162" s="106">
        <v>35751.487351484066</v>
      </c>
      <c r="AI2162" s="106">
        <v>38913.233416633782</v>
      </c>
      <c r="AJ2162" s="106">
        <v>41089.3056249726</v>
      </c>
      <c r="AK2162" s="104">
        <v>32709.068174843265</v>
      </c>
      <c r="AL2162" s="119">
        <v>70726221</v>
      </c>
      <c r="AM2162" s="118">
        <v>19340</v>
      </c>
      <c r="AN2162" s="118">
        <v>973329</v>
      </c>
      <c r="AO2162" s="118">
        <v>4536</v>
      </c>
      <c r="AP2162" s="118">
        <f t="shared" si="33"/>
        <v>2076</v>
      </c>
    </row>
    <row r="2163" spans="1:42" ht="12.75">
      <c r="A2163" s="106">
        <v>2018</v>
      </c>
      <c r="B2163" s="106">
        <v>-215062</v>
      </c>
      <c r="C2163" s="106">
        <v>0</v>
      </c>
      <c r="D2163" s="106">
        <v>215062</v>
      </c>
      <c r="E2163" s="106" t="s">
        <v>3301</v>
      </c>
      <c r="F2163" s="106" t="s">
        <v>721</v>
      </c>
      <c r="G2163" s="106" t="s">
        <v>104</v>
      </c>
      <c r="H2163" s="106">
        <v>5</v>
      </c>
      <c r="I2163" s="106" t="s">
        <v>3639</v>
      </c>
      <c r="J2163" s="106">
        <v>53534</v>
      </c>
      <c r="K2163" s="106">
        <v>26266</v>
      </c>
      <c r="L2163" s="106">
        <v>4440</v>
      </c>
      <c r="M2163" s="106">
        <v>0.13</v>
      </c>
      <c r="N2163" s="106">
        <v>0.13</v>
      </c>
      <c r="O2163" s="106">
        <v>0.47</v>
      </c>
      <c r="P2163" s="106">
        <v>44140</v>
      </c>
      <c r="Q2163" s="106">
        <v>13506.262494390274</v>
      </c>
      <c r="R2163" s="106">
        <v>0.24530965293765891</v>
      </c>
      <c r="S2163" s="106">
        <v>412898.29056342051</v>
      </c>
      <c r="T2163" s="106">
        <v>390070.53975765983</v>
      </c>
      <c r="U2163" s="106">
        <v>89099.632372558888</v>
      </c>
      <c r="V2163" s="106">
        <v>0.46635155688124041</v>
      </c>
      <c r="W2163" s="106">
        <v>309219.67727133678</v>
      </c>
      <c r="X2163" s="110">
        <v>0.56386688490003001</v>
      </c>
      <c r="Y2163" s="106">
        <v>124.91822895891504</v>
      </c>
      <c r="Z2163" s="106">
        <v>4.1901532850874688</v>
      </c>
      <c r="AA2163" s="106">
        <v>269420.31693607091</v>
      </c>
      <c r="AB2163" s="106">
        <v>2988.6840407315844</v>
      </c>
      <c r="AC2163" s="106">
        <v>0.37116725693604014</v>
      </c>
      <c r="AD2163" s="106">
        <v>35.163977095262879</v>
      </c>
      <c r="AE2163" s="106">
        <v>90.146804835924002</v>
      </c>
      <c r="AF2163" s="106">
        <v>0.14319388176581493</v>
      </c>
      <c r="AG2163" s="106">
        <v>47416</v>
      </c>
      <c r="AH2163" s="106">
        <v>366230.99832728162</v>
      </c>
      <c r="AI2163" s="106">
        <v>413381.42058667535</v>
      </c>
      <c r="AJ2163" s="106">
        <v>476753.86561135814</v>
      </c>
      <c r="AK2163" s="104">
        <v>140788.05434294807</v>
      </c>
      <c r="AL2163" s="118">
        <v>33606000</v>
      </c>
      <c r="AM2163" s="118">
        <v>11716</v>
      </c>
      <c r="AN2163" s="118">
        <v>730730</v>
      </c>
      <c r="AO2163" s="118">
        <v>2808</v>
      </c>
      <c r="AP2163" s="118">
        <f t="shared" si="33"/>
        <v>6118</v>
      </c>
    </row>
    <row r="2164" spans="1:42" ht="12.75">
      <c r="A2164" s="106">
        <v>2018</v>
      </c>
      <c r="B2164" s="106">
        <v>-157535</v>
      </c>
      <c r="C2164" s="106">
        <v>0</v>
      </c>
      <c r="D2164" s="106">
        <v>157535</v>
      </c>
      <c r="E2164" s="106" t="s">
        <v>3302</v>
      </c>
      <c r="F2164" s="106" t="s">
        <v>3303</v>
      </c>
      <c r="G2164" s="106" t="s">
        <v>118</v>
      </c>
      <c r="H2164" s="106">
        <v>7</v>
      </c>
      <c r="I2164" s="106" t="s">
        <v>3641</v>
      </c>
      <c r="J2164" s="106">
        <v>20338</v>
      </c>
      <c r="K2164" s="106">
        <v>18015</v>
      </c>
      <c r="L2164" s="106">
        <v>15642</v>
      </c>
      <c r="M2164" s="106">
        <v>0.65</v>
      </c>
      <c r="N2164" s="106">
        <v>0.86</v>
      </c>
      <c r="O2164" s="106">
        <v>1</v>
      </c>
      <c r="P2164" s="106">
        <v>10290</v>
      </c>
      <c r="Q2164" s="106">
        <v>5461.0337487019733</v>
      </c>
      <c r="R2164" s="106">
        <v>0.20870672227284148</v>
      </c>
      <c r="S2164" s="106">
        <v>26844.52492211838</v>
      </c>
      <c r="T2164" s="106">
        <v>27299.86188992731</v>
      </c>
      <c r="U2164" s="106">
        <v>25567.057695055249</v>
      </c>
      <c r="V2164" s="106">
        <v>0.80983239912910243</v>
      </c>
      <c r="W2164" s="106">
        <v>78791.240702479336</v>
      </c>
      <c r="X2164" s="110">
        <v>0.48352096463996808</v>
      </c>
      <c r="Y2164" s="106">
        <v>329.55131964809385</v>
      </c>
      <c r="Z2164" s="106">
        <v>16.944281524926687</v>
      </c>
      <c r="AA2164" s="106">
        <v>119519.78912785537</v>
      </c>
      <c r="AB2164" s="106">
        <v>1314.5613369464324</v>
      </c>
      <c r="AC2164" s="106">
        <v>0.83668152972580778</v>
      </c>
      <c r="AD2164" s="106">
        <v>20.446650124069478</v>
      </c>
      <c r="AE2164" s="106">
        <v>90.919902912621353</v>
      </c>
      <c r="AF2164" s="106">
        <v>0.18644938737439962</v>
      </c>
      <c r="AG2164" s="106">
        <v>20188</v>
      </c>
      <c r="AH2164" s="106">
        <v>25776.545171339563</v>
      </c>
      <c r="AI2164" s="106">
        <v>26844.52492211838</v>
      </c>
      <c r="AJ2164" s="106">
        <v>31539.450674974039</v>
      </c>
      <c r="AK2164" s="104">
        <v>25632.780893042574</v>
      </c>
      <c r="AM2164" s="118">
        <v>1560</v>
      </c>
      <c r="AN2164" s="118">
        <v>37459</v>
      </c>
      <c r="AO2164" s="118">
        <v>227</v>
      </c>
      <c r="AP2164" s="118">
        <f t="shared" si="33"/>
        <v>150</v>
      </c>
    </row>
    <row r="2165" spans="1:42" ht="12.75">
      <c r="A2165" s="106">
        <v>2018</v>
      </c>
      <c r="B2165" s="106">
        <v>-215266</v>
      </c>
      <c r="C2165" s="106">
        <v>0</v>
      </c>
      <c r="D2165" s="106">
        <v>215266</v>
      </c>
      <c r="E2165" s="106" t="s">
        <v>4227</v>
      </c>
      <c r="F2165" s="106" t="s">
        <v>4228</v>
      </c>
      <c r="G2165" s="106" t="s">
        <v>104</v>
      </c>
      <c r="H2165" s="106">
        <v>3</v>
      </c>
      <c r="I2165" s="104" t="s">
        <v>26</v>
      </c>
      <c r="J2165" s="106">
        <v>13900</v>
      </c>
      <c r="K2165" s="106">
        <v>17838</v>
      </c>
      <c r="L2165" s="106">
        <v>15531</v>
      </c>
      <c r="M2165" s="106">
        <v>0.44</v>
      </c>
      <c r="N2165" s="106">
        <v>0.84</v>
      </c>
      <c r="O2165" s="106">
        <v>0.83</v>
      </c>
      <c r="P2165" s="106">
        <v>6775</v>
      </c>
      <c r="Q2165" s="106">
        <v>4017.8405114401075</v>
      </c>
      <c r="R2165" s="106">
        <v>0.2916501314706838</v>
      </c>
      <c r="S2165" s="106">
        <v>18992.106998654104</v>
      </c>
      <c r="T2165" s="106">
        <v>21362.129205921938</v>
      </c>
      <c r="U2165" s="106">
        <v>16109.433128055154</v>
      </c>
      <c r="V2165" s="106">
        <v>0.60575649041919499</v>
      </c>
      <c r="W2165" s="106">
        <v>75015.231839258122</v>
      </c>
      <c r="X2165" s="110">
        <v>0.50964660420303298</v>
      </c>
      <c r="Y2165" s="106">
        <v>539.38306451612902</v>
      </c>
      <c r="Z2165" s="106">
        <v>17.975806451612904</v>
      </c>
      <c r="AA2165" s="106">
        <v>80330.931638556911</v>
      </c>
      <c r="AB2165" s="106">
        <v>536.87271812083611</v>
      </c>
      <c r="AC2165" s="106">
        <v>1.2448504948248653</v>
      </c>
      <c r="AD2165" s="106">
        <v>23.427672955974842</v>
      </c>
      <c r="AE2165" s="106">
        <v>149.6275167785235</v>
      </c>
      <c r="AF2165" s="106"/>
      <c r="AG2165" s="106">
        <v>12940</v>
      </c>
      <c r="AH2165" s="106">
        <v>18100.761776581428</v>
      </c>
      <c r="AI2165" s="106">
        <v>19101.406460296097</v>
      </c>
      <c r="AJ2165" s="106">
        <v>19011.020861372814</v>
      </c>
      <c r="AK2165" s="104">
        <v>16635.739569313595</v>
      </c>
      <c r="AM2165" s="118">
        <v>1336</v>
      </c>
      <c r="AN2165" s="118">
        <v>44589</v>
      </c>
      <c r="AO2165" s="118">
        <v>298</v>
      </c>
      <c r="AP2165" s="118">
        <f t="shared" si="33"/>
        <v>960</v>
      </c>
    </row>
    <row r="2166" spans="1:42" ht="12.75">
      <c r="A2166" s="106">
        <v>2018</v>
      </c>
      <c r="B2166" s="106">
        <v>-215275</v>
      </c>
      <c r="C2166" s="106">
        <v>0</v>
      </c>
      <c r="D2166" s="106">
        <v>215275</v>
      </c>
      <c r="E2166" s="106" t="s">
        <v>4229</v>
      </c>
      <c r="F2166" s="106" t="s">
        <v>2744</v>
      </c>
      <c r="G2166" s="106" t="s">
        <v>104</v>
      </c>
      <c r="H2166" s="106">
        <v>3</v>
      </c>
      <c r="I2166" s="104" t="s">
        <v>26</v>
      </c>
      <c r="J2166" s="106">
        <v>13870</v>
      </c>
      <c r="K2166" s="106">
        <v>17961</v>
      </c>
      <c r="L2166" s="106">
        <v>14729</v>
      </c>
      <c r="M2166" s="106">
        <v>0.41</v>
      </c>
      <c r="N2166" s="106">
        <v>0.76</v>
      </c>
      <c r="O2166" s="106">
        <v>0.7</v>
      </c>
      <c r="P2166" s="106">
        <v>5905</v>
      </c>
      <c r="Q2166" s="106">
        <v>1973.2640750670241</v>
      </c>
      <c r="R2166" s="106">
        <v>0.1431218681411687</v>
      </c>
      <c r="S2166" s="106">
        <v>16905.09651474531</v>
      </c>
      <c r="T2166" s="106">
        <v>15344.245308310992</v>
      </c>
      <c r="U2166" s="106">
        <v>11422.338143784807</v>
      </c>
      <c r="V2166" s="106">
        <v>1.0342922240676728</v>
      </c>
      <c r="W2166" s="106">
        <v>70073.362976406541</v>
      </c>
      <c r="X2166" s="110">
        <v>0.56217166062116708</v>
      </c>
      <c r="Y2166" s="106">
        <v>557.00414937759342</v>
      </c>
      <c r="Z2166" s="106">
        <v>18.572614107883819</v>
      </c>
      <c r="AA2166" s="106">
        <v>71605.581977003923</v>
      </c>
      <c r="AB2166" s="106">
        <v>380.8637310715356</v>
      </c>
      <c r="AC2166" s="106">
        <v>1.396539169699297</v>
      </c>
      <c r="AD2166" s="106">
        <v>16.179469748470428</v>
      </c>
      <c r="AE2166" s="106">
        <v>188.00840336134453</v>
      </c>
      <c r="AF2166" s="106"/>
      <c r="AG2166" s="106">
        <v>12940</v>
      </c>
      <c r="AH2166" s="106">
        <v>16826.786193029489</v>
      </c>
      <c r="AI2166" s="106">
        <v>16990.792225201072</v>
      </c>
      <c r="AJ2166" s="106">
        <v>17312.824396782842</v>
      </c>
      <c r="AK2166" s="104">
        <v>11515.833109919571</v>
      </c>
      <c r="AM2166" s="118">
        <v>1523</v>
      </c>
      <c r="AN2166" s="118">
        <v>44746</v>
      </c>
      <c r="AO2166" s="118">
        <v>232</v>
      </c>
      <c r="AP2166" s="118">
        <f t="shared" si="33"/>
        <v>930</v>
      </c>
    </row>
    <row r="2167" spans="1:42" ht="12.75">
      <c r="A2167" s="106">
        <v>2018</v>
      </c>
      <c r="B2167" s="106">
        <v>-215284</v>
      </c>
      <c r="C2167" s="106">
        <v>0</v>
      </c>
      <c r="D2167" s="106">
        <v>215284</v>
      </c>
      <c r="E2167" s="106" t="s">
        <v>4230</v>
      </c>
      <c r="F2167" s="106" t="s">
        <v>1295</v>
      </c>
      <c r="G2167" s="106" t="s">
        <v>104</v>
      </c>
      <c r="H2167" s="106">
        <v>3</v>
      </c>
      <c r="I2167" s="104" t="s">
        <v>26</v>
      </c>
      <c r="J2167" s="106">
        <v>13876</v>
      </c>
      <c r="K2167" s="106">
        <v>19726</v>
      </c>
      <c r="L2167" s="106">
        <v>16259</v>
      </c>
      <c r="M2167" s="106">
        <v>0.34</v>
      </c>
      <c r="N2167" s="106">
        <v>0.75</v>
      </c>
      <c r="O2167" s="106">
        <v>0.74</v>
      </c>
      <c r="P2167" s="106">
        <v>4687</v>
      </c>
      <c r="Q2167" s="106">
        <v>2291.290098648155</v>
      </c>
      <c r="R2167" s="106">
        <v>0.16494925108634195</v>
      </c>
      <c r="S2167" s="106">
        <v>19108.760321519912</v>
      </c>
      <c r="T2167" s="106">
        <v>16309.788089148702</v>
      </c>
      <c r="U2167" s="106">
        <v>10987.226335909418</v>
      </c>
      <c r="V2167" s="106">
        <v>1.0557340507413047</v>
      </c>
      <c r="W2167" s="106">
        <v>71551.921921921923</v>
      </c>
      <c r="X2167" s="110">
        <v>0.53375557153030617</v>
      </c>
      <c r="Y2167" s="106">
        <v>557.30090497737558</v>
      </c>
      <c r="Z2167" s="106">
        <v>18.576923076923077</v>
      </c>
      <c r="AA2167" s="106">
        <v>58054.128342440301</v>
      </c>
      <c r="AB2167" s="106">
        <v>366.24533828671736</v>
      </c>
      <c r="AC2167" s="106">
        <v>1.7225303842327313</v>
      </c>
      <c r="AD2167" s="106">
        <v>18.891320204230489</v>
      </c>
      <c r="AE2167" s="106">
        <v>158.51158301158301</v>
      </c>
      <c r="AF2167" s="106"/>
      <c r="AG2167" s="106">
        <v>12940</v>
      </c>
      <c r="AH2167" s="106">
        <v>18645.976251370113</v>
      </c>
      <c r="AI2167" s="106">
        <v>19166.356229448302</v>
      </c>
      <c r="AJ2167" s="106">
        <v>20944.859335038363</v>
      </c>
      <c r="AK2167" s="104">
        <v>11217.275484106685</v>
      </c>
      <c r="AM2167" s="118">
        <v>2784</v>
      </c>
      <c r="AN2167" s="118">
        <v>82109</v>
      </c>
      <c r="AO2167" s="118">
        <v>504</v>
      </c>
      <c r="AP2167" s="118">
        <f t="shared" si="33"/>
        <v>936</v>
      </c>
    </row>
    <row r="2168" spans="1:42" ht="12.75">
      <c r="A2168" s="106">
        <v>2018</v>
      </c>
      <c r="B2168" s="106">
        <v>-215293</v>
      </c>
      <c r="C2168" s="106">
        <v>0</v>
      </c>
      <c r="D2168" s="106">
        <v>215293</v>
      </c>
      <c r="E2168" s="106" t="s">
        <v>4231</v>
      </c>
      <c r="F2168" s="106" t="s">
        <v>602</v>
      </c>
      <c r="G2168" s="106" t="s">
        <v>104</v>
      </c>
      <c r="H2168" s="106">
        <v>1</v>
      </c>
      <c r="I2168" s="106" t="s">
        <v>23</v>
      </c>
      <c r="J2168" s="106">
        <v>19080</v>
      </c>
      <c r="K2168" s="106">
        <v>24040</v>
      </c>
      <c r="L2168" s="106">
        <v>20996</v>
      </c>
      <c r="M2168" s="106">
        <v>0.15</v>
      </c>
      <c r="N2168" s="106">
        <v>0.56000000000000005</v>
      </c>
      <c r="O2168" s="106">
        <v>0.41</v>
      </c>
      <c r="P2168" s="106">
        <v>11934</v>
      </c>
      <c r="Q2168" s="106">
        <v>5708.6899211917671</v>
      </c>
      <c r="R2168" s="106">
        <v>0.23478497088669992</v>
      </c>
      <c r="S2168" s="106">
        <v>68040.085259202606</v>
      </c>
      <c r="T2168" s="106">
        <v>68746.879493233137</v>
      </c>
      <c r="U2168" s="106">
        <v>29972.477911433016</v>
      </c>
      <c r="V2168" s="106">
        <v>0.62076468638136617</v>
      </c>
      <c r="W2168" s="106">
        <v>99284.86281086388</v>
      </c>
      <c r="X2168" s="110">
        <v>0.58703857097335432</v>
      </c>
      <c r="Y2168" s="106">
        <v>149.04681370972926</v>
      </c>
      <c r="Z2168" s="106">
        <v>5.8014918654748886</v>
      </c>
      <c r="AA2168" s="106">
        <v>97265.817225696039</v>
      </c>
      <c r="AB2168" s="106">
        <v>1166.6474610450114</v>
      </c>
      <c r="AC2168" s="106">
        <v>1.0281104179483689</v>
      </c>
      <c r="AD2168" s="106">
        <v>34.494695700725856</v>
      </c>
      <c r="AE2168" s="106">
        <v>83.372072947016292</v>
      </c>
      <c r="AF2168" s="106">
        <v>8.1651039515412083E-2</v>
      </c>
      <c r="AG2168" s="106">
        <v>18130</v>
      </c>
      <c r="AH2168" s="106">
        <v>61986.653908821863</v>
      </c>
      <c r="AI2168" s="106">
        <v>68324.833804409267</v>
      </c>
      <c r="AJ2168" s="106">
        <v>80180.151564526313</v>
      </c>
      <c r="AK2168" s="104">
        <v>64913.627306886578</v>
      </c>
      <c r="AL2168" s="119">
        <v>169679647</v>
      </c>
      <c r="AM2168" s="118">
        <v>19326</v>
      </c>
      <c r="AN2168" s="118">
        <v>772609</v>
      </c>
      <c r="AO2168" s="118">
        <v>4701</v>
      </c>
      <c r="AP2168" s="118">
        <f t="shared" si="33"/>
        <v>950</v>
      </c>
    </row>
    <row r="2169" spans="1:42" ht="12.75">
      <c r="A2169" s="106">
        <v>2018</v>
      </c>
      <c r="B2169" s="106">
        <v>-215309</v>
      </c>
      <c r="C2169" s="106">
        <v>0</v>
      </c>
      <c r="D2169" s="106">
        <v>215309</v>
      </c>
      <c r="E2169" s="106" t="s">
        <v>4232</v>
      </c>
      <c r="F2169" s="106" t="s">
        <v>4233</v>
      </c>
      <c r="G2169" s="106" t="s">
        <v>104</v>
      </c>
      <c r="H2169" s="106">
        <v>4</v>
      </c>
      <c r="I2169" s="106" t="s">
        <v>24</v>
      </c>
      <c r="J2169" s="106">
        <v>11788</v>
      </c>
      <c r="K2169" s="106">
        <v>16262</v>
      </c>
      <c r="L2169" s="106">
        <v>13427</v>
      </c>
      <c r="M2169" s="106">
        <v>0.62</v>
      </c>
      <c r="N2169" s="106">
        <v>0.84</v>
      </c>
      <c r="O2169" s="106">
        <v>0.75</v>
      </c>
      <c r="P2169" s="106">
        <v>4301</v>
      </c>
      <c r="Q2169" s="106">
        <v>2127.5860805860807</v>
      </c>
      <c r="R2169" s="106">
        <v>0.1624465811965812</v>
      </c>
      <c r="S2169" s="106">
        <v>17784.600732600731</v>
      </c>
      <c r="T2169" s="106">
        <v>26521.021978021978</v>
      </c>
      <c r="U2169" s="106">
        <v>20362.058608058607</v>
      </c>
      <c r="V2169" s="106">
        <v>0.53872533164281333</v>
      </c>
      <c r="W2169" s="106">
        <v>58200.822335025376</v>
      </c>
      <c r="X2169" s="110">
        <v>0.52786296142986444</v>
      </c>
      <c r="Y2169" s="106">
        <v>266.96739130434781</v>
      </c>
      <c r="Z2169" s="106">
        <v>8.9021739130434785</v>
      </c>
      <c r="AA2169" s="106">
        <v>68627.679012345674</v>
      </c>
      <c r="AB2169" s="106">
        <v>678.98399902284109</v>
      </c>
      <c r="AC2169" s="106">
        <v>1.4571380154355889</v>
      </c>
      <c r="AD2169" s="106">
        <v>30.223880597014922</v>
      </c>
      <c r="AE2169" s="106">
        <v>101.07407407407408</v>
      </c>
      <c r="AF2169" s="106"/>
      <c r="AG2169" s="106">
        <v>10958</v>
      </c>
      <c r="AH2169" s="106">
        <v>16761.087912087911</v>
      </c>
      <c r="AI2169" s="106">
        <v>17975.538461538461</v>
      </c>
      <c r="AJ2169" s="106">
        <v>18324.531135531135</v>
      </c>
      <c r="AK2169" s="104">
        <v>20362.058608058607</v>
      </c>
      <c r="AL2169" s="118"/>
      <c r="AM2169" s="118">
        <v>295</v>
      </c>
      <c r="AN2169" s="118">
        <v>8187</v>
      </c>
      <c r="AO2169" s="118">
        <v>81</v>
      </c>
      <c r="AP2169" s="118">
        <f t="shared" si="33"/>
        <v>830</v>
      </c>
    </row>
    <row r="2170" spans="1:42" ht="12.75">
      <c r="A2170" s="106">
        <v>2018</v>
      </c>
      <c r="B2170" s="106">
        <v>-209825</v>
      </c>
      <c r="C2170" s="106">
        <v>0</v>
      </c>
      <c r="D2170" s="106">
        <v>209825</v>
      </c>
      <c r="E2170" s="106" t="s">
        <v>3304</v>
      </c>
      <c r="F2170" s="106" t="s">
        <v>1578</v>
      </c>
      <c r="G2170" s="106" t="s">
        <v>405</v>
      </c>
      <c r="H2170" s="106">
        <v>6</v>
      </c>
      <c r="I2170" s="106" t="s">
        <v>3640</v>
      </c>
      <c r="J2170" s="106">
        <v>44026</v>
      </c>
      <c r="K2170" s="106">
        <v>33541</v>
      </c>
      <c r="L2170" s="106">
        <v>26344</v>
      </c>
      <c r="M2170" s="106">
        <v>0.18</v>
      </c>
      <c r="N2170" s="106">
        <v>0.5</v>
      </c>
      <c r="O2170" s="106">
        <v>0.99</v>
      </c>
      <c r="P2170" s="106">
        <v>24104</v>
      </c>
      <c r="Q2170" s="106">
        <v>18757.234371548486</v>
      </c>
      <c r="R2170" s="106">
        <v>0.45427018467398517</v>
      </c>
      <c r="S2170" s="106">
        <v>38135.851557322727</v>
      </c>
      <c r="T2170" s="106">
        <v>30040.865915617407</v>
      </c>
      <c r="U2170" s="106">
        <v>24786.527035139643</v>
      </c>
      <c r="V2170" s="106">
        <v>0.90911028948643757</v>
      </c>
      <c r="W2170" s="106">
        <v>85749.508454581213</v>
      </c>
      <c r="X2170" s="110">
        <v>0.5344828854001985</v>
      </c>
      <c r="Y2170" s="106">
        <v>389.68823529411765</v>
      </c>
      <c r="Z2170" s="106">
        <v>13.314705882352941</v>
      </c>
      <c r="AA2170" s="106">
        <v>88353.234557541073</v>
      </c>
      <c r="AB2170" s="106">
        <v>846.89576802026636</v>
      </c>
      <c r="AC2170" s="106">
        <v>1.1318204760785959</v>
      </c>
      <c r="AD2170" s="106">
        <v>31.005859375</v>
      </c>
      <c r="AE2170" s="106">
        <v>104.32598425196851</v>
      </c>
      <c r="AF2170" s="106">
        <v>0.14971257490879075</v>
      </c>
      <c r="AG2170" s="106">
        <v>43686</v>
      </c>
      <c r="AH2170" s="106">
        <v>30316.98696708637</v>
      </c>
      <c r="AI2170" s="106">
        <v>38239.673072675061</v>
      </c>
      <c r="AJ2170" s="106">
        <v>43583.388557543629</v>
      </c>
      <c r="AK2170" s="104">
        <v>25011.04484205876</v>
      </c>
      <c r="AM2170" s="118">
        <v>3883</v>
      </c>
      <c r="AN2170" s="118">
        <v>132494</v>
      </c>
      <c r="AO2170" s="118">
        <v>1022</v>
      </c>
      <c r="AP2170" s="118">
        <f t="shared" si="33"/>
        <v>340</v>
      </c>
    </row>
    <row r="2171" spans="1:42" ht="12.75">
      <c r="A2171" s="106">
        <v>2018</v>
      </c>
      <c r="B2171" s="106">
        <v>-180258</v>
      </c>
      <c r="C2171" s="106">
        <v>0</v>
      </c>
      <c r="D2171" s="106">
        <v>180258</v>
      </c>
      <c r="E2171" s="106" t="s">
        <v>4234</v>
      </c>
      <c r="F2171" s="106" t="s">
        <v>1389</v>
      </c>
      <c r="G2171" s="106" t="s">
        <v>608</v>
      </c>
      <c r="H2171" s="106">
        <v>7</v>
      </c>
      <c r="I2171" s="106" t="s">
        <v>3641</v>
      </c>
      <c r="J2171" s="106">
        <v>24440</v>
      </c>
      <c r="K2171" s="106">
        <v>19435</v>
      </c>
      <c r="L2171" s="106">
        <v>16737</v>
      </c>
      <c r="M2171" s="106">
        <v>0.39</v>
      </c>
      <c r="N2171" s="106">
        <v>0.59</v>
      </c>
      <c r="O2171" s="106">
        <v>1</v>
      </c>
      <c r="P2171" s="106">
        <v>14606</v>
      </c>
      <c r="Q2171" s="106">
        <v>4312.9348314606741</v>
      </c>
      <c r="R2171" s="106">
        <v>0.30067414716435831</v>
      </c>
      <c r="S2171" s="106">
        <v>16134.073033707866</v>
      </c>
      <c r="T2171" s="106">
        <v>26090.658426966293</v>
      </c>
      <c r="U2171" s="106">
        <v>23717.688764044942</v>
      </c>
      <c r="V2171" s="106">
        <v>0.42294512752369956</v>
      </c>
      <c r="W2171" s="106">
        <v>58550.767148014442</v>
      </c>
      <c r="X2171" s="110">
        <v>0.46563546830614738</v>
      </c>
      <c r="Y2171" s="106">
        <v>413.58510638297872</v>
      </c>
      <c r="Z2171" s="106">
        <v>14.202127659574469</v>
      </c>
      <c r="AA2171" s="106">
        <v>73806.793706293713</v>
      </c>
      <c r="AB2171" s="106">
        <v>814.44335982714711</v>
      </c>
      <c r="AC2171" s="106">
        <v>1.3548888249764566</v>
      </c>
      <c r="AD2171" s="106">
        <v>38.96457765667575</v>
      </c>
      <c r="AE2171" s="106">
        <v>90.622377622377627</v>
      </c>
      <c r="AF2171" s="106">
        <v>-0.35848074504567895</v>
      </c>
      <c r="AG2171" s="106">
        <v>24240</v>
      </c>
      <c r="AH2171" s="106">
        <v>13546.296629213482</v>
      </c>
      <c r="AI2171" s="106">
        <v>16205.411235955056</v>
      </c>
      <c r="AJ2171" s="106">
        <v>17002.819101123594</v>
      </c>
      <c r="AK2171" s="104">
        <v>23717.688764044942</v>
      </c>
      <c r="AL2171" s="118"/>
      <c r="AM2171" s="118">
        <v>930</v>
      </c>
      <c r="AN2171" s="118">
        <v>25918</v>
      </c>
      <c r="AO2171" s="118">
        <v>260</v>
      </c>
      <c r="AP2171" s="118">
        <f t="shared" si="33"/>
        <v>200</v>
      </c>
    </row>
    <row r="2172" spans="1:42" ht="12.75">
      <c r="A2172" s="106">
        <v>2018</v>
      </c>
      <c r="B2172" s="106">
        <v>-236328</v>
      </c>
      <c r="C2172" s="106">
        <v>0</v>
      </c>
      <c r="D2172" s="106">
        <v>236328</v>
      </c>
      <c r="E2172" s="106" t="s">
        <v>3305</v>
      </c>
      <c r="F2172" s="106" t="s">
        <v>303</v>
      </c>
      <c r="G2172" s="106" t="s">
        <v>182</v>
      </c>
      <c r="H2172" s="106">
        <v>7</v>
      </c>
      <c r="I2172" s="106" t="s">
        <v>3641</v>
      </c>
      <c r="J2172" s="106">
        <v>48090</v>
      </c>
      <c r="K2172" s="106">
        <v>39990</v>
      </c>
      <c r="L2172" s="106">
        <v>27685</v>
      </c>
      <c r="M2172" s="106">
        <v>0.17</v>
      </c>
      <c r="N2172" s="106">
        <v>0.51</v>
      </c>
      <c r="O2172" s="106">
        <v>0.99</v>
      </c>
      <c r="P2172" s="106">
        <v>21893</v>
      </c>
      <c r="Q2172" s="106">
        <v>19986.122792262406</v>
      </c>
      <c r="R2172" s="106">
        <v>0.38541447037643745</v>
      </c>
      <c r="S2172" s="106">
        <v>48466.778805719092</v>
      </c>
      <c r="T2172" s="106">
        <v>51121.530698065602</v>
      </c>
      <c r="U2172" s="106">
        <v>41020.906635642168</v>
      </c>
      <c r="V2172" s="106">
        <v>0.7769223424552818</v>
      </c>
      <c r="W2172" s="106">
        <v>104590.71325993298</v>
      </c>
      <c r="X2172" s="110">
        <v>0.59909350399368244</v>
      </c>
      <c r="Y2172" s="106">
        <v>276.76045627376425</v>
      </c>
      <c r="Z2172" s="106">
        <v>9.0418250950570336</v>
      </c>
      <c r="AA2172" s="106">
        <v>136813.06588998187</v>
      </c>
      <c r="AB2172" s="106">
        <v>1340.1620593993111</v>
      </c>
      <c r="AC2172" s="106">
        <v>0.73092434081124191</v>
      </c>
      <c r="AD2172" s="106">
        <v>27.079377136346373</v>
      </c>
      <c r="AE2172" s="106">
        <v>102.08695652173913</v>
      </c>
      <c r="AF2172" s="106">
        <v>6.1924106962099754E-2</v>
      </c>
      <c r="AG2172" s="106">
        <v>47840</v>
      </c>
      <c r="AH2172" s="106">
        <v>44042.893187552567</v>
      </c>
      <c r="AI2172" s="106">
        <v>48724.137931034486</v>
      </c>
      <c r="AJ2172" s="106">
        <v>63958.368376787213</v>
      </c>
      <c r="AK2172" s="104">
        <v>41792.682926829271</v>
      </c>
      <c r="AL2172" s="118"/>
      <c r="AM2172" s="118">
        <v>2413</v>
      </c>
      <c r="AN2172" s="118">
        <v>72788</v>
      </c>
      <c r="AO2172" s="118">
        <v>592</v>
      </c>
      <c r="AP2172" s="118">
        <f t="shared" si="33"/>
        <v>250</v>
      </c>
    </row>
    <row r="2173" spans="1:42" ht="12.75">
      <c r="A2173" s="106">
        <v>2018</v>
      </c>
      <c r="B2173" s="106">
        <v>-121691</v>
      </c>
      <c r="C2173" s="106">
        <v>0</v>
      </c>
      <c r="D2173" s="106">
        <v>121691</v>
      </c>
      <c r="E2173" s="106" t="s">
        <v>3306</v>
      </c>
      <c r="F2173" s="106" t="s">
        <v>3307</v>
      </c>
      <c r="G2173" s="106" t="s">
        <v>121</v>
      </c>
      <c r="H2173" s="106">
        <v>6</v>
      </c>
      <c r="I2173" s="106" t="s">
        <v>3640</v>
      </c>
      <c r="J2173" s="106">
        <v>48072</v>
      </c>
      <c r="K2173" s="106">
        <v>29226</v>
      </c>
      <c r="L2173" s="106">
        <v>21527</v>
      </c>
      <c r="M2173" s="106">
        <v>0.37</v>
      </c>
      <c r="N2173" s="106">
        <v>0.59</v>
      </c>
      <c r="O2173" s="106">
        <v>0.98</v>
      </c>
      <c r="P2173" s="106">
        <v>31030</v>
      </c>
      <c r="Q2173" s="106">
        <v>13260.143764079459</v>
      </c>
      <c r="R2173" s="106">
        <v>0.41672109254656875</v>
      </c>
      <c r="S2173" s="106">
        <v>26335.472455457711</v>
      </c>
      <c r="T2173" s="106">
        <v>26303.198648371901</v>
      </c>
      <c r="U2173" s="106">
        <v>22530.394703681446</v>
      </c>
      <c r="V2173" s="106">
        <v>0.82377806041920276</v>
      </c>
      <c r="W2173" s="106">
        <v>84788.929370899277</v>
      </c>
      <c r="X2173" s="110">
        <v>0.57015117092715772</v>
      </c>
      <c r="Y2173" s="106">
        <v>400.56470588235294</v>
      </c>
      <c r="Z2173" s="106">
        <v>14.361764705882353</v>
      </c>
      <c r="AA2173" s="106">
        <v>65136.718376599471</v>
      </c>
      <c r="AB2173" s="106">
        <v>807.80014492831083</v>
      </c>
      <c r="AC2173" s="106">
        <v>1.5352323926089166</v>
      </c>
      <c r="AD2173" s="106">
        <v>38.395089793134801</v>
      </c>
      <c r="AE2173" s="106">
        <v>80.634695085849614</v>
      </c>
      <c r="AF2173" s="106">
        <v>3.8892191940647115E-2</v>
      </c>
      <c r="AG2173" s="106">
        <v>47722</v>
      </c>
      <c r="AH2173" s="106">
        <v>24646.78947368421</v>
      </c>
      <c r="AI2173" s="106">
        <v>26335.472455457711</v>
      </c>
      <c r="AJ2173" s="106">
        <v>28400.952897808726</v>
      </c>
      <c r="AK2173" s="104">
        <v>22901.726192914193</v>
      </c>
      <c r="AL2173" s="118"/>
      <c r="AM2173" s="118">
        <v>3130</v>
      </c>
      <c r="AN2173" s="118">
        <v>136192</v>
      </c>
      <c r="AO2173" s="118">
        <v>789</v>
      </c>
      <c r="AP2173" s="118">
        <f t="shared" si="33"/>
        <v>350</v>
      </c>
    </row>
    <row r="2174" spans="1:42" ht="12.75">
      <c r="A2174" s="106">
        <v>2018</v>
      </c>
      <c r="B2174" s="106">
        <v>-217484</v>
      </c>
      <c r="C2174" s="106">
        <v>0</v>
      </c>
      <c r="D2174" s="106">
        <v>217484</v>
      </c>
      <c r="E2174" s="106" t="s">
        <v>3308</v>
      </c>
      <c r="F2174" s="106" t="s">
        <v>3309</v>
      </c>
      <c r="G2174" s="106" t="s">
        <v>469</v>
      </c>
      <c r="H2174" s="106">
        <v>1</v>
      </c>
      <c r="I2174" s="106" t="s">
        <v>23</v>
      </c>
      <c r="J2174" s="106">
        <v>13792</v>
      </c>
      <c r="K2174" s="106">
        <v>19731</v>
      </c>
      <c r="L2174" s="106">
        <v>13527</v>
      </c>
      <c r="M2174" s="106">
        <v>0.26</v>
      </c>
      <c r="N2174" s="106">
        <v>0.83</v>
      </c>
      <c r="O2174" s="106">
        <v>0.87</v>
      </c>
      <c r="P2174" s="106">
        <v>9339</v>
      </c>
      <c r="Q2174" s="106">
        <v>6817.4611548398725</v>
      </c>
      <c r="R2174" s="106">
        <v>0.35813032365039532</v>
      </c>
      <c r="S2174" s="106">
        <v>31988.708766448355</v>
      </c>
      <c r="T2174" s="106">
        <v>32636.853692242985</v>
      </c>
      <c r="U2174" s="106">
        <v>16130.611899380703</v>
      </c>
      <c r="V2174" s="106">
        <v>0.75749120290080241</v>
      </c>
      <c r="W2174" s="106">
        <v>110828.18968848106</v>
      </c>
      <c r="X2174" s="110">
        <v>0.56327997630289262</v>
      </c>
      <c r="Y2174" s="106">
        <v>505.76074972436606</v>
      </c>
      <c r="Z2174" s="106">
        <v>18.349503858875412</v>
      </c>
      <c r="AA2174" s="106">
        <v>61320.642723022625</v>
      </c>
      <c r="AB2174" s="106">
        <v>585.23466966350873</v>
      </c>
      <c r="AC2174" s="106">
        <v>1.6307722091512806</v>
      </c>
      <c r="AD2174" s="106">
        <v>27.612740460422579</v>
      </c>
      <c r="AE2174" s="106">
        <v>104.77957971676565</v>
      </c>
      <c r="AF2174" s="106">
        <v>9.8302846705212762E-2</v>
      </c>
      <c r="AG2174" s="106">
        <v>12002</v>
      </c>
      <c r="AH2174" s="106">
        <v>29972.37637445172</v>
      </c>
      <c r="AI2174" s="106">
        <v>30653.219732019468</v>
      </c>
      <c r="AJ2174" s="106">
        <v>32131.575076608784</v>
      </c>
      <c r="AK2174" s="104">
        <v>26568.065252658776</v>
      </c>
      <c r="AL2174" s="118">
        <v>78329815</v>
      </c>
      <c r="AM2174" s="118">
        <v>15107</v>
      </c>
      <c r="AN2174" s="118">
        <v>458725</v>
      </c>
      <c r="AO2174" s="118">
        <v>3430</v>
      </c>
      <c r="AP2174" s="118">
        <f t="shared" si="33"/>
        <v>1790</v>
      </c>
    </row>
    <row r="2175" spans="1:42" ht="12.75">
      <c r="A2175" s="106">
        <v>2018</v>
      </c>
      <c r="B2175" s="106">
        <v>-233374</v>
      </c>
      <c r="C2175" s="106">
        <v>0</v>
      </c>
      <c r="D2175" s="106">
        <v>233374</v>
      </c>
      <c r="E2175" s="106" t="s">
        <v>3310</v>
      </c>
      <c r="F2175" s="106" t="s">
        <v>3311</v>
      </c>
      <c r="G2175" s="106" t="s">
        <v>261</v>
      </c>
      <c r="H2175" s="106">
        <v>7</v>
      </c>
      <c r="I2175" s="106" t="s">
        <v>3641</v>
      </c>
      <c r="J2175" s="106">
        <v>50910</v>
      </c>
      <c r="K2175" s="106">
        <v>24634</v>
      </c>
      <c r="L2175" s="106">
        <v>9787</v>
      </c>
      <c r="M2175" s="106">
        <v>0.18</v>
      </c>
      <c r="N2175" s="106">
        <v>0.35</v>
      </c>
      <c r="O2175" s="106">
        <v>0.53</v>
      </c>
      <c r="P2175" s="106">
        <v>41462</v>
      </c>
      <c r="Q2175" s="106">
        <v>19981.46811070999</v>
      </c>
      <c r="R2175" s="106">
        <v>0.43302039326135711</v>
      </c>
      <c r="S2175" s="106">
        <v>50832.49097472924</v>
      </c>
      <c r="T2175" s="106">
        <v>71141.516245487364</v>
      </c>
      <c r="U2175" s="106">
        <v>55465.353890944374</v>
      </c>
      <c r="V2175" s="106">
        <v>0.47169871615461745</v>
      </c>
      <c r="W2175" s="106">
        <v>103383.96961822906</v>
      </c>
      <c r="X2175" s="110">
        <v>0.58326821000497309</v>
      </c>
      <c r="Y2175" s="106">
        <v>230.52785515320335</v>
      </c>
      <c r="Z2175" s="106">
        <v>8.6803621169916436</v>
      </c>
      <c r="AA2175" s="106">
        <v>184958.70418689717</v>
      </c>
      <c r="AB2175" s="106">
        <v>2088.5083774389091</v>
      </c>
      <c r="AC2175" s="106">
        <v>0.54066122727023402</v>
      </c>
      <c r="AD2175" s="106">
        <v>33.776091081593925</v>
      </c>
      <c r="AE2175" s="106">
        <v>88.56019261637239</v>
      </c>
      <c r="AF2175" s="106">
        <v>6.170158305420638E-2</v>
      </c>
      <c r="AG2175" s="106">
        <v>50910</v>
      </c>
      <c r="AH2175" s="106">
        <v>45950.902527075814</v>
      </c>
      <c r="AI2175" s="106">
        <v>50906.137184115527</v>
      </c>
      <c r="AJ2175" s="106">
        <v>108967.50902527076</v>
      </c>
      <c r="AK2175" s="104">
        <v>59022.382671480147</v>
      </c>
      <c r="AL2175" s="118"/>
      <c r="AM2175" s="118">
        <v>3265</v>
      </c>
      <c r="AN2175" s="118">
        <v>110346</v>
      </c>
      <c r="AO2175" s="118">
        <v>862</v>
      </c>
      <c r="AP2175" s="118">
        <f t="shared" si="33"/>
        <v>0</v>
      </c>
    </row>
    <row r="2176" spans="1:42" ht="12.75">
      <c r="A2176" s="106">
        <v>2018</v>
      </c>
      <c r="B2176" s="106">
        <v>-205203</v>
      </c>
      <c r="C2176" s="106">
        <v>0</v>
      </c>
      <c r="D2176" s="106">
        <v>205203</v>
      </c>
      <c r="E2176" s="106" t="s">
        <v>3312</v>
      </c>
      <c r="F2176" s="106" t="s">
        <v>3313</v>
      </c>
      <c r="G2176" s="106" t="s">
        <v>82</v>
      </c>
      <c r="H2176" s="106">
        <v>7</v>
      </c>
      <c r="I2176" s="106" t="s">
        <v>3641</v>
      </c>
      <c r="J2176" s="106">
        <v>26175</v>
      </c>
      <c r="K2176" s="106">
        <v>33320</v>
      </c>
      <c r="L2176" s="106">
        <v>34989</v>
      </c>
      <c r="M2176" s="106">
        <v>0.63</v>
      </c>
      <c r="N2176" s="106">
        <v>0.71</v>
      </c>
      <c r="O2176" s="106">
        <v>0.36</v>
      </c>
      <c r="P2176" s="106">
        <v>6225</v>
      </c>
      <c r="Q2176" s="106">
        <v>3640.2112211221124</v>
      </c>
      <c r="R2176" s="106">
        <v>0.45004236906392442</v>
      </c>
      <c r="S2176" s="106">
        <v>15368.017821782178</v>
      </c>
      <c r="T2176" s="106">
        <v>15451.036303630362</v>
      </c>
      <c r="U2176" s="106">
        <v>13181.643564356436</v>
      </c>
      <c r="V2176" s="106">
        <v>0.3374681963466547</v>
      </c>
      <c r="W2176" s="106">
        <v>59476.342776203965</v>
      </c>
      <c r="X2176" s="110">
        <v>0.5979397923473363</v>
      </c>
      <c r="Y2176" s="106">
        <v>379.65546218487395</v>
      </c>
      <c r="Z2176" s="106">
        <v>12.731092436974789</v>
      </c>
      <c r="AA2176" s="106">
        <v>42220.274841437633</v>
      </c>
      <c r="AB2176" s="106">
        <v>442.02372783815491</v>
      </c>
      <c r="AC2176" s="106">
        <v>2.3685302944038087</v>
      </c>
      <c r="AD2176" s="106">
        <v>31.617647058823529</v>
      </c>
      <c r="AE2176" s="106">
        <v>95.515856236786476</v>
      </c>
      <c r="AF2176" s="106">
        <v>3.3931202938648201E-2</v>
      </c>
      <c r="AG2176" s="106">
        <v>25545</v>
      </c>
      <c r="AH2176" s="106">
        <v>13918.621122112212</v>
      </c>
      <c r="AI2176" s="106">
        <v>15179.989438943894</v>
      </c>
      <c r="AJ2176" s="106">
        <v>15848.921452145214</v>
      </c>
      <c r="AK2176" s="104">
        <v>13181.643564356436</v>
      </c>
      <c r="AL2176" s="118"/>
      <c r="AM2176" s="118">
        <v>1753</v>
      </c>
      <c r="AN2176" s="118">
        <v>45179</v>
      </c>
      <c r="AO2176" s="118">
        <v>407</v>
      </c>
      <c r="AP2176" s="118">
        <f t="shared" si="33"/>
        <v>630</v>
      </c>
    </row>
    <row r="2177" spans="1:42" ht="12.75">
      <c r="A2177" s="106">
        <v>2018</v>
      </c>
      <c r="B2177" s="106">
        <v>-195030</v>
      </c>
      <c r="C2177" s="106">
        <v>0</v>
      </c>
      <c r="D2177" s="106">
        <v>195030</v>
      </c>
      <c r="E2177" s="106" t="s">
        <v>3314</v>
      </c>
      <c r="F2177" s="106" t="s">
        <v>1923</v>
      </c>
      <c r="G2177" s="106" t="s">
        <v>69</v>
      </c>
      <c r="H2177" s="106">
        <v>5</v>
      </c>
      <c r="I2177" s="106" t="s">
        <v>3639</v>
      </c>
      <c r="J2177" s="106">
        <v>52020</v>
      </c>
      <c r="K2177" s="106">
        <v>35452</v>
      </c>
      <c r="L2177" s="106">
        <v>16316</v>
      </c>
      <c r="M2177" s="106">
        <v>0.19</v>
      </c>
      <c r="N2177" s="106">
        <v>0.4</v>
      </c>
      <c r="O2177" s="106">
        <v>0.86</v>
      </c>
      <c r="P2177" s="106">
        <v>33539</v>
      </c>
      <c r="Q2177" s="106">
        <v>19142.545362048499</v>
      </c>
      <c r="R2177" s="106">
        <v>0.45668392797181012</v>
      </c>
      <c r="S2177" s="106">
        <v>362150.92419874511</v>
      </c>
      <c r="T2177" s="106">
        <v>364685.43327115482</v>
      </c>
      <c r="U2177" s="106">
        <v>47409.702836448312</v>
      </c>
      <c r="V2177" s="106">
        <v>0.480362698856728</v>
      </c>
      <c r="W2177" s="106">
        <v>304441.73470923788</v>
      </c>
      <c r="X2177" s="110">
        <v>0.59560942944828066</v>
      </c>
      <c r="Y2177" s="106">
        <v>114.19788918205803</v>
      </c>
      <c r="Z2177" s="106">
        <v>4.2434636603502041</v>
      </c>
      <c r="AA2177" s="106">
        <v>157329.77919332343</v>
      </c>
      <c r="AB2177" s="106">
        <v>1761.69062821941</v>
      </c>
      <c r="AC2177" s="106">
        <v>0.63560757863342687</v>
      </c>
      <c r="AD2177" s="106">
        <v>33.886346300533944</v>
      </c>
      <c r="AE2177" s="106">
        <v>89.306133933595945</v>
      </c>
      <c r="AF2177" s="106">
        <v>7.1132924496175753E-2</v>
      </c>
      <c r="AG2177" s="106">
        <v>51090</v>
      </c>
      <c r="AH2177" s="106">
        <v>344178.33474648127</v>
      </c>
      <c r="AI2177" s="106">
        <v>362150.90893674752</v>
      </c>
      <c r="AJ2177" s="106">
        <v>383095.04832965916</v>
      </c>
      <c r="AK2177" s="104">
        <v>81877.310496862818</v>
      </c>
      <c r="AL2177" s="118">
        <v>1217012</v>
      </c>
      <c r="AM2177" s="118">
        <v>6546</v>
      </c>
      <c r="AN2177" s="118">
        <v>317394</v>
      </c>
      <c r="AO2177" s="118">
        <v>1771</v>
      </c>
      <c r="AP2177" s="118">
        <f t="shared" si="33"/>
        <v>930</v>
      </c>
    </row>
    <row r="2178" spans="1:42" ht="12.75">
      <c r="A2178" s="106">
        <v>2018</v>
      </c>
      <c r="B2178" s="106">
        <v>-152336</v>
      </c>
      <c r="C2178" s="106">
        <v>0</v>
      </c>
      <c r="D2178" s="106">
        <v>152336</v>
      </c>
      <c r="E2178" s="106" t="s">
        <v>3315</v>
      </c>
      <c r="F2178" s="106" t="s">
        <v>1570</v>
      </c>
      <c r="G2178" s="106" t="s">
        <v>161</v>
      </c>
      <c r="H2178" s="106">
        <v>6</v>
      </c>
      <c r="I2178" s="106" t="s">
        <v>3640</v>
      </c>
      <c r="J2178" s="106">
        <v>29181</v>
      </c>
      <c r="K2178" s="106">
        <v>16544</v>
      </c>
      <c r="L2178" s="106">
        <v>14940</v>
      </c>
      <c r="M2178" s="106">
        <v>0.42</v>
      </c>
      <c r="N2178" s="106">
        <v>0.72</v>
      </c>
      <c r="O2178" s="106">
        <v>1</v>
      </c>
      <c r="P2178" s="106">
        <v>15856</v>
      </c>
      <c r="Q2178" s="106">
        <v>9259.7902064330301</v>
      </c>
      <c r="R2178" s="106">
        <v>0.35645141790584423</v>
      </c>
      <c r="S2178" s="106">
        <v>21000.445511281807</v>
      </c>
      <c r="T2178" s="106">
        <v>21517.526644263082</v>
      </c>
      <c r="U2178" s="106">
        <v>20034.132981277005</v>
      </c>
      <c r="V2178" s="106">
        <v>0.83447164906919902</v>
      </c>
      <c r="W2178" s="106">
        <v>67088.309226932673</v>
      </c>
      <c r="X2178" s="110">
        <v>0.60021880810891182</v>
      </c>
      <c r="Y2178" s="106">
        <v>320.58139534883719</v>
      </c>
      <c r="Z2178" s="106">
        <v>11.178890876565294</v>
      </c>
      <c r="AA2178" s="106">
        <v>59193.048226950355</v>
      </c>
      <c r="AB2178" s="106">
        <v>698.60381685778862</v>
      </c>
      <c r="AC2178" s="106">
        <v>1.6893875716045725</v>
      </c>
      <c r="AD2178" s="106">
        <v>36.0613810741688</v>
      </c>
      <c r="AE2178" s="106">
        <v>84.730496453900713</v>
      </c>
      <c r="AF2178" s="106">
        <v>8.4391987544620295E-3</v>
      </c>
      <c r="AG2178" s="106">
        <v>28141</v>
      </c>
      <c r="AH2178" s="106">
        <v>19264.002880460874</v>
      </c>
      <c r="AI2178" s="106">
        <v>21440.424867978876</v>
      </c>
      <c r="AJ2178" s="106">
        <v>21910.735957753241</v>
      </c>
      <c r="AK2178" s="104">
        <v>20034.132981277005</v>
      </c>
      <c r="AL2178" s="118"/>
      <c r="AM2178" s="118">
        <v>1906</v>
      </c>
      <c r="AN2178" s="118">
        <v>59735</v>
      </c>
      <c r="AO2178" s="118">
        <v>508</v>
      </c>
      <c r="AP2178" s="118">
        <f t="shared" si="33"/>
        <v>1040</v>
      </c>
    </row>
    <row r="2179" spans="1:42" ht="12.75">
      <c r="A2179" s="106">
        <v>2018</v>
      </c>
      <c r="B2179" s="106">
        <v>-130314</v>
      </c>
      <c r="C2179" s="106">
        <v>0</v>
      </c>
      <c r="D2179" s="106">
        <v>130314</v>
      </c>
      <c r="E2179" s="106" t="s">
        <v>3316</v>
      </c>
      <c r="F2179" s="106" t="s">
        <v>3184</v>
      </c>
      <c r="G2179" s="106" t="s">
        <v>99</v>
      </c>
      <c r="H2179" s="106">
        <v>6</v>
      </c>
      <c r="I2179" s="106" t="s">
        <v>3640</v>
      </c>
      <c r="J2179" s="106">
        <v>38033</v>
      </c>
      <c r="K2179" s="106">
        <v>25714</v>
      </c>
      <c r="L2179" s="106">
        <v>28164</v>
      </c>
      <c r="M2179" s="106">
        <v>0.42</v>
      </c>
      <c r="N2179" s="106">
        <v>0.82</v>
      </c>
      <c r="O2179" s="106">
        <v>0.98</v>
      </c>
      <c r="P2179" s="106">
        <v>20356</v>
      </c>
      <c r="Q2179" s="106">
        <v>5918.4089750127487</v>
      </c>
      <c r="R2179" s="106">
        <v>0.21039846270983648</v>
      </c>
      <c r="S2179" s="106">
        <v>34537.990821009691</v>
      </c>
      <c r="T2179" s="106">
        <v>32354.920958694544</v>
      </c>
      <c r="U2179" s="106">
        <v>20667.28705088389</v>
      </c>
      <c r="V2179" s="106">
        <v>1.074699196003309</v>
      </c>
      <c r="W2179" s="106">
        <v>68550.488599348537</v>
      </c>
      <c r="X2179" s="110">
        <v>0.66337788425167066</v>
      </c>
      <c r="Y2179" s="106">
        <v>222.05392156862746</v>
      </c>
      <c r="Z2179" s="106">
        <v>9.6127450980392162</v>
      </c>
      <c r="AA2179" s="106">
        <v>43625.995593954045</v>
      </c>
      <c r="AB2179" s="106">
        <v>894.68972619226258</v>
      </c>
      <c r="AC2179" s="106">
        <v>2.2922112982989118</v>
      </c>
      <c r="AD2179" s="106">
        <v>56.065178032589017</v>
      </c>
      <c r="AE2179" s="106">
        <v>48.761033369214211</v>
      </c>
      <c r="AF2179" s="106">
        <v>0.13147680756749877</v>
      </c>
      <c r="AG2179" s="106">
        <v>36273</v>
      </c>
      <c r="AH2179" s="106">
        <v>32674.655787863336</v>
      </c>
      <c r="AI2179" s="106">
        <v>35176.440591534934</v>
      </c>
      <c r="AJ2179" s="106">
        <v>35516.063233044362</v>
      </c>
      <c r="AK2179" s="104">
        <v>28468.638449770526</v>
      </c>
      <c r="AL2179" s="118">
        <v>507000</v>
      </c>
      <c r="AM2179" s="118">
        <v>810</v>
      </c>
      <c r="AN2179" s="118">
        <v>45299</v>
      </c>
      <c r="AO2179" s="118">
        <v>191</v>
      </c>
      <c r="AP2179" s="118">
        <f t="shared" si="33"/>
        <v>1760</v>
      </c>
    </row>
    <row r="2180" spans="1:42" ht="12.75">
      <c r="A2180" s="106">
        <v>2018</v>
      </c>
      <c r="B2180" s="106">
        <v>-155812</v>
      </c>
      <c r="C2180" s="106">
        <v>0</v>
      </c>
      <c r="D2180" s="106">
        <v>155812</v>
      </c>
      <c r="E2180" s="106" t="s">
        <v>3317</v>
      </c>
      <c r="F2180" s="106" t="s">
        <v>3318</v>
      </c>
      <c r="G2180" s="106" t="s">
        <v>129</v>
      </c>
      <c r="H2180" s="106">
        <v>6</v>
      </c>
      <c r="I2180" s="106" t="s">
        <v>3640</v>
      </c>
      <c r="J2180" s="106">
        <v>27720</v>
      </c>
      <c r="K2180" s="106">
        <v>20558</v>
      </c>
      <c r="L2180" s="106">
        <v>20797</v>
      </c>
      <c r="M2180" s="106">
        <v>0.4</v>
      </c>
      <c r="N2180" s="106">
        <v>0.84</v>
      </c>
      <c r="O2180" s="106">
        <v>0.99</v>
      </c>
      <c r="P2180" s="106">
        <v>16403</v>
      </c>
      <c r="Q2180" s="106">
        <v>7173.9652384801939</v>
      </c>
      <c r="R2180" s="106">
        <v>0.33604246629150447</v>
      </c>
      <c r="S2180" s="106">
        <v>21273.500404203718</v>
      </c>
      <c r="T2180" s="106">
        <v>20346.135812449473</v>
      </c>
      <c r="U2180" s="106">
        <v>16334.206952303961</v>
      </c>
      <c r="V2180" s="106">
        <v>0.86777543880070951</v>
      </c>
      <c r="W2180" s="106">
        <v>60883.657777777778</v>
      </c>
      <c r="X2180" s="110">
        <v>0.54429157940366746</v>
      </c>
      <c r="Y2180" s="106">
        <v>274.89665653495445</v>
      </c>
      <c r="Z2180" s="106">
        <v>11.279635258358663</v>
      </c>
      <c r="AA2180" s="106">
        <v>50895.249370277081</v>
      </c>
      <c r="AB2180" s="106">
        <v>670.22967459448705</v>
      </c>
      <c r="AC2180" s="106">
        <v>1.9648199240065065</v>
      </c>
      <c r="AD2180" s="106">
        <v>33.644067796610173</v>
      </c>
      <c r="AE2180" s="106">
        <v>75.937027707808568</v>
      </c>
      <c r="AF2180" s="106">
        <v>7.8055430812241255E-2</v>
      </c>
      <c r="AG2180" s="106">
        <v>26940</v>
      </c>
      <c r="AH2180" s="106">
        <v>16889.858528698463</v>
      </c>
      <c r="AI2180" s="106">
        <v>21273.500404203718</v>
      </c>
      <c r="AJ2180" s="106">
        <v>22779.278900565885</v>
      </c>
      <c r="AK2180" s="104">
        <v>16334.206952303961</v>
      </c>
      <c r="AL2180" s="118"/>
      <c r="AM2180" s="118">
        <v>748</v>
      </c>
      <c r="AN2180" s="118">
        <v>30147</v>
      </c>
      <c r="AO2180" s="118">
        <v>194</v>
      </c>
      <c r="AP2180" s="118">
        <f t="shared" si="33"/>
        <v>780</v>
      </c>
    </row>
    <row r="2181" spans="1:42" ht="12.75">
      <c r="A2181" s="106">
        <v>2018</v>
      </c>
      <c r="B2181" s="106">
        <v>-122436</v>
      </c>
      <c r="C2181" s="106">
        <v>0</v>
      </c>
      <c r="D2181" s="106">
        <v>122436</v>
      </c>
      <c r="E2181" s="106" t="s">
        <v>3319</v>
      </c>
      <c r="F2181" s="106" t="s">
        <v>2475</v>
      </c>
      <c r="G2181" s="106" t="s">
        <v>121</v>
      </c>
      <c r="H2181" s="106">
        <v>5</v>
      </c>
      <c r="I2181" s="106" t="s">
        <v>3639</v>
      </c>
      <c r="J2181" s="106">
        <v>47708</v>
      </c>
      <c r="K2181" s="106">
        <v>35931</v>
      </c>
      <c r="L2181" s="106">
        <v>21868</v>
      </c>
      <c r="M2181" s="106">
        <v>0.17</v>
      </c>
      <c r="N2181" s="106">
        <v>0.42</v>
      </c>
      <c r="O2181" s="106">
        <v>0.84</v>
      </c>
      <c r="P2181" s="106">
        <v>26738</v>
      </c>
      <c r="Q2181" s="106">
        <v>13348.759376803231</v>
      </c>
      <c r="R2181" s="106">
        <v>0.32389104971199922</v>
      </c>
      <c r="S2181" s="106">
        <v>43153.491055972299</v>
      </c>
      <c r="T2181" s="106">
        <v>37774.379688401619</v>
      </c>
      <c r="U2181" s="106">
        <v>30476.715482048297</v>
      </c>
      <c r="V2181" s="106">
        <v>0.91430370998742583</v>
      </c>
      <c r="W2181" s="106">
        <v>112642.56619144602</v>
      </c>
      <c r="X2181" s="110">
        <v>0.67589325267708478</v>
      </c>
      <c r="Y2181" s="106">
        <v>357.20893141945771</v>
      </c>
      <c r="Z2181" s="106">
        <v>13.819776714513557</v>
      </c>
      <c r="AA2181" s="106">
        <v>94993.071817247648</v>
      </c>
      <c r="AB2181" s="106">
        <v>1179.0897872569919</v>
      </c>
      <c r="AC2181" s="106">
        <v>1.0527083511141204</v>
      </c>
      <c r="AD2181" s="106">
        <v>35.070013876624195</v>
      </c>
      <c r="AE2181" s="106">
        <v>80.564748201438846</v>
      </c>
      <c r="AF2181" s="106">
        <v>0.10153216744823081</v>
      </c>
      <c r="AG2181" s="106">
        <v>47100</v>
      </c>
      <c r="AH2181" s="106">
        <v>35392.222158107332</v>
      </c>
      <c r="AI2181" s="106">
        <v>41389.567801500285</v>
      </c>
      <c r="AJ2181" s="106">
        <v>49683.32371609925</v>
      </c>
      <c r="AK2181" s="104">
        <v>32284.131563762261</v>
      </c>
      <c r="AL2181" s="118"/>
      <c r="AM2181" s="118">
        <v>5774</v>
      </c>
      <c r="AN2181" s="118">
        <v>223970</v>
      </c>
      <c r="AO2181" s="118">
        <v>1416</v>
      </c>
      <c r="AP2181" s="118">
        <f t="shared" si="33"/>
        <v>608</v>
      </c>
    </row>
    <row r="2182" spans="1:42" ht="12.75">
      <c r="A2182" s="106">
        <v>2018</v>
      </c>
      <c r="B2182" s="106">
        <v>-122612</v>
      </c>
      <c r="C2182" s="106">
        <v>0</v>
      </c>
      <c r="D2182" s="106">
        <v>122612</v>
      </c>
      <c r="E2182" s="106" t="s">
        <v>3320</v>
      </c>
      <c r="F2182" s="106" t="s">
        <v>530</v>
      </c>
      <c r="G2182" s="106" t="s">
        <v>121</v>
      </c>
      <c r="H2182" s="106">
        <v>5</v>
      </c>
      <c r="I2182" s="106" t="s">
        <v>3639</v>
      </c>
      <c r="J2182" s="106">
        <v>46250</v>
      </c>
      <c r="K2182" s="106">
        <v>34475</v>
      </c>
      <c r="L2182" s="106">
        <v>22576</v>
      </c>
      <c r="M2182" s="106">
        <v>0.33</v>
      </c>
      <c r="N2182" s="106">
        <v>0.6</v>
      </c>
      <c r="O2182" s="106">
        <v>0.83</v>
      </c>
      <c r="P2182" s="106">
        <v>26031</v>
      </c>
      <c r="Q2182" s="106">
        <v>11107.715244129706</v>
      </c>
      <c r="R2182" s="106">
        <v>0.29094423617619491</v>
      </c>
      <c r="S2182" s="106">
        <v>36511.181513231459</v>
      </c>
      <c r="T2182" s="106">
        <v>35352.40402534476</v>
      </c>
      <c r="U2182" s="106">
        <v>31268.201962025985</v>
      </c>
      <c r="V2182" s="106">
        <v>0.86574992595462263</v>
      </c>
      <c r="W2182" s="106">
        <v>139219.09353905497</v>
      </c>
      <c r="X2182" s="110">
        <v>0.63420066314885004</v>
      </c>
      <c r="Y2182" s="106">
        <v>384.35508550855087</v>
      </c>
      <c r="Z2182" s="106">
        <v>14.489648964896491</v>
      </c>
      <c r="AA2182" s="106">
        <v>98784.322477616384</v>
      </c>
      <c r="AB2182" s="106">
        <v>1178.7674660107098</v>
      </c>
      <c r="AC2182" s="106">
        <v>1.0123063811330899</v>
      </c>
      <c r="AD2182" s="106">
        <v>32.510288065843625</v>
      </c>
      <c r="AE2182" s="106">
        <v>83.803061524874892</v>
      </c>
      <c r="AF2182" s="106">
        <v>0.10590671490649171</v>
      </c>
      <c r="AG2182" s="106">
        <v>45760</v>
      </c>
      <c r="AH2182" s="106">
        <v>32071.841222512114</v>
      </c>
      <c r="AI2182" s="106">
        <v>35559.168840849794</v>
      </c>
      <c r="AJ2182" s="106">
        <v>42515.001863585538</v>
      </c>
      <c r="AK2182" s="104">
        <v>31999.627282892285</v>
      </c>
      <c r="AL2182" s="118"/>
      <c r="AM2182" s="118">
        <v>6845</v>
      </c>
      <c r="AN2182" s="118">
        <v>284679</v>
      </c>
      <c r="AO2182" s="118">
        <v>1669</v>
      </c>
      <c r="AP2182" s="118">
        <f t="shared" ref="AP2182:AP2245" si="34">J2182-AG2182</f>
        <v>490</v>
      </c>
    </row>
    <row r="2183" spans="1:42" ht="12.75">
      <c r="A2183" s="106">
        <v>2018</v>
      </c>
      <c r="B2183" s="106">
        <v>-207722</v>
      </c>
      <c r="C2183" s="106">
        <v>0</v>
      </c>
      <c r="D2183" s="106">
        <v>207722</v>
      </c>
      <c r="E2183" s="106" t="s">
        <v>3321</v>
      </c>
      <c r="F2183" s="106" t="s">
        <v>3322</v>
      </c>
      <c r="G2183" s="106" t="s">
        <v>271</v>
      </c>
      <c r="H2183" s="106">
        <v>3</v>
      </c>
      <c r="I2183" s="104" t="s">
        <v>26</v>
      </c>
      <c r="J2183" s="106">
        <v>7200</v>
      </c>
      <c r="K2183" s="106">
        <v>8729</v>
      </c>
      <c r="L2183" s="106">
        <v>6947</v>
      </c>
      <c r="M2183" s="106">
        <v>0.47</v>
      </c>
      <c r="N2183" s="106">
        <v>0.74</v>
      </c>
      <c r="O2183" s="106">
        <v>0.84</v>
      </c>
      <c r="P2183" s="106">
        <v>6207</v>
      </c>
      <c r="Q2183" s="106">
        <v>4584.489156626506</v>
      </c>
      <c r="R2183" s="106">
        <v>0.96897004823044686</v>
      </c>
      <c r="S2183" s="106">
        <v>20185.515662650603</v>
      </c>
      <c r="T2183" s="106">
        <v>22639.26265060241</v>
      </c>
      <c r="U2183" s="106">
        <v>13611.063449049359</v>
      </c>
      <c r="V2183" s="106">
        <v>1.0786229065960669E-2</v>
      </c>
      <c r="W2183" s="106">
        <v>68060.877419354845</v>
      </c>
      <c r="X2183" s="110">
        <v>0.56142128176084749</v>
      </c>
      <c r="Y2183" s="106">
        <v>488.13725490196077</v>
      </c>
      <c r="Z2183" s="106">
        <v>16.274509803921568</v>
      </c>
      <c r="AA2183" s="106">
        <v>76332.315288587619</v>
      </c>
      <c r="AB2183" s="106">
        <v>453.79323810849439</v>
      </c>
      <c r="AC2183" s="106">
        <v>1.3100611401859432</v>
      </c>
      <c r="AD2183" s="106">
        <v>18.734177215189874</v>
      </c>
      <c r="AE2183" s="106">
        <v>168.20945945945945</v>
      </c>
      <c r="AF2183" s="106">
        <v>-1.9457630419832155E-2</v>
      </c>
      <c r="AG2183" s="106">
        <v>6030</v>
      </c>
      <c r="AH2183" s="106">
        <v>18068.226506024097</v>
      </c>
      <c r="AI2183" s="106">
        <v>18068.226506024097</v>
      </c>
      <c r="AJ2183" s="106">
        <v>20185.515662650603</v>
      </c>
      <c r="AK2183" s="104">
        <v>17738.071084337349</v>
      </c>
      <c r="AL2183" s="118">
        <v>1815919</v>
      </c>
      <c r="AM2183" s="118">
        <v>882</v>
      </c>
      <c r="AN2183" s="118">
        <v>24895</v>
      </c>
      <c r="AO2183" s="118">
        <v>148</v>
      </c>
      <c r="AP2183" s="118">
        <f t="shared" si="34"/>
        <v>1170</v>
      </c>
    </row>
    <row r="2184" spans="1:42" ht="12.75">
      <c r="A2184" s="106">
        <v>2018</v>
      </c>
      <c r="B2184" s="106">
        <v>-215929</v>
      </c>
      <c r="C2184" s="106">
        <v>0</v>
      </c>
      <c r="D2184" s="106">
        <v>215929</v>
      </c>
      <c r="E2184" s="106" t="s">
        <v>3323</v>
      </c>
      <c r="F2184" s="106" t="s">
        <v>1911</v>
      </c>
      <c r="G2184" s="106" t="s">
        <v>104</v>
      </c>
      <c r="H2184" s="106">
        <v>6</v>
      </c>
      <c r="I2184" s="106" t="s">
        <v>3640</v>
      </c>
      <c r="J2184" s="106">
        <v>43310</v>
      </c>
      <c r="K2184" s="106">
        <v>36725</v>
      </c>
      <c r="L2184" s="106">
        <v>26172</v>
      </c>
      <c r="M2184" s="106">
        <v>0.19</v>
      </c>
      <c r="N2184" s="106">
        <v>0.7</v>
      </c>
      <c r="O2184" s="106">
        <v>0.94</v>
      </c>
      <c r="P2184" s="106">
        <v>21961</v>
      </c>
      <c r="Q2184" s="106">
        <v>13611.129427792916</v>
      </c>
      <c r="R2184" s="106">
        <v>0.38524776788130505</v>
      </c>
      <c r="S2184" s="106">
        <v>31843.640132347216</v>
      </c>
      <c r="T2184" s="106">
        <v>31408.032892175943</v>
      </c>
      <c r="U2184" s="106">
        <v>24338.554606890317</v>
      </c>
      <c r="V2184" s="106">
        <v>0.89239959327116214</v>
      </c>
      <c r="W2184" s="106">
        <v>105556.12910958903</v>
      </c>
      <c r="X2184" s="110">
        <v>0.63666388549569419</v>
      </c>
      <c r="Y2184" s="106">
        <v>432.08493427704752</v>
      </c>
      <c r="Z2184" s="106">
        <v>15.585439838220424</v>
      </c>
      <c r="AA2184" s="106">
        <v>82487.792592481826</v>
      </c>
      <c r="AB2184" s="106">
        <v>877.89933988235691</v>
      </c>
      <c r="AC2184" s="106">
        <v>1.2123005945138394</v>
      </c>
      <c r="AD2184" s="106">
        <v>32.728842832469773</v>
      </c>
      <c r="AE2184" s="106">
        <v>93.96042216358839</v>
      </c>
      <c r="AF2184" s="106">
        <v>3.9638738471621443E-2</v>
      </c>
      <c r="AG2184" s="106">
        <v>42910</v>
      </c>
      <c r="AH2184" s="106">
        <v>30365</v>
      </c>
      <c r="AI2184" s="106">
        <v>31909.206695212146</v>
      </c>
      <c r="AJ2184" s="106">
        <v>35061.711171662122</v>
      </c>
      <c r="AK2184" s="104">
        <v>24963.105877773454</v>
      </c>
      <c r="AL2184" s="118"/>
      <c r="AM2184" s="118">
        <v>3810</v>
      </c>
      <c r="AN2184" s="118">
        <v>142444</v>
      </c>
      <c r="AO2184" s="118">
        <v>902</v>
      </c>
      <c r="AP2184" s="118">
        <f t="shared" si="34"/>
        <v>400</v>
      </c>
    </row>
    <row r="2185" spans="1:42" ht="12.75">
      <c r="A2185" s="106">
        <v>2018</v>
      </c>
      <c r="B2185" s="106">
        <v>-219383</v>
      </c>
      <c r="C2185" s="106">
        <v>0</v>
      </c>
      <c r="D2185" s="106">
        <v>219383</v>
      </c>
      <c r="E2185" s="106" t="s">
        <v>3324</v>
      </c>
      <c r="F2185" s="106" t="s">
        <v>245</v>
      </c>
      <c r="G2185" s="106" t="s">
        <v>246</v>
      </c>
      <c r="H2185" s="106">
        <v>6</v>
      </c>
      <c r="I2185" s="106" t="s">
        <v>3640</v>
      </c>
      <c r="J2185" s="106">
        <v>27980</v>
      </c>
      <c r="K2185" s="106">
        <v>20627</v>
      </c>
      <c r="L2185" s="106">
        <v>18060</v>
      </c>
      <c r="M2185" s="106">
        <v>0.34</v>
      </c>
      <c r="N2185" s="106">
        <v>0.79</v>
      </c>
      <c r="O2185" s="106">
        <v>1</v>
      </c>
      <c r="P2185" s="106">
        <v>16850</v>
      </c>
      <c r="Q2185" s="106">
        <v>11131.125899280576</v>
      </c>
      <c r="R2185" s="106">
        <v>0.49286988260455866</v>
      </c>
      <c r="S2185" s="106">
        <v>19437.95251798561</v>
      </c>
      <c r="T2185" s="106">
        <v>19276.864028776978</v>
      </c>
      <c r="U2185" s="106">
        <v>16771.042897153609</v>
      </c>
      <c r="V2185" s="106">
        <v>0.68291420655666257</v>
      </c>
      <c r="W2185" s="106">
        <v>54506.572559366752</v>
      </c>
      <c r="X2185" s="110">
        <v>0.51397931415230269</v>
      </c>
      <c r="Y2185" s="106">
        <v>307.25</v>
      </c>
      <c r="Z2185" s="106">
        <v>10.530303030303031</v>
      </c>
      <c r="AA2185" s="106">
        <v>54339.74272038116</v>
      </c>
      <c r="AB2185" s="106">
        <v>574.78979281119211</v>
      </c>
      <c r="AC2185" s="106">
        <v>1.8402737111689171</v>
      </c>
      <c r="AD2185" s="106">
        <v>35.36685902720528</v>
      </c>
      <c r="AE2185" s="106">
        <v>94.538461538461533</v>
      </c>
      <c r="AF2185" s="106">
        <v>3.1982638062443135E-2</v>
      </c>
      <c r="AG2185" s="106">
        <v>27980</v>
      </c>
      <c r="AH2185" s="106">
        <v>16728.727338129498</v>
      </c>
      <c r="AI2185" s="106">
        <v>19557.533812949641</v>
      </c>
      <c r="AJ2185" s="106">
        <v>20573.436690647482</v>
      </c>
      <c r="AK2185" s="104">
        <v>16816.812949640287</v>
      </c>
      <c r="AL2185" s="118"/>
      <c r="AM2185" s="118">
        <v>1215</v>
      </c>
      <c r="AN2185" s="118">
        <v>40557</v>
      </c>
      <c r="AO2185" s="118">
        <v>280</v>
      </c>
      <c r="AP2185" s="118">
        <f t="shared" si="34"/>
        <v>0</v>
      </c>
    </row>
    <row r="2186" spans="1:42" ht="12.75">
      <c r="A2186" s="106">
        <v>2018</v>
      </c>
      <c r="B2186" s="106">
        <v>-102094</v>
      </c>
      <c r="C2186" s="106">
        <v>0</v>
      </c>
      <c r="D2186" s="106">
        <v>102094</v>
      </c>
      <c r="E2186" s="106" t="s">
        <v>3325</v>
      </c>
      <c r="F2186" s="106" t="s">
        <v>379</v>
      </c>
      <c r="G2186" s="106" t="s">
        <v>85</v>
      </c>
      <c r="H2186" s="106">
        <v>1</v>
      </c>
      <c r="I2186" s="106" t="s">
        <v>23</v>
      </c>
      <c r="J2186" s="106">
        <v>7812</v>
      </c>
      <c r="K2186" s="106">
        <v>12836</v>
      </c>
      <c r="L2186" s="106">
        <v>10941</v>
      </c>
      <c r="M2186" s="106">
        <v>0.42</v>
      </c>
      <c r="N2186" s="106">
        <v>0.61</v>
      </c>
      <c r="O2186" s="106">
        <v>0.68</v>
      </c>
      <c r="P2186" s="106">
        <v>5324</v>
      </c>
      <c r="Q2186" s="106">
        <v>1879.2190829724341</v>
      </c>
      <c r="R2186" s="106">
        <v>0.15946543466974666</v>
      </c>
      <c r="S2186" s="106">
        <v>55639.719529799957</v>
      </c>
      <c r="T2186" s="106">
        <v>58070.53000618684</v>
      </c>
      <c r="U2186" s="106">
        <v>17658.076725608782</v>
      </c>
      <c r="V2186" s="106">
        <v>0.56094855168597046</v>
      </c>
      <c r="W2186" s="106">
        <v>173691.04588061175</v>
      </c>
      <c r="X2186" s="110">
        <v>0.55570037123321403</v>
      </c>
      <c r="Y2186" s="106">
        <v>436.90082942661377</v>
      </c>
      <c r="Z2186" s="106">
        <v>15.737829065993509</v>
      </c>
      <c r="AA2186" s="106">
        <v>65763.451645527646</v>
      </c>
      <c r="AB2186" s="106">
        <v>636.07064675648144</v>
      </c>
      <c r="AC2186" s="106">
        <v>1.5206014510766737</v>
      </c>
      <c r="AD2186" s="106">
        <v>28.257252405411272</v>
      </c>
      <c r="AE2186" s="106">
        <v>103.39016897081413</v>
      </c>
      <c r="AF2186" s="106">
        <v>-2.7612774105688458E-3</v>
      </c>
      <c r="AG2186" s="106">
        <v>7512</v>
      </c>
      <c r="AH2186" s="106">
        <v>54066.199216333262</v>
      </c>
      <c r="AI2186" s="106">
        <v>54818.794253110609</v>
      </c>
      <c r="AJ2186" s="106">
        <v>56867.257853853029</v>
      </c>
      <c r="AK2186" s="104">
        <v>22675.671959854266</v>
      </c>
      <c r="AL2186" s="118">
        <v>108268000</v>
      </c>
      <c r="AM2186" s="118">
        <v>10988</v>
      </c>
      <c r="AN2186" s="118">
        <v>403842</v>
      </c>
      <c r="AO2186" s="118">
        <v>2080</v>
      </c>
      <c r="AP2186" s="118">
        <f t="shared" si="34"/>
        <v>300</v>
      </c>
    </row>
    <row r="2187" spans="1:42" ht="12.75">
      <c r="A2187" s="106">
        <v>2018</v>
      </c>
      <c r="B2187" s="106">
        <v>-218645</v>
      </c>
      <c r="C2187" s="106">
        <v>0</v>
      </c>
      <c r="D2187" s="106">
        <v>218645</v>
      </c>
      <c r="E2187" s="106" t="s">
        <v>3326</v>
      </c>
      <c r="F2187" s="106" t="s">
        <v>3327</v>
      </c>
      <c r="G2187" s="106" t="s">
        <v>79</v>
      </c>
      <c r="H2187" s="106">
        <v>3</v>
      </c>
      <c r="I2187" s="104" t="s">
        <v>26</v>
      </c>
      <c r="J2187" s="106">
        <v>10502</v>
      </c>
      <c r="K2187" s="106">
        <v>15048</v>
      </c>
      <c r="L2187" s="106">
        <v>12465</v>
      </c>
      <c r="M2187" s="106">
        <v>0.46</v>
      </c>
      <c r="N2187" s="106">
        <v>0.6</v>
      </c>
      <c r="O2187" s="106">
        <v>0.22</v>
      </c>
      <c r="P2187" s="106">
        <v>2534</v>
      </c>
      <c r="Q2187" s="106">
        <v>1174.3037772087068</v>
      </c>
      <c r="R2187" s="106">
        <v>0.10355140948780749</v>
      </c>
      <c r="S2187" s="106">
        <v>17067.601152368759</v>
      </c>
      <c r="T2187" s="106">
        <v>17049.540012804096</v>
      </c>
      <c r="U2187" s="106">
        <v>12557.360283852193</v>
      </c>
      <c r="V2187" s="106">
        <v>0.80956453969263242</v>
      </c>
      <c r="W2187" s="106">
        <v>81067.123515439423</v>
      </c>
      <c r="X2187" s="110">
        <v>0.64077147105567922</v>
      </c>
      <c r="Y2187" s="106">
        <v>457.42364532019707</v>
      </c>
      <c r="Z2187" s="106">
        <v>15.389162561576354</v>
      </c>
      <c r="AA2187" s="106">
        <v>70303.214205652781</v>
      </c>
      <c r="AB2187" s="106">
        <v>422.46888793256568</v>
      </c>
      <c r="AC2187" s="106">
        <v>1.422410072283145</v>
      </c>
      <c r="AD2187" s="106">
        <v>18.349227227885564</v>
      </c>
      <c r="AE2187" s="106">
        <v>166.41039426523298</v>
      </c>
      <c r="AF2187" s="106">
        <v>3.4818303070037339E-2</v>
      </c>
      <c r="AG2187" s="106">
        <v>10164</v>
      </c>
      <c r="AH2187" s="106">
        <v>18576.442061459667</v>
      </c>
      <c r="AI2187" s="106">
        <v>19009.515364916773</v>
      </c>
      <c r="AJ2187" s="106">
        <v>17084.204545454544</v>
      </c>
      <c r="AK2187" s="104">
        <v>15095.034571062741</v>
      </c>
      <c r="AL2187" s="118">
        <v>8277419</v>
      </c>
      <c r="AM2187" s="118">
        <v>3354</v>
      </c>
      <c r="AN2187" s="118">
        <v>92857</v>
      </c>
      <c r="AO2187" s="118">
        <v>538</v>
      </c>
      <c r="AP2187" s="118">
        <f t="shared" si="34"/>
        <v>338</v>
      </c>
    </row>
    <row r="2188" spans="1:42" ht="12.75">
      <c r="A2188" s="106">
        <v>2018</v>
      </c>
      <c r="B2188" s="106">
        <v>-218654</v>
      </c>
      <c r="C2188" s="106">
        <v>0</v>
      </c>
      <c r="D2188" s="106">
        <v>218654</v>
      </c>
      <c r="E2188" s="106" t="s">
        <v>3328</v>
      </c>
      <c r="F2188" s="106" t="s">
        <v>415</v>
      </c>
      <c r="G2188" s="106" t="s">
        <v>79</v>
      </c>
      <c r="H2188" s="106">
        <v>3</v>
      </c>
      <c r="I2188" s="104" t="s">
        <v>26</v>
      </c>
      <c r="J2188" s="106">
        <v>10472</v>
      </c>
      <c r="K2188" s="106">
        <v>16685</v>
      </c>
      <c r="L2188" s="106">
        <v>13770</v>
      </c>
      <c r="M2188" s="106">
        <v>0.44</v>
      </c>
      <c r="N2188" s="106">
        <v>0.71</v>
      </c>
      <c r="O2188" s="106">
        <v>0.38</v>
      </c>
      <c r="P2188" s="106">
        <v>2053</v>
      </c>
      <c r="Q2188" s="106">
        <v>1539.2159264931088</v>
      </c>
      <c r="R2188" s="106">
        <v>0.12950079650537455</v>
      </c>
      <c r="S2188" s="106">
        <v>15160.182235834609</v>
      </c>
      <c r="T2188" s="106">
        <v>16404.256253190404</v>
      </c>
      <c r="U2188" s="106">
        <v>13987.87144217644</v>
      </c>
      <c r="V2188" s="106">
        <v>0.73967996357904242</v>
      </c>
      <c r="W2188" s="106">
        <v>85694.355498721226</v>
      </c>
      <c r="X2188" s="110">
        <v>0.69509911302417871</v>
      </c>
      <c r="Y2188" s="106">
        <v>514.12827988338199</v>
      </c>
      <c r="Z2188" s="106">
        <v>17.134110787172013</v>
      </c>
      <c r="AA2188" s="106">
        <v>85100.124705663489</v>
      </c>
      <c r="AB2188" s="106">
        <v>466.16719667965782</v>
      </c>
      <c r="AC2188" s="106">
        <v>1.1750864096365408</v>
      </c>
      <c r="AD2188" s="106">
        <v>16.858638743455497</v>
      </c>
      <c r="AE2188" s="106">
        <v>182.55279503105589</v>
      </c>
      <c r="AF2188" s="106">
        <v>0.51402863089660977</v>
      </c>
      <c r="AG2188" s="106">
        <v>10086</v>
      </c>
      <c r="AH2188" s="106">
        <v>15561.675344563553</v>
      </c>
      <c r="AI2188" s="106">
        <v>16773.182746299131</v>
      </c>
      <c r="AJ2188" s="106">
        <v>15174.148034711587</v>
      </c>
      <c r="AK2188" s="104">
        <v>15926.616641143441</v>
      </c>
      <c r="AL2188" s="118">
        <v>3682059</v>
      </c>
      <c r="AM2188" s="118">
        <v>2077</v>
      </c>
      <c r="AN2188" s="118">
        <v>58782</v>
      </c>
      <c r="AO2188" s="118">
        <v>322</v>
      </c>
      <c r="AP2188" s="118">
        <f t="shared" si="34"/>
        <v>386</v>
      </c>
    </row>
    <row r="2189" spans="1:42" ht="12.75">
      <c r="A2189" s="106">
        <v>2018</v>
      </c>
      <c r="B2189" s="106">
        <v>-218663</v>
      </c>
      <c r="C2189" s="106">
        <v>0</v>
      </c>
      <c r="D2189" s="106">
        <v>218663</v>
      </c>
      <c r="E2189" s="106" t="s">
        <v>3329</v>
      </c>
      <c r="F2189" s="106" t="s">
        <v>131</v>
      </c>
      <c r="G2189" s="106" t="s">
        <v>79</v>
      </c>
      <c r="H2189" s="106">
        <v>1</v>
      </c>
      <c r="I2189" s="106" t="s">
        <v>23</v>
      </c>
      <c r="J2189" s="106">
        <v>11862</v>
      </c>
      <c r="K2189" s="106">
        <v>20181</v>
      </c>
      <c r="L2189" s="106">
        <v>10819</v>
      </c>
      <c r="M2189" s="106">
        <v>0.19</v>
      </c>
      <c r="N2189" s="106">
        <v>0.49</v>
      </c>
      <c r="O2189" s="106">
        <v>0.63</v>
      </c>
      <c r="P2189" s="106">
        <v>3206</v>
      </c>
      <c r="Q2189" s="106">
        <v>4927.3376218544545</v>
      </c>
      <c r="R2189" s="106">
        <v>0.24154203043613212</v>
      </c>
      <c r="S2189" s="106">
        <v>32423.71548401723</v>
      </c>
      <c r="T2189" s="106">
        <v>31560.056166402177</v>
      </c>
      <c r="U2189" s="106">
        <v>17177.856707049887</v>
      </c>
      <c r="V2189" s="106">
        <v>0.9007041254353062</v>
      </c>
      <c r="W2189" s="106">
        <v>110479.25258206361</v>
      </c>
      <c r="X2189" s="110">
        <v>0.64672418521678232</v>
      </c>
      <c r="Y2189" s="106">
        <v>454.80796019900498</v>
      </c>
      <c r="Z2189" s="106">
        <v>17.556218905472637</v>
      </c>
      <c r="AA2189" s="106">
        <v>68278.013908355075</v>
      </c>
      <c r="AB2189" s="106">
        <v>663.08912566932895</v>
      </c>
      <c r="AC2189" s="106">
        <v>1.4646003050736536</v>
      </c>
      <c r="AD2189" s="106">
        <v>27.365760434005303</v>
      </c>
      <c r="AE2189" s="106">
        <v>102.96958774498761</v>
      </c>
      <c r="AF2189" s="106">
        <v>7.7786102926168402E-2</v>
      </c>
      <c r="AG2189" s="106">
        <v>11462</v>
      </c>
      <c r="AH2189" s="106">
        <v>32291.442530038541</v>
      </c>
      <c r="AI2189" s="106">
        <v>33696.589067104964</v>
      </c>
      <c r="AJ2189" s="106">
        <v>32536.275589435503</v>
      </c>
      <c r="AK2189" s="104">
        <v>25457.11525164362</v>
      </c>
      <c r="AL2189" s="118">
        <v>131675157</v>
      </c>
      <c r="AM2189" s="118">
        <v>26362</v>
      </c>
      <c r="AN2189" s="118">
        <v>914164</v>
      </c>
      <c r="AO2189" s="118">
        <v>5859</v>
      </c>
      <c r="AP2189" s="118">
        <f t="shared" si="34"/>
        <v>400</v>
      </c>
    </row>
    <row r="2190" spans="1:42" ht="12.75">
      <c r="A2190" s="106">
        <v>2018</v>
      </c>
      <c r="B2190" s="106">
        <v>-218672</v>
      </c>
      <c r="C2190" s="106">
        <v>0</v>
      </c>
      <c r="D2190" s="106">
        <v>218672</v>
      </c>
      <c r="E2190" s="106" t="s">
        <v>3330</v>
      </c>
      <c r="F2190" s="106" t="s">
        <v>177</v>
      </c>
      <c r="G2190" s="106" t="s">
        <v>79</v>
      </c>
      <c r="H2190" s="106">
        <v>4</v>
      </c>
      <c r="I2190" s="106" t="s">
        <v>24</v>
      </c>
      <c r="J2190" s="106">
        <v>6948</v>
      </c>
      <c r="K2190" s="106">
        <v>8516</v>
      </c>
      <c r="L2190" s="106">
        <v>5894</v>
      </c>
      <c r="M2190" s="106">
        <v>0.52</v>
      </c>
      <c r="N2190" s="106">
        <v>0.4</v>
      </c>
      <c r="O2190" s="106">
        <v>0.31</v>
      </c>
      <c r="P2190" s="106">
        <v>1254</v>
      </c>
      <c r="Q2190" s="106">
        <v>423.17068811438787</v>
      </c>
      <c r="R2190" s="106">
        <v>5.969118226176244E-2</v>
      </c>
      <c r="S2190" s="106">
        <v>11969.571939231457</v>
      </c>
      <c r="T2190" s="106">
        <v>13394.954423592493</v>
      </c>
      <c r="U2190" s="106">
        <v>11490.453672163301</v>
      </c>
      <c r="V2190" s="106">
        <v>0.58014790672437488</v>
      </c>
      <c r="W2190" s="106">
        <v>78901.487999999998</v>
      </c>
      <c r="X2190" s="110">
        <v>0.65799694895320915</v>
      </c>
      <c r="Y2190" s="106">
        <v>529.84736842105258</v>
      </c>
      <c r="Z2190" s="106">
        <v>17.668421052631579</v>
      </c>
      <c r="AA2190" s="106">
        <v>89290.400410768983</v>
      </c>
      <c r="AB2190" s="106">
        <v>383.16350267159561</v>
      </c>
      <c r="AC2190" s="106">
        <v>1.1199412203323411</v>
      </c>
      <c r="AD2190" s="106">
        <v>13.186813186813188</v>
      </c>
      <c r="AE2190" s="106">
        <v>233.03472222222223</v>
      </c>
      <c r="AF2190" s="106">
        <v>0.46954692327952258</v>
      </c>
      <c r="AG2190" s="106">
        <v>6548</v>
      </c>
      <c r="AH2190" s="106">
        <v>12762.487935656836</v>
      </c>
      <c r="AI2190" s="106">
        <v>13888.471849865951</v>
      </c>
      <c r="AJ2190" s="106">
        <v>11974.278820375335</v>
      </c>
      <c r="AK2190" s="104">
        <v>12815.951742627345</v>
      </c>
      <c r="AL2190" s="118">
        <v>2456070</v>
      </c>
      <c r="AM2190" s="118">
        <v>1910</v>
      </c>
      <c r="AN2190" s="118">
        <v>33557</v>
      </c>
      <c r="AO2190" s="118">
        <v>144</v>
      </c>
      <c r="AP2190" s="118">
        <f t="shared" si="34"/>
        <v>400</v>
      </c>
    </row>
    <row r="2191" spans="1:42" ht="12.75">
      <c r="A2191" s="106">
        <v>2018</v>
      </c>
      <c r="B2191" s="106">
        <v>-218681</v>
      </c>
      <c r="C2191" s="106">
        <v>0</v>
      </c>
      <c r="D2191" s="106">
        <v>218681</v>
      </c>
      <c r="E2191" s="106" t="s">
        <v>3331</v>
      </c>
      <c r="F2191" s="106" t="s">
        <v>1376</v>
      </c>
      <c r="G2191" s="106" t="s">
        <v>79</v>
      </c>
      <c r="H2191" s="106">
        <v>4</v>
      </c>
      <c r="I2191" s="106" t="s">
        <v>24</v>
      </c>
      <c r="J2191" s="106">
        <v>6948</v>
      </c>
      <c r="K2191" s="106">
        <v>12164</v>
      </c>
      <c r="L2191" s="106">
        <v>10700</v>
      </c>
      <c r="M2191" s="106">
        <v>0.69</v>
      </c>
      <c r="N2191" s="106">
        <v>0.56999999999999995</v>
      </c>
      <c r="O2191" s="106">
        <v>0.23</v>
      </c>
      <c r="P2191" s="106">
        <v>1082</v>
      </c>
      <c r="Q2191" s="106">
        <v>655.68803418803418</v>
      </c>
      <c r="R2191" s="106">
        <v>8.8158942091928788E-2</v>
      </c>
      <c r="S2191" s="106">
        <v>12358.545584045583</v>
      </c>
      <c r="T2191" s="106">
        <v>12748.602564102564</v>
      </c>
      <c r="U2191" s="106">
        <v>9974.2210386108345</v>
      </c>
      <c r="V2191" s="106">
        <v>0.67994070826441888</v>
      </c>
      <c r="W2191" s="106">
        <v>75117.939130434781</v>
      </c>
      <c r="X2191" s="110">
        <v>0.64350296367883009</v>
      </c>
      <c r="Y2191" s="106">
        <v>658.46875</v>
      </c>
      <c r="Z2191" s="106">
        <v>21.9375</v>
      </c>
      <c r="AA2191" s="106">
        <v>37047.106714840236</v>
      </c>
      <c r="AB2191" s="106">
        <v>332.30046837382207</v>
      </c>
      <c r="AC2191" s="106">
        <v>2.6992661200163912</v>
      </c>
      <c r="AD2191" s="106">
        <v>27.551020408163261</v>
      </c>
      <c r="AE2191" s="106">
        <v>111.48677248677248</v>
      </c>
      <c r="AF2191" s="106">
        <v>3.295596073797398E-2</v>
      </c>
      <c r="AG2191" s="106">
        <v>6548</v>
      </c>
      <c r="AH2191" s="106">
        <v>13802.222222222223</v>
      </c>
      <c r="AI2191" s="106">
        <v>13818.38603988604</v>
      </c>
      <c r="AJ2191" s="106">
        <v>12367.985754985755</v>
      </c>
      <c r="AK2191" s="104">
        <v>11804.921652421652</v>
      </c>
      <c r="AL2191" s="118">
        <v>1826338</v>
      </c>
      <c r="AM2191" s="118">
        <v>1011</v>
      </c>
      <c r="AN2191" s="118">
        <v>21071</v>
      </c>
      <c r="AO2191" s="118">
        <v>189</v>
      </c>
      <c r="AP2191" s="118">
        <f t="shared" si="34"/>
        <v>400</v>
      </c>
    </row>
    <row r="2192" spans="1:42" ht="12.75">
      <c r="A2192" s="106">
        <v>2018</v>
      </c>
      <c r="B2192" s="106">
        <v>-218690</v>
      </c>
      <c r="C2192" s="106">
        <v>0</v>
      </c>
      <c r="D2192" s="106">
        <v>218690</v>
      </c>
      <c r="E2192" s="106" t="s">
        <v>3332</v>
      </c>
      <c r="F2192" s="106" t="s">
        <v>655</v>
      </c>
      <c r="G2192" s="106" t="s">
        <v>79</v>
      </c>
      <c r="H2192" s="106">
        <v>4</v>
      </c>
      <c r="I2192" s="106" t="s">
        <v>24</v>
      </c>
      <c r="J2192" s="106">
        <v>6948</v>
      </c>
      <c r="K2192" s="106">
        <v>10505</v>
      </c>
      <c r="L2192" s="106">
        <v>8174</v>
      </c>
      <c r="M2192" s="106">
        <v>0.49</v>
      </c>
      <c r="N2192" s="106">
        <v>0.31</v>
      </c>
      <c r="O2192" s="106">
        <v>0.35</v>
      </c>
      <c r="P2192" s="106">
        <v>1192</v>
      </c>
      <c r="Q2192" s="106">
        <v>836.08176943699732</v>
      </c>
      <c r="R2192" s="106">
        <v>0.1070926837275411</v>
      </c>
      <c r="S2192" s="106">
        <v>14642.652815013405</v>
      </c>
      <c r="T2192" s="106">
        <v>15128.115281501341</v>
      </c>
      <c r="U2192" s="106">
        <v>13143.409688513915</v>
      </c>
      <c r="V2192" s="106">
        <v>0.53038018190513481</v>
      </c>
      <c r="W2192" s="106">
        <v>80198.916996047439</v>
      </c>
      <c r="X2192" s="110">
        <v>0.59929977863775474</v>
      </c>
      <c r="Y2192" s="106">
        <v>545.63414634146341</v>
      </c>
      <c r="Z2192" s="106">
        <v>18.195121951219512</v>
      </c>
      <c r="AA2192" s="106">
        <v>67620.576742285382</v>
      </c>
      <c r="AB2192" s="106">
        <v>438.28991228069293</v>
      </c>
      <c r="AC2192" s="106">
        <v>1.4788397972575511</v>
      </c>
      <c r="AD2192" s="106">
        <v>19.917582417582416</v>
      </c>
      <c r="AE2192" s="106">
        <v>154.28275862068966</v>
      </c>
      <c r="AF2192" s="106">
        <v>-5.0579582755352903E-2</v>
      </c>
      <c r="AG2192" s="106">
        <v>6548</v>
      </c>
      <c r="AH2192" s="106">
        <v>15490.315013404826</v>
      </c>
      <c r="AI2192" s="106">
        <v>16430.916890080429</v>
      </c>
      <c r="AJ2192" s="106">
        <v>14668.387399463807</v>
      </c>
      <c r="AK2192" s="104">
        <v>14070.349865951743</v>
      </c>
      <c r="AL2192" s="118">
        <v>3139573</v>
      </c>
      <c r="AM2192" s="118">
        <v>1002</v>
      </c>
      <c r="AN2192" s="118">
        <v>22371</v>
      </c>
      <c r="AO2192" s="118">
        <v>145</v>
      </c>
      <c r="AP2192" s="118">
        <f t="shared" si="34"/>
        <v>400</v>
      </c>
    </row>
    <row r="2193" spans="1:42" ht="12.75">
      <c r="A2193" s="106">
        <v>2018</v>
      </c>
      <c r="B2193" s="106">
        <v>-218706</v>
      </c>
      <c r="C2193" s="106">
        <v>0</v>
      </c>
      <c r="D2193" s="106">
        <v>218706</v>
      </c>
      <c r="E2193" s="106" t="s">
        <v>3333</v>
      </c>
      <c r="F2193" s="106" t="s">
        <v>1084</v>
      </c>
      <c r="G2193" s="106" t="s">
        <v>79</v>
      </c>
      <c r="H2193" s="106">
        <v>4</v>
      </c>
      <c r="I2193" s="106" t="s">
        <v>24</v>
      </c>
      <c r="J2193" s="106">
        <v>6948</v>
      </c>
      <c r="K2193" s="106">
        <v>11096</v>
      </c>
      <c r="L2193" s="106">
        <v>9509</v>
      </c>
      <c r="M2193" s="106">
        <v>0.65</v>
      </c>
      <c r="N2193" s="106">
        <v>0.56999999999999995</v>
      </c>
      <c r="O2193" s="106">
        <v>0.32</v>
      </c>
      <c r="P2193" s="106">
        <v>1037</v>
      </c>
      <c r="Q2193" s="106">
        <v>467.54821428571427</v>
      </c>
      <c r="R2193" s="106">
        <v>7.6971968100790544E-2</v>
      </c>
      <c r="S2193" s="106">
        <v>9139.2535714285714</v>
      </c>
      <c r="T2193" s="106">
        <v>11128.816071428571</v>
      </c>
      <c r="U2193" s="106">
        <v>9185.6999680079171</v>
      </c>
      <c r="V2193" s="106">
        <v>0.61037459057774712</v>
      </c>
      <c r="W2193" s="106">
        <v>80827.429530201334</v>
      </c>
      <c r="X2193" s="110">
        <v>0.64414967129252776</v>
      </c>
      <c r="Y2193" s="106">
        <v>741.48529411764719</v>
      </c>
      <c r="Z2193" s="106">
        <v>24.705882352941178</v>
      </c>
      <c r="AA2193" s="106">
        <v>81650.666382292591</v>
      </c>
      <c r="AB2193" s="106">
        <v>306.06247290322091</v>
      </c>
      <c r="AC2193" s="106">
        <v>1.2247297472355569</v>
      </c>
      <c r="AD2193" s="106">
        <v>12.549800796812749</v>
      </c>
      <c r="AE2193" s="106">
        <v>266.77777777777777</v>
      </c>
      <c r="AF2193" s="106">
        <v>0.49054288084620967</v>
      </c>
      <c r="AG2193" s="106">
        <v>6548</v>
      </c>
      <c r="AH2193" s="106">
        <v>11050.335714285715</v>
      </c>
      <c r="AI2193" s="106">
        <v>11160.121428571429</v>
      </c>
      <c r="AJ2193" s="106">
        <v>9149.5874999999996</v>
      </c>
      <c r="AK2193" s="104">
        <v>10392.667857142857</v>
      </c>
      <c r="AL2193" s="119">
        <v>881195</v>
      </c>
      <c r="AM2193" s="118">
        <v>903</v>
      </c>
      <c r="AN2193" s="118">
        <v>16807</v>
      </c>
      <c r="AO2193" s="118">
        <v>63</v>
      </c>
      <c r="AP2193" s="118">
        <f t="shared" si="34"/>
        <v>400</v>
      </c>
    </row>
    <row r="2194" spans="1:42" ht="12.75">
      <c r="A2194" s="106">
        <v>2018</v>
      </c>
      <c r="B2194" s="106">
        <v>-218742</v>
      </c>
      <c r="C2194" s="106">
        <v>0</v>
      </c>
      <c r="D2194" s="106">
        <v>218742</v>
      </c>
      <c r="E2194" s="106" t="s">
        <v>3334</v>
      </c>
      <c r="F2194" s="106" t="s">
        <v>935</v>
      </c>
      <c r="G2194" s="106" t="s">
        <v>79</v>
      </c>
      <c r="H2194" s="106">
        <v>3</v>
      </c>
      <c r="I2194" s="104" t="s">
        <v>26</v>
      </c>
      <c r="J2194" s="106">
        <v>11520</v>
      </c>
      <c r="K2194" s="106">
        <v>15528</v>
      </c>
      <c r="L2194" s="106">
        <v>12654</v>
      </c>
      <c r="M2194" s="106">
        <v>0.55000000000000004</v>
      </c>
      <c r="N2194" s="106">
        <v>0.73</v>
      </c>
      <c r="O2194" s="106">
        <v>0.16</v>
      </c>
      <c r="P2194" s="106">
        <v>4047</v>
      </c>
      <c r="Q2194" s="106">
        <v>899.69121813031165</v>
      </c>
      <c r="R2194" s="106">
        <v>7.6493133607377264E-2</v>
      </c>
      <c r="S2194" s="106">
        <v>15875.482908404156</v>
      </c>
      <c r="T2194" s="106">
        <v>15507.406798866856</v>
      </c>
      <c r="U2194" s="106">
        <v>12978.163177105083</v>
      </c>
      <c r="V2194" s="106">
        <v>0.83694694280744653</v>
      </c>
      <c r="W2194" s="106">
        <v>81147.199602780529</v>
      </c>
      <c r="X2194" s="110">
        <v>0.66344756465273858</v>
      </c>
      <c r="Y2194" s="106">
        <v>514.69848156182218</v>
      </c>
      <c r="Z2194" s="106">
        <v>17.228850325379611</v>
      </c>
      <c r="AA2194" s="106">
        <v>53312.15983147511</v>
      </c>
      <c r="AB2194" s="106">
        <v>434.4268321876512</v>
      </c>
      <c r="AC2194" s="106">
        <v>1.8757446765636521</v>
      </c>
      <c r="AD2194" s="106">
        <v>25.029126213592235</v>
      </c>
      <c r="AE2194" s="106">
        <v>122.71838634600465</v>
      </c>
      <c r="AF2194" s="106">
        <v>-0.51852553233850196</v>
      </c>
      <c r="AG2194" s="106">
        <v>11040</v>
      </c>
      <c r="AH2194" s="106">
        <v>17818.90538243626</v>
      </c>
      <c r="AI2194" s="106">
        <v>17851.723135033051</v>
      </c>
      <c r="AJ2194" s="106">
        <v>15898.668932955619</v>
      </c>
      <c r="AK2194" s="104">
        <v>13733.497261567516</v>
      </c>
      <c r="AL2194" s="119">
        <v>11432697</v>
      </c>
      <c r="AM2194" s="118">
        <v>5775</v>
      </c>
      <c r="AN2194" s="118">
        <v>158184</v>
      </c>
      <c r="AO2194" s="118">
        <v>1269</v>
      </c>
      <c r="AP2194" s="118">
        <f t="shared" si="34"/>
        <v>480</v>
      </c>
    </row>
    <row r="2195" spans="1:42" ht="12.75">
      <c r="A2195" s="106">
        <v>2018</v>
      </c>
      <c r="B2195" s="106">
        <v>-219471</v>
      </c>
      <c r="C2195" s="106">
        <v>0</v>
      </c>
      <c r="D2195" s="106">
        <v>219471</v>
      </c>
      <c r="E2195" s="106" t="s">
        <v>3335</v>
      </c>
      <c r="F2195" s="106" t="s">
        <v>3336</v>
      </c>
      <c r="G2195" s="106" t="s">
        <v>246</v>
      </c>
      <c r="H2195" s="106">
        <v>1</v>
      </c>
      <c r="I2195" s="106" t="s">
        <v>23</v>
      </c>
      <c r="J2195" s="106">
        <v>8772</v>
      </c>
      <c r="K2195" s="106">
        <v>17354</v>
      </c>
      <c r="L2195" s="106">
        <v>14405</v>
      </c>
      <c r="M2195" s="106">
        <v>0.28000000000000003</v>
      </c>
      <c r="N2195" s="106">
        <v>0.7</v>
      </c>
      <c r="O2195" s="106">
        <v>0.63</v>
      </c>
      <c r="P2195" s="106">
        <v>3425</v>
      </c>
      <c r="Q2195" s="106">
        <v>1729.0606441872169</v>
      </c>
      <c r="R2195" s="106">
        <v>0.17177548649199473</v>
      </c>
      <c r="S2195" s="106">
        <v>26268.338575742324</v>
      </c>
      <c r="T2195" s="106">
        <v>26690.437091092099</v>
      </c>
      <c r="U2195" s="106">
        <v>17883.294077164002</v>
      </c>
      <c r="V2195" s="106">
        <v>0.46617566688521928</v>
      </c>
      <c r="W2195" s="106">
        <v>85828.451939291728</v>
      </c>
      <c r="X2195" s="110">
        <v>0.55982103597381205</v>
      </c>
      <c r="Y2195" s="106">
        <v>417.04330708661416</v>
      </c>
      <c r="Z2195" s="106">
        <v>15.645669291338583</v>
      </c>
      <c r="AA2195" s="106">
        <v>66730.714237229811</v>
      </c>
      <c r="AB2195" s="106">
        <v>670.90419679832485</v>
      </c>
      <c r="AC2195" s="106">
        <v>1.4985603127893523</v>
      </c>
      <c r="AD2195" s="106">
        <v>27.370855821125673</v>
      </c>
      <c r="AE2195" s="106">
        <v>99.463849765258217</v>
      </c>
      <c r="AF2195" s="106">
        <v>6.6089175367612125E-3</v>
      </c>
      <c r="AG2195" s="106">
        <v>7191</v>
      </c>
      <c r="AH2195" s="106">
        <v>23495.397710115751</v>
      </c>
      <c r="AI2195" s="106">
        <v>25687.604428787115</v>
      </c>
      <c r="AJ2195" s="106">
        <v>26318.934197282335</v>
      </c>
      <c r="AK2195" s="104">
        <v>24287.763085052844</v>
      </c>
      <c r="AL2195" s="119">
        <v>60817236</v>
      </c>
      <c r="AM2195" s="118">
        <v>7648</v>
      </c>
      <c r="AN2195" s="118">
        <v>211858</v>
      </c>
      <c r="AO2195" s="118">
        <v>1259</v>
      </c>
      <c r="AP2195" s="118">
        <f t="shared" si="34"/>
        <v>1581</v>
      </c>
    </row>
    <row r="2196" spans="1:42" ht="12.75">
      <c r="A2196" s="106">
        <v>2018</v>
      </c>
      <c r="B2196" s="106">
        <v>3001</v>
      </c>
      <c r="C2196" s="106">
        <v>1</v>
      </c>
      <c r="D2196" s="106">
        <v>137351</v>
      </c>
      <c r="E2196" s="106" t="s">
        <v>3888</v>
      </c>
      <c r="F2196" s="106" t="s">
        <v>1194</v>
      </c>
      <c r="G2196" s="106" t="s">
        <v>258</v>
      </c>
      <c r="H2196" s="106">
        <v>1</v>
      </c>
      <c r="I2196" s="106" t="s">
        <v>23</v>
      </c>
      <c r="J2196" s="106">
        <v>6410</v>
      </c>
      <c r="K2196" s="106">
        <v>10460</v>
      </c>
      <c r="L2196" s="106">
        <v>6061</v>
      </c>
      <c r="M2196" s="106">
        <v>0.37</v>
      </c>
      <c r="N2196" s="106">
        <v>0.36</v>
      </c>
      <c r="O2196" s="106">
        <v>0.61</v>
      </c>
      <c r="P2196" s="106">
        <v>4183</v>
      </c>
      <c r="Q2196" s="106">
        <v>1834.3133356187864</v>
      </c>
      <c r="R2196" s="106">
        <v>0.19438078472938611</v>
      </c>
      <c r="S2196" s="106">
        <v>33172.505473660152</v>
      </c>
      <c r="T2196" s="106">
        <v>33637.088926979777</v>
      </c>
      <c r="U2196" s="106">
        <v>14494.734484242334</v>
      </c>
      <c r="V2196" s="106">
        <v>0.52449305788312528</v>
      </c>
      <c r="W2196" s="106">
        <v>107175.74754960554</v>
      </c>
      <c r="X2196" s="110">
        <v>0.60921177667403126</v>
      </c>
      <c r="Y2196" s="106">
        <v>471.98438090439601</v>
      </c>
      <c r="Z2196" s="106">
        <v>16.534198261745811</v>
      </c>
      <c r="AA2196" s="106">
        <v>44503.340632799329</v>
      </c>
      <c r="AB2196" s="106">
        <v>507.76852669277491</v>
      </c>
      <c r="AC2196" s="106">
        <v>2.2470223263711393</v>
      </c>
      <c r="AD2196" s="106">
        <v>34.366258319668184</v>
      </c>
      <c r="AE2196" s="106">
        <v>87.644937197389652</v>
      </c>
      <c r="AF2196" s="106">
        <v>3.082215321577712E-2</v>
      </c>
      <c r="AG2196" s="106">
        <v>4559</v>
      </c>
      <c r="AH2196" s="106">
        <v>32098.627288309908</v>
      </c>
      <c r="AI2196" s="106">
        <v>32600.371066163865</v>
      </c>
      <c r="AJ2196" s="106">
        <v>33590.488195634782</v>
      </c>
      <c r="AK2196" s="104">
        <v>27173.689246943206</v>
      </c>
      <c r="AL2196" s="119">
        <v>420566069</v>
      </c>
      <c r="AM2196" s="118">
        <v>37958</v>
      </c>
      <c r="AN2196" s="118">
        <v>1249028</v>
      </c>
      <c r="AO2196" s="118">
        <v>10081</v>
      </c>
      <c r="AP2196" s="118">
        <f t="shared" si="34"/>
        <v>1851</v>
      </c>
    </row>
    <row r="2197" spans="1:42" ht="12.75">
      <c r="A2197" s="106">
        <v>2018</v>
      </c>
      <c r="B2197" s="106">
        <v>-123961</v>
      </c>
      <c r="C2197" s="106">
        <v>0</v>
      </c>
      <c r="D2197" s="106">
        <v>123961</v>
      </c>
      <c r="E2197" s="106" t="s">
        <v>3337</v>
      </c>
      <c r="F2197" s="106" t="s">
        <v>152</v>
      </c>
      <c r="G2197" s="106" t="s">
        <v>121</v>
      </c>
      <c r="H2197" s="106">
        <v>5</v>
      </c>
      <c r="I2197" s="106" t="s">
        <v>3639</v>
      </c>
      <c r="J2197" s="106">
        <v>54259</v>
      </c>
      <c r="K2197" s="106">
        <v>36161</v>
      </c>
      <c r="L2197" s="106">
        <v>15210</v>
      </c>
      <c r="M2197" s="106">
        <v>0.18</v>
      </c>
      <c r="N2197" s="106">
        <v>0.28000000000000003</v>
      </c>
      <c r="O2197" s="106">
        <v>0.63</v>
      </c>
      <c r="P2197" s="106">
        <v>33080</v>
      </c>
      <c r="Q2197" s="106">
        <v>13849.013846000598</v>
      </c>
      <c r="R2197" s="106">
        <v>0.27214741699719347</v>
      </c>
      <c r="S2197" s="106">
        <v>123983.38977985855</v>
      </c>
      <c r="T2197" s="106">
        <v>125020.96822392668</v>
      </c>
      <c r="U2197" s="106">
        <v>74786.263581768901</v>
      </c>
      <c r="V2197" s="106">
        <v>0.4952633882577373</v>
      </c>
      <c r="W2197" s="106">
        <v>185891.28418576243</v>
      </c>
      <c r="X2197" s="110">
        <v>0.5456265728510129</v>
      </c>
      <c r="Y2197" s="106">
        <v>205.59911894273125</v>
      </c>
      <c r="Z2197" s="106">
        <v>8.292125550660792</v>
      </c>
      <c r="AA2197" s="106">
        <v>177290.11159982951</v>
      </c>
      <c r="AB2197" s="106">
        <v>3016.2438938153969</v>
      </c>
      <c r="AC2197" s="106">
        <v>0.56404725056361327</v>
      </c>
      <c r="AD2197" s="106">
        <v>40.588009776201659</v>
      </c>
      <c r="AE2197" s="106">
        <v>58.778440285731151</v>
      </c>
      <c r="AF2197" s="106">
        <v>5.5729026318025364E-2</v>
      </c>
      <c r="AG2197" s="106">
        <v>53448</v>
      </c>
      <c r="AH2197" s="106">
        <v>108929.40033867914</v>
      </c>
      <c r="AI2197" s="106">
        <v>123983.38977985855</v>
      </c>
      <c r="AJ2197" s="106">
        <v>137161.69439187169</v>
      </c>
      <c r="AK2197" s="104">
        <v>90202.678553640799</v>
      </c>
      <c r="AL2197" s="118"/>
      <c r="AM2197" s="118">
        <v>19170</v>
      </c>
      <c r="AN2197" s="118">
        <v>995648</v>
      </c>
      <c r="AO2197" s="118">
        <v>5283</v>
      </c>
      <c r="AP2197" s="118">
        <f t="shared" si="34"/>
        <v>811</v>
      </c>
    </row>
    <row r="2198" spans="1:42" ht="12.75">
      <c r="A2198" s="106">
        <v>2018</v>
      </c>
      <c r="B2198" s="106">
        <v>-151306</v>
      </c>
      <c r="C2198" s="106">
        <v>0</v>
      </c>
      <c r="D2198" s="106">
        <v>151306</v>
      </c>
      <c r="E2198" s="106" t="s">
        <v>3338</v>
      </c>
      <c r="F2198" s="106" t="s">
        <v>3180</v>
      </c>
      <c r="G2198" s="106" t="s">
        <v>161</v>
      </c>
      <c r="H2198" s="106">
        <v>2</v>
      </c>
      <c r="I2198" s="106" t="s">
        <v>25</v>
      </c>
      <c r="J2198" s="106">
        <v>7970</v>
      </c>
      <c r="K2198" s="106">
        <v>12587</v>
      </c>
      <c r="L2198" s="106">
        <v>8005</v>
      </c>
      <c r="M2198" s="106">
        <v>0.38</v>
      </c>
      <c r="N2198" s="106">
        <v>0.57999999999999996</v>
      </c>
      <c r="O2198" s="106">
        <v>0.62</v>
      </c>
      <c r="P2198" s="106">
        <v>3772</v>
      </c>
      <c r="Q2198" s="106">
        <v>1790.3323185011709</v>
      </c>
      <c r="R2198" s="106">
        <v>0.20132639070163919</v>
      </c>
      <c r="S2198" s="106">
        <v>19172.860655737706</v>
      </c>
      <c r="T2198" s="106">
        <v>18828.665456674473</v>
      </c>
      <c r="U2198" s="106">
        <v>13283.648998718187</v>
      </c>
      <c r="V2198" s="106">
        <v>0.5346688546550642</v>
      </c>
      <c r="W2198" s="106">
        <v>71622.270060396899</v>
      </c>
      <c r="X2198" s="110">
        <v>0.51624291933217104</v>
      </c>
      <c r="Y2198" s="106">
        <v>594.90714285714284</v>
      </c>
      <c r="Z2198" s="106">
        <v>20.333333333333332</v>
      </c>
      <c r="AA2198" s="106">
        <v>57381.063454250543</v>
      </c>
      <c r="AB2198" s="106">
        <v>454.02188596480971</v>
      </c>
      <c r="AC2198" s="106">
        <v>1.742735215769035</v>
      </c>
      <c r="AD2198" s="106">
        <v>23.308182032539495</v>
      </c>
      <c r="AE2198" s="106">
        <v>126.38391502276176</v>
      </c>
      <c r="AF2198" s="106">
        <v>0.12993683420995761</v>
      </c>
      <c r="AG2198" s="106">
        <v>7460</v>
      </c>
      <c r="AH2198" s="106">
        <v>18976.549882903983</v>
      </c>
      <c r="AI2198" s="106">
        <v>19438.177283372366</v>
      </c>
      <c r="AJ2198" s="106">
        <v>19252.568735362998</v>
      </c>
      <c r="AK2198" s="104">
        <v>14977.157611241219</v>
      </c>
      <c r="AL2198" s="118">
        <v>55118066</v>
      </c>
      <c r="AM2198" s="118">
        <v>9688</v>
      </c>
      <c r="AN2198" s="118">
        <v>249861</v>
      </c>
      <c r="AO2198" s="118">
        <v>1622</v>
      </c>
      <c r="AP2198" s="118">
        <f t="shared" si="34"/>
        <v>510</v>
      </c>
    </row>
    <row r="2199" spans="1:42" ht="12.75">
      <c r="A2199" s="106">
        <v>2018</v>
      </c>
      <c r="B2199" s="106">
        <v>-161554</v>
      </c>
      <c r="C2199" s="106">
        <v>0</v>
      </c>
      <c r="D2199" s="106">
        <v>161554</v>
      </c>
      <c r="E2199" s="106" t="s">
        <v>3339</v>
      </c>
      <c r="F2199" s="106" t="s">
        <v>1578</v>
      </c>
      <c r="G2199" s="106" t="s">
        <v>301</v>
      </c>
      <c r="H2199" s="106">
        <v>2</v>
      </c>
      <c r="I2199" s="106" t="s">
        <v>25</v>
      </c>
      <c r="J2199" s="106">
        <v>8638</v>
      </c>
      <c r="K2199" s="106">
        <v>11963</v>
      </c>
      <c r="L2199" s="106">
        <v>8874</v>
      </c>
      <c r="M2199" s="106">
        <v>0.45</v>
      </c>
      <c r="N2199" s="106">
        <v>0.6</v>
      </c>
      <c r="O2199" s="106">
        <v>0.87</v>
      </c>
      <c r="P2199" s="106">
        <v>5562</v>
      </c>
      <c r="Q2199" s="106">
        <v>2875.8909203594671</v>
      </c>
      <c r="R2199" s="106">
        <v>0.25060419901437925</v>
      </c>
      <c r="S2199" s="106">
        <v>25230.709637434149</v>
      </c>
      <c r="T2199" s="106">
        <v>25860.861481251937</v>
      </c>
      <c r="U2199" s="106">
        <v>15687.565809671483</v>
      </c>
      <c r="V2199" s="106">
        <v>0.54820092086113192</v>
      </c>
      <c r="W2199" s="106">
        <v>83739.970717423144</v>
      </c>
      <c r="X2199" s="110">
        <v>0.57112386612823984</v>
      </c>
      <c r="Y2199" s="106">
        <v>427.86588432523052</v>
      </c>
      <c r="Z2199" s="106">
        <v>16.229673093042752</v>
      </c>
      <c r="AA2199" s="106">
        <v>60051.927482573992</v>
      </c>
      <c r="AB2199" s="106">
        <v>595.05577341855178</v>
      </c>
      <c r="AC2199" s="106">
        <v>1.6652254838784022</v>
      </c>
      <c r="AD2199" s="106">
        <v>28.790983606557376</v>
      </c>
      <c r="AE2199" s="106">
        <v>100.91814946619218</v>
      </c>
      <c r="AF2199" s="106">
        <v>-1.1626325809083493E-2</v>
      </c>
      <c r="AG2199" s="106">
        <v>7336</v>
      </c>
      <c r="AH2199" s="106">
        <v>24025.41059807871</v>
      </c>
      <c r="AI2199" s="106">
        <v>24277.347381468855</v>
      </c>
      <c r="AJ2199" s="106">
        <v>25507.282305546949</v>
      </c>
      <c r="AK2199" s="104">
        <v>23801.053610164239</v>
      </c>
      <c r="AL2199" s="118">
        <v>51653000</v>
      </c>
      <c r="AM2199" s="118">
        <v>6110</v>
      </c>
      <c r="AN2199" s="118">
        <v>170148</v>
      </c>
      <c r="AO2199" s="118">
        <v>1079</v>
      </c>
      <c r="AP2199" s="118">
        <f t="shared" si="34"/>
        <v>1302</v>
      </c>
    </row>
    <row r="2200" spans="1:42" ht="12.75">
      <c r="A2200" s="106">
        <v>2018</v>
      </c>
      <c r="B2200" s="106">
        <v>-176372</v>
      </c>
      <c r="C2200" s="106">
        <v>0</v>
      </c>
      <c r="D2200" s="106">
        <v>176372</v>
      </c>
      <c r="E2200" s="106" t="s">
        <v>3340</v>
      </c>
      <c r="F2200" s="106" t="s">
        <v>3341</v>
      </c>
      <c r="G2200" s="106" t="s">
        <v>107</v>
      </c>
      <c r="H2200" s="106">
        <v>1</v>
      </c>
      <c r="I2200" s="106" t="s">
        <v>23</v>
      </c>
      <c r="J2200" s="106">
        <v>8218</v>
      </c>
      <c r="K2200" s="106">
        <v>13773</v>
      </c>
      <c r="L2200" s="106">
        <v>12728</v>
      </c>
      <c r="M2200" s="106">
        <v>0.49</v>
      </c>
      <c r="N2200" s="106">
        <v>0.68</v>
      </c>
      <c r="O2200" s="106">
        <v>0.61</v>
      </c>
      <c r="P2200" s="106">
        <v>6440</v>
      </c>
      <c r="Q2200" s="106">
        <v>2280.7717969262144</v>
      </c>
      <c r="R2200" s="106">
        <v>0.23892437047630108</v>
      </c>
      <c r="S2200" s="106">
        <v>23279.883312695754</v>
      </c>
      <c r="T2200" s="106">
        <v>24490.921407240148</v>
      </c>
      <c r="U2200" s="106">
        <v>12100.372346209871</v>
      </c>
      <c r="V2200" s="106">
        <v>0.60041352244918245</v>
      </c>
      <c r="W2200" s="106">
        <v>80859.144198895025</v>
      </c>
      <c r="X2200" s="110">
        <v>0.58036661526822275</v>
      </c>
      <c r="Y2200" s="106">
        <v>503.03111858704796</v>
      </c>
      <c r="Z2200" s="106">
        <v>17.320016820857866</v>
      </c>
      <c r="AA2200" s="106">
        <v>49753.223103059398</v>
      </c>
      <c r="AB2200" s="106">
        <v>416.63158566348488</v>
      </c>
      <c r="AC2200" s="106">
        <v>2.0099200365945915</v>
      </c>
      <c r="AD2200" s="106">
        <v>25.974329054842471</v>
      </c>
      <c r="AE2200" s="106">
        <v>119.41778975741239</v>
      </c>
      <c r="AF2200" s="106">
        <v>3.5769727050135411E-2</v>
      </c>
      <c r="AG2200" s="106">
        <v>8108</v>
      </c>
      <c r="AH2200" s="106">
        <v>22060.999562968896</v>
      </c>
      <c r="AI2200" s="106">
        <v>22205.729186393764</v>
      </c>
      <c r="AJ2200" s="106">
        <v>23355.049821545632</v>
      </c>
      <c r="AK2200" s="104">
        <v>21080.360259305122</v>
      </c>
      <c r="AL2200" s="118">
        <v>82066545</v>
      </c>
      <c r="AM2200" s="118">
        <v>11815</v>
      </c>
      <c r="AN2200" s="118">
        <v>398736</v>
      </c>
      <c r="AO2200" s="118">
        <v>2369</v>
      </c>
      <c r="AP2200" s="118">
        <f t="shared" si="34"/>
        <v>110</v>
      </c>
    </row>
    <row r="2201" spans="1:42" ht="12.75">
      <c r="A2201" s="106">
        <v>2018</v>
      </c>
      <c r="B2201" s="106">
        <v>-148584</v>
      </c>
      <c r="C2201" s="106">
        <v>0</v>
      </c>
      <c r="D2201" s="106">
        <v>148584</v>
      </c>
      <c r="E2201" s="106" t="s">
        <v>3342</v>
      </c>
      <c r="F2201" s="106" t="s">
        <v>1641</v>
      </c>
      <c r="G2201" s="106" t="s">
        <v>243</v>
      </c>
      <c r="H2201" s="106">
        <v>6</v>
      </c>
      <c r="I2201" s="106" t="s">
        <v>3640</v>
      </c>
      <c r="J2201" s="106">
        <v>31470</v>
      </c>
      <c r="K2201" s="106">
        <v>19418</v>
      </c>
      <c r="L2201" s="106">
        <v>16108</v>
      </c>
      <c r="M2201" s="106">
        <v>0.38</v>
      </c>
      <c r="N2201" s="106">
        <v>0.68</v>
      </c>
      <c r="O2201" s="106">
        <v>0.96</v>
      </c>
      <c r="P2201" s="106">
        <v>17716</v>
      </c>
      <c r="Q2201" s="106">
        <v>6172.0396351053787</v>
      </c>
      <c r="R2201" s="106">
        <v>0.31483573424512701</v>
      </c>
      <c r="S2201" s="106">
        <v>15649.924189996855</v>
      </c>
      <c r="T2201" s="106">
        <v>15126.448883296634</v>
      </c>
      <c r="U2201" s="106">
        <v>13807.6489462095</v>
      </c>
      <c r="V2201" s="106">
        <v>0.97279124800009187</v>
      </c>
      <c r="W2201" s="106">
        <v>73078.175918018795</v>
      </c>
      <c r="X2201" s="110">
        <v>0.59319273963154395</v>
      </c>
      <c r="Y2201" s="106">
        <v>460.80978260869563</v>
      </c>
      <c r="Z2201" s="106">
        <v>17.277173913043477</v>
      </c>
      <c r="AA2201" s="106">
        <v>43288.477317554243</v>
      </c>
      <c r="AB2201" s="106">
        <v>517.69116276875536</v>
      </c>
      <c r="AC2201" s="106">
        <v>2.3100835648808613</v>
      </c>
      <c r="AD2201" s="106">
        <v>39.98422712933754</v>
      </c>
      <c r="AE2201" s="106">
        <v>83.618343195266277</v>
      </c>
      <c r="AF2201" s="106">
        <v>5.0325070313557707E-2</v>
      </c>
      <c r="AG2201" s="106">
        <v>31150</v>
      </c>
      <c r="AH2201" s="106">
        <v>15220.453601761561</v>
      </c>
      <c r="AI2201" s="106">
        <v>15864.444793960365</v>
      </c>
      <c r="AJ2201" s="106">
        <v>15897.736395092796</v>
      </c>
      <c r="AK2201" s="104">
        <v>13807.6489462095</v>
      </c>
      <c r="AL2201" s="118"/>
      <c r="AM2201" s="118">
        <v>1599</v>
      </c>
      <c r="AN2201" s="118">
        <v>84789</v>
      </c>
      <c r="AO2201" s="118">
        <v>412</v>
      </c>
      <c r="AP2201" s="118">
        <f t="shared" si="34"/>
        <v>320</v>
      </c>
    </row>
    <row r="2202" spans="1:42" ht="12.75">
      <c r="A2202" s="106">
        <v>2018</v>
      </c>
      <c r="B2202" s="106">
        <v>-174914</v>
      </c>
      <c r="C2202" s="106">
        <v>0</v>
      </c>
      <c r="D2202" s="106">
        <v>174914</v>
      </c>
      <c r="E2202" s="106" t="s">
        <v>3947</v>
      </c>
      <c r="F2202" s="106" t="s">
        <v>366</v>
      </c>
      <c r="G2202" s="106" t="s">
        <v>113</v>
      </c>
      <c r="H2202" s="106">
        <v>5</v>
      </c>
      <c r="I2202" s="106" t="s">
        <v>3639</v>
      </c>
      <c r="J2202" s="106">
        <v>41133</v>
      </c>
      <c r="K2202" s="106">
        <v>30183</v>
      </c>
      <c r="L2202" s="106">
        <v>27757</v>
      </c>
      <c r="M2202" s="106">
        <v>0.23</v>
      </c>
      <c r="N2202" s="106">
        <v>0.55000000000000004</v>
      </c>
      <c r="O2202" s="106">
        <v>0.96</v>
      </c>
      <c r="P2202" s="106">
        <v>20696</v>
      </c>
      <c r="Q2202" s="106">
        <v>13837.890997890998</v>
      </c>
      <c r="R2202" s="106">
        <v>0.4104357846114845</v>
      </c>
      <c r="S2202" s="106">
        <v>29163.953601953603</v>
      </c>
      <c r="T2202" s="106">
        <v>29591.881562881565</v>
      </c>
      <c r="U2202" s="106">
        <v>24866.555332665921</v>
      </c>
      <c r="V2202" s="106">
        <v>0.79935587986790924</v>
      </c>
      <c r="W2202" s="106">
        <v>108875.5043421624</v>
      </c>
      <c r="X2202" s="110">
        <v>0.62702331774245412</v>
      </c>
      <c r="Y2202" s="106">
        <v>428.89612676056339</v>
      </c>
      <c r="Z2202" s="106">
        <v>15.860915492957746</v>
      </c>
      <c r="AA2202" s="106">
        <v>78687.318929394896</v>
      </c>
      <c r="AB2202" s="106">
        <v>919.58473887677292</v>
      </c>
      <c r="AC2202" s="106">
        <v>1.2708528052624171</v>
      </c>
      <c r="AD2202" s="106">
        <v>34.911097486204781</v>
      </c>
      <c r="AE2202" s="106">
        <v>85.568317527221637</v>
      </c>
      <c r="AF2202" s="106">
        <v>4.1293687345171831E-2</v>
      </c>
      <c r="AG2202" s="106">
        <v>40224</v>
      </c>
      <c r="AH2202" s="106">
        <v>25494.891885891884</v>
      </c>
      <c r="AI2202" s="106">
        <v>29247.98778998779</v>
      </c>
      <c r="AJ2202" s="106">
        <v>33773.994005994005</v>
      </c>
      <c r="AK2202" s="104">
        <v>25490.766677766678</v>
      </c>
      <c r="AL2202" s="118"/>
      <c r="AM2202" s="118">
        <v>6199</v>
      </c>
      <c r="AN2202" s="118">
        <v>243613</v>
      </c>
      <c r="AO2202" s="118">
        <v>1403</v>
      </c>
      <c r="AP2202" s="118">
        <f t="shared" si="34"/>
        <v>909</v>
      </c>
    </row>
    <row r="2203" spans="1:42" ht="12.75">
      <c r="A2203" s="106">
        <v>2018</v>
      </c>
      <c r="B2203" s="106">
        <v>-227863</v>
      </c>
      <c r="C2203" s="106">
        <v>0</v>
      </c>
      <c r="D2203" s="106">
        <v>227863</v>
      </c>
      <c r="E2203" s="106" t="s">
        <v>3948</v>
      </c>
      <c r="F2203" s="106" t="s">
        <v>1518</v>
      </c>
      <c r="G2203" s="106" t="s">
        <v>60</v>
      </c>
      <c r="H2203" s="106">
        <v>6</v>
      </c>
      <c r="I2203" s="106" t="s">
        <v>3640</v>
      </c>
      <c r="J2203" s="106">
        <v>32660</v>
      </c>
      <c r="K2203" s="106">
        <v>20294</v>
      </c>
      <c r="L2203" s="106">
        <v>17465</v>
      </c>
      <c r="M2203" s="106">
        <v>0.41</v>
      </c>
      <c r="N2203" s="106">
        <v>0.42</v>
      </c>
      <c r="O2203" s="106">
        <v>0.96</v>
      </c>
      <c r="P2203" s="106">
        <v>18223</v>
      </c>
      <c r="Q2203" s="106">
        <v>9442.311174551387</v>
      </c>
      <c r="R2203" s="106">
        <v>0.35923934169952898</v>
      </c>
      <c r="S2203" s="106">
        <v>25066.742251223492</v>
      </c>
      <c r="T2203" s="106">
        <v>25961.015905383359</v>
      </c>
      <c r="U2203" s="106">
        <v>22207.223491027733</v>
      </c>
      <c r="V2203" s="106">
        <v>0.75839592778329701</v>
      </c>
      <c r="W2203" s="106">
        <v>85259.184035476719</v>
      </c>
      <c r="X2203" s="110">
        <v>0.60405372209878438</v>
      </c>
      <c r="Y2203" s="106">
        <v>341.23489932885906</v>
      </c>
      <c r="Z2203" s="106">
        <v>12.342281879194632</v>
      </c>
      <c r="AA2203" s="106">
        <v>58113.246531483455</v>
      </c>
      <c r="AB2203" s="106">
        <v>803.22327118244039</v>
      </c>
      <c r="AC2203" s="106">
        <v>1.7207780664228414</v>
      </c>
      <c r="AD2203" s="106">
        <v>40.318416523235797</v>
      </c>
      <c r="AE2203" s="106">
        <v>72.350053361792959</v>
      </c>
      <c r="AF2203" s="106">
        <v>4.0648549626287889E-2</v>
      </c>
      <c r="AG2203" s="106">
        <v>32100</v>
      </c>
      <c r="AH2203" s="106">
        <v>20712.451876019575</v>
      </c>
      <c r="AI2203" s="106">
        <v>25066.742251223492</v>
      </c>
      <c r="AJ2203" s="106">
        <v>29328.296084828711</v>
      </c>
      <c r="AK2203" s="104">
        <v>22207.223491027733</v>
      </c>
      <c r="AM2203" s="118">
        <v>1816</v>
      </c>
      <c r="AN2203" s="118">
        <v>67792</v>
      </c>
      <c r="AO2203" s="118">
        <v>357</v>
      </c>
      <c r="AP2203" s="118">
        <f t="shared" si="34"/>
        <v>560</v>
      </c>
    </row>
    <row r="2204" spans="1:42" ht="12.75">
      <c r="A2204" s="106">
        <v>2018</v>
      </c>
      <c r="B2204" s="106">
        <v>-156541</v>
      </c>
      <c r="C2204" s="106">
        <v>0</v>
      </c>
      <c r="D2204" s="106">
        <v>156541</v>
      </c>
      <c r="E2204" s="106" t="s">
        <v>3375</v>
      </c>
      <c r="F2204" s="106" t="s">
        <v>852</v>
      </c>
      <c r="G2204" s="106" t="s">
        <v>118</v>
      </c>
      <c r="H2204" s="106">
        <v>5</v>
      </c>
      <c r="I2204" s="106" t="s">
        <v>3639</v>
      </c>
      <c r="J2204" s="106">
        <v>23000</v>
      </c>
      <c r="K2204" s="106">
        <v>17588</v>
      </c>
      <c r="L2204" s="106">
        <v>17331</v>
      </c>
      <c r="M2204" s="106">
        <v>0.53</v>
      </c>
      <c r="N2204" s="106">
        <v>0.68</v>
      </c>
      <c r="O2204" s="106">
        <v>0.98</v>
      </c>
      <c r="P2204" s="106">
        <v>13431</v>
      </c>
      <c r="Q2204" s="106">
        <v>2116.7254880335281</v>
      </c>
      <c r="R2204" s="106">
        <v>0.20040527029100033</v>
      </c>
      <c r="S2204" s="106">
        <v>10909.271534134774</v>
      </c>
      <c r="T2204" s="106">
        <v>8029.7142384471163</v>
      </c>
      <c r="U2204" s="106">
        <v>6689.1320487989115</v>
      </c>
      <c r="V2204" s="106">
        <v>1.262570257428389</v>
      </c>
      <c r="W2204" s="106">
        <v>68126.648936170212</v>
      </c>
      <c r="X2204" s="110">
        <v>0.49843535685166512</v>
      </c>
      <c r="Y2204" s="106">
        <v>851.69155446756429</v>
      </c>
      <c r="Z2204" s="106">
        <v>33.293757649938804</v>
      </c>
      <c r="AA2204" s="106">
        <v>24495.29898483834</v>
      </c>
      <c r="AB2204" s="106">
        <v>261.48708432405982</v>
      </c>
      <c r="AC2204" s="106">
        <v>4.0824159795680055</v>
      </c>
      <c r="AD2204" s="106">
        <v>42.426319396847155</v>
      </c>
      <c r="AE2204" s="106">
        <v>93.676898222940224</v>
      </c>
      <c r="AF2204" s="106">
        <v>0.19035180742576199</v>
      </c>
      <c r="AG2204" s="106">
        <v>22640</v>
      </c>
      <c r="AH2204" s="106">
        <v>10250.106099040477</v>
      </c>
      <c r="AI2204" s="106">
        <v>10909.271534134774</v>
      </c>
      <c r="AJ2204" s="106">
        <v>11550.491562810192</v>
      </c>
      <c r="AK2204" s="104">
        <v>6768.4781074225211</v>
      </c>
      <c r="AL2204" s="118"/>
      <c r="AM2204" s="118">
        <v>3315</v>
      </c>
      <c r="AN2204" s="118">
        <v>231944</v>
      </c>
      <c r="AO2204" s="118">
        <v>386</v>
      </c>
      <c r="AP2204" s="118">
        <f t="shared" si="34"/>
        <v>360</v>
      </c>
    </row>
    <row r="2205" spans="1:42" ht="12.75">
      <c r="A2205" s="106">
        <v>2018</v>
      </c>
      <c r="B2205" s="106">
        <v>2244</v>
      </c>
      <c r="C2205" s="106">
        <v>1</v>
      </c>
      <c r="D2205" s="106">
        <v>131399</v>
      </c>
      <c r="E2205" s="106" t="s">
        <v>3889</v>
      </c>
      <c r="F2205" s="106" t="s">
        <v>155</v>
      </c>
      <c r="G2205" s="106" t="s">
        <v>156</v>
      </c>
      <c r="H2205" s="106">
        <v>2</v>
      </c>
      <c r="I2205" s="106" t="s">
        <v>25</v>
      </c>
      <c r="J2205" s="106">
        <v>5756</v>
      </c>
      <c r="K2205" s="106">
        <v>17350</v>
      </c>
      <c r="L2205" s="106">
        <v>16065</v>
      </c>
      <c r="M2205" s="106">
        <v>0.51</v>
      </c>
      <c r="N2205" s="106">
        <v>0.27</v>
      </c>
      <c r="O2205" s="106">
        <v>0.42</v>
      </c>
      <c r="P2205" s="106">
        <v>7665</v>
      </c>
      <c r="Q2205" s="106">
        <v>464.38168373151308</v>
      </c>
      <c r="R2205" s="106">
        <v>4.6300601857972273E-2</v>
      </c>
      <c r="S2205" s="106">
        <v>41518.012798634809</v>
      </c>
      <c r="T2205" s="106">
        <v>45088.043799772466</v>
      </c>
      <c r="U2205" s="106">
        <v>27703.933304474966</v>
      </c>
      <c r="V2205" s="106">
        <v>0.34526974257546961</v>
      </c>
      <c r="W2205" s="106">
        <v>97331.473033707865</v>
      </c>
      <c r="X2205" s="110">
        <v>0.54642812297683629</v>
      </c>
      <c r="Y2205" s="106">
        <v>241.44810126582277</v>
      </c>
      <c r="Z2205" s="106">
        <v>8.9012658227848096</v>
      </c>
      <c r="AA2205" s="106">
        <v>140558.48412486864</v>
      </c>
      <c r="AB2205" s="106">
        <v>1021.3378087754685</v>
      </c>
      <c r="AC2205" s="106">
        <v>0.71144762710419163</v>
      </c>
      <c r="AD2205" s="106">
        <v>21.909579513120455</v>
      </c>
      <c r="AE2205" s="106">
        <v>137.62193362193364</v>
      </c>
      <c r="AF2205" s="106">
        <v>5.5471311963964601E-3</v>
      </c>
      <c r="AG2205" s="106">
        <v>4896</v>
      </c>
      <c r="AH2205" s="106">
        <v>41303.728953356083</v>
      </c>
      <c r="AI2205" s="106">
        <v>41677.300056882821</v>
      </c>
      <c r="AJ2205" s="106">
        <v>42189.338737201368</v>
      </c>
      <c r="AK2205" s="104">
        <v>34053.539817974968</v>
      </c>
      <c r="AL2205" s="119">
        <v>80000000</v>
      </c>
      <c r="AM2205" s="118">
        <v>3859</v>
      </c>
      <c r="AN2205" s="118">
        <v>95372</v>
      </c>
      <c r="AO2205" s="118">
        <v>510</v>
      </c>
      <c r="AP2205" s="118">
        <f t="shared" si="34"/>
        <v>860</v>
      </c>
    </row>
    <row r="2206" spans="1:42" ht="12.75">
      <c r="A2206" s="106">
        <v>2018</v>
      </c>
      <c r="B2206" s="106">
        <v>-225627</v>
      </c>
      <c r="C2206" s="106">
        <v>0</v>
      </c>
      <c r="D2206" s="106">
        <v>225627</v>
      </c>
      <c r="E2206" s="106" t="s">
        <v>3376</v>
      </c>
      <c r="F2206" s="106" t="s">
        <v>2291</v>
      </c>
      <c r="G2206" s="106" t="s">
        <v>60</v>
      </c>
      <c r="H2206" s="106">
        <v>6</v>
      </c>
      <c r="I2206" s="106" t="s">
        <v>3640</v>
      </c>
      <c r="J2206" s="106">
        <v>29990</v>
      </c>
      <c r="K2206" s="106">
        <v>24098</v>
      </c>
      <c r="L2206" s="106">
        <v>20388</v>
      </c>
      <c r="M2206" s="106">
        <v>0.47</v>
      </c>
      <c r="N2206" s="106">
        <v>0.89</v>
      </c>
      <c r="O2206" s="106">
        <v>1</v>
      </c>
      <c r="P2206" s="106">
        <v>12716</v>
      </c>
      <c r="Q2206" s="106">
        <v>8909.6983678190463</v>
      </c>
      <c r="R2206" s="106">
        <v>0.33453990525137894</v>
      </c>
      <c r="S2206" s="106">
        <v>21846.017992545945</v>
      </c>
      <c r="T2206" s="106">
        <v>22182.22722015165</v>
      </c>
      <c r="U2206" s="106">
        <v>19824.213963583858</v>
      </c>
      <c r="V2206" s="106">
        <v>0.89400739884071023</v>
      </c>
      <c r="W2206" s="106">
        <v>86188.668950397376</v>
      </c>
      <c r="X2206" s="110">
        <v>0.6073824198401957</v>
      </c>
      <c r="Y2206" s="106">
        <v>380.42511445389147</v>
      </c>
      <c r="Z2206" s="106">
        <v>15.266841072596469</v>
      </c>
      <c r="AA2206" s="106">
        <v>60921.093542909155</v>
      </c>
      <c r="AB2206" s="106">
        <v>795.56557249288767</v>
      </c>
      <c r="AC2206" s="106">
        <v>1.6414675801833072</v>
      </c>
      <c r="AD2206" s="106">
        <v>34.919321472900286</v>
      </c>
      <c r="AE2206" s="106">
        <v>76.575829383886258</v>
      </c>
      <c r="AF2206" s="106">
        <v>0.14744551129028119</v>
      </c>
      <c r="AG2206" s="106">
        <v>27900</v>
      </c>
      <c r="AH2206" s="106">
        <v>21299.810435676649</v>
      </c>
      <c r="AI2206" s="106">
        <v>21933.453026603263</v>
      </c>
      <c r="AJ2206" s="106">
        <v>23277.879706978536</v>
      </c>
      <c r="AK2206" s="104">
        <v>19939.405474874693</v>
      </c>
      <c r="AM2206" s="118">
        <v>5994</v>
      </c>
      <c r="AN2206" s="118">
        <v>193890</v>
      </c>
      <c r="AO2206" s="118">
        <v>1539</v>
      </c>
      <c r="AP2206" s="118">
        <f t="shared" si="34"/>
        <v>2090</v>
      </c>
    </row>
    <row r="2207" spans="1:42" ht="12.75">
      <c r="A2207" s="106">
        <v>2018</v>
      </c>
      <c r="B2207" s="106">
        <v>-107558</v>
      </c>
      <c r="C2207" s="106">
        <v>0</v>
      </c>
      <c r="D2207" s="106">
        <v>107558</v>
      </c>
      <c r="E2207" s="106" t="s">
        <v>3377</v>
      </c>
      <c r="F2207" s="106" t="s">
        <v>254</v>
      </c>
      <c r="G2207" s="106" t="s">
        <v>200</v>
      </c>
      <c r="H2207" s="106">
        <v>7</v>
      </c>
      <c r="I2207" s="106" t="s">
        <v>3641</v>
      </c>
      <c r="J2207" s="106">
        <v>23750</v>
      </c>
      <c r="K2207" s="106">
        <v>17208</v>
      </c>
      <c r="L2207" s="106">
        <v>12615</v>
      </c>
      <c r="M2207" s="106">
        <v>0.43</v>
      </c>
      <c r="N2207" s="106">
        <v>0.71</v>
      </c>
      <c r="O2207" s="106">
        <v>0.96</v>
      </c>
      <c r="P2207" s="106">
        <v>15399</v>
      </c>
      <c r="Q2207" s="106">
        <v>16532.614173228347</v>
      </c>
      <c r="R2207" s="106">
        <v>0.66882567845087149</v>
      </c>
      <c r="S2207" s="106">
        <v>19993.216535433072</v>
      </c>
      <c r="T2207" s="106">
        <v>29003.262467191602</v>
      </c>
      <c r="U2207" s="106">
        <v>24065.393700787401</v>
      </c>
      <c r="V2207" s="106">
        <v>0.34016707538460111</v>
      </c>
      <c r="W2207" s="106">
        <v>65734.558951965068</v>
      </c>
      <c r="X2207" s="110">
        <v>0.45408395091402065</v>
      </c>
      <c r="Y2207" s="106">
        <v>418.0060975609756</v>
      </c>
      <c r="Z2207" s="106">
        <v>13.939024390243903</v>
      </c>
      <c r="AA2207" s="106">
        <v>165205.67567567568</v>
      </c>
      <c r="AB2207" s="106">
        <v>802.49573322830508</v>
      </c>
      <c r="AC2207" s="106">
        <v>0.60530608038137557</v>
      </c>
      <c r="AD2207" s="106">
        <v>14.799999999999999</v>
      </c>
      <c r="AE2207" s="106">
        <v>205.86486486486487</v>
      </c>
      <c r="AF2207" s="106">
        <v>1.4660111673221822E-2</v>
      </c>
      <c r="AG2207" s="106">
        <v>23750</v>
      </c>
      <c r="AH2207" s="106">
        <v>14346.238845144357</v>
      </c>
      <c r="AI2207" s="106">
        <v>19993.216535433072</v>
      </c>
      <c r="AJ2207" s="106">
        <v>31819.744094488189</v>
      </c>
      <c r="AK2207" s="104">
        <v>24065.393700787401</v>
      </c>
      <c r="AL2207" s="118"/>
      <c r="AM2207" s="118">
        <v>755</v>
      </c>
      <c r="AN2207" s="118">
        <v>22851</v>
      </c>
      <c r="AO2207" s="118">
        <v>111</v>
      </c>
      <c r="AP2207" s="118">
        <f t="shared" si="34"/>
        <v>0</v>
      </c>
    </row>
    <row r="2208" spans="1:42" ht="12.75">
      <c r="A2208" s="106">
        <v>2018</v>
      </c>
      <c r="B2208" s="106">
        <v>-120883</v>
      </c>
      <c r="C2208" s="106">
        <v>0</v>
      </c>
      <c r="D2208" s="106">
        <v>120883</v>
      </c>
      <c r="E2208" s="106" t="s">
        <v>3378</v>
      </c>
      <c r="F2208" s="106" t="s">
        <v>1531</v>
      </c>
      <c r="G2208" s="106" t="s">
        <v>121</v>
      </c>
      <c r="H2208" s="106">
        <v>5</v>
      </c>
      <c r="I2208" s="106" t="s">
        <v>3639</v>
      </c>
      <c r="J2208" s="106">
        <v>46346</v>
      </c>
      <c r="K2208" s="106">
        <v>29819</v>
      </c>
      <c r="L2208" s="106">
        <v>19790</v>
      </c>
      <c r="M2208" s="106">
        <v>0.38</v>
      </c>
      <c r="N2208" s="106">
        <v>0.57999999999999996</v>
      </c>
      <c r="O2208" s="106">
        <v>0.98</v>
      </c>
      <c r="P2208" s="106">
        <v>25566</v>
      </c>
      <c r="Q2208" s="106">
        <v>11819.211955760884</v>
      </c>
      <c r="R2208" s="106">
        <v>0.26408554298173736</v>
      </c>
      <c r="S2208" s="106">
        <v>45216.338933221334</v>
      </c>
      <c r="T2208" s="106">
        <v>47582.146997060059</v>
      </c>
      <c r="U2208" s="106">
        <v>39145.789726933981</v>
      </c>
      <c r="V2208" s="106">
        <v>0.84136834763535795</v>
      </c>
      <c r="W2208" s="106">
        <v>112688.37575757576</v>
      </c>
      <c r="X2208" s="110">
        <v>0.60177073579502383</v>
      </c>
      <c r="Y2208" s="106">
        <v>257.95575221238937</v>
      </c>
      <c r="Z2208" s="106">
        <v>12.642477876106195</v>
      </c>
      <c r="AA2208" s="106">
        <v>156124.16304829111</v>
      </c>
      <c r="AB2208" s="106">
        <v>1918.5452401076498</v>
      </c>
      <c r="AC2208" s="106">
        <v>0.64051584359218483</v>
      </c>
      <c r="AD2208" s="106">
        <v>31.202090592334496</v>
      </c>
      <c r="AE2208" s="106">
        <v>81.376326074818536</v>
      </c>
      <c r="AF2208" s="106">
        <v>2.7085651005618657E-2</v>
      </c>
      <c r="AG2208" s="106">
        <v>45786</v>
      </c>
      <c r="AH2208" s="106">
        <v>42314.66904661907</v>
      </c>
      <c r="AI2208" s="106">
        <v>45216.338933221334</v>
      </c>
      <c r="AJ2208" s="106">
        <v>50988.858322833541</v>
      </c>
      <c r="AK2208" s="104">
        <v>42552.611647767044</v>
      </c>
      <c r="AL2208" s="118"/>
      <c r="AM2208" s="118">
        <v>3548</v>
      </c>
      <c r="AN2208" s="118">
        <v>145745</v>
      </c>
      <c r="AO2208" s="118">
        <v>862</v>
      </c>
      <c r="AP2208" s="118">
        <f t="shared" si="34"/>
        <v>560</v>
      </c>
    </row>
    <row r="2209" spans="1:42" ht="12.75">
      <c r="A2209" s="106">
        <v>2018</v>
      </c>
      <c r="B2209" s="106">
        <v>-188182</v>
      </c>
      <c r="C2209" s="106">
        <v>0</v>
      </c>
      <c r="D2209" s="106">
        <v>188182</v>
      </c>
      <c r="E2209" s="106" t="s">
        <v>3379</v>
      </c>
      <c r="F2209" s="106" t="s">
        <v>2165</v>
      </c>
      <c r="G2209" s="106" t="s">
        <v>674</v>
      </c>
      <c r="H2209" s="106">
        <v>6</v>
      </c>
      <c r="I2209" s="106" t="s">
        <v>3640</v>
      </c>
      <c r="J2209" s="106">
        <v>16200</v>
      </c>
      <c r="K2209" s="106">
        <v>15944</v>
      </c>
      <c r="L2209" s="106">
        <v>16712</v>
      </c>
      <c r="M2209" s="106">
        <v>0.69</v>
      </c>
      <c r="N2209" s="106">
        <v>0.97</v>
      </c>
      <c r="O2209" s="106">
        <v>0.8</v>
      </c>
      <c r="P2209" s="106">
        <v>7375</v>
      </c>
      <c r="Q2209" s="106">
        <v>2919.7058096415326</v>
      </c>
      <c r="R2209" s="106">
        <v>0.20932276162886015</v>
      </c>
      <c r="S2209" s="106">
        <v>14732.332509270704</v>
      </c>
      <c r="T2209" s="106">
        <v>15326.639060568603</v>
      </c>
      <c r="U2209" s="106">
        <v>14470.360939431397</v>
      </c>
      <c r="V2209" s="106">
        <v>0.76215360975702262</v>
      </c>
      <c r="W2209" s="106">
        <v>63152.517027863774</v>
      </c>
      <c r="X2209" s="110">
        <v>0.54837352675576934</v>
      </c>
      <c r="Y2209" s="106">
        <v>597.64285714285711</v>
      </c>
      <c r="Z2209" s="106">
        <v>21.669642857142854</v>
      </c>
      <c r="AA2209" s="106">
        <v>41958.860215053763</v>
      </c>
      <c r="AB2209" s="106">
        <v>524.67380781642169</v>
      </c>
      <c r="AC2209" s="106">
        <v>2.3832868549685382</v>
      </c>
      <c r="AD2209" s="106">
        <v>31.278026905829599</v>
      </c>
      <c r="AE2209" s="106">
        <v>79.971326164874554</v>
      </c>
      <c r="AF2209" s="106">
        <v>1.0824169358107667E-2</v>
      </c>
      <c r="AG2209" s="106">
        <v>16000</v>
      </c>
      <c r="AH2209" s="106">
        <v>13345.479604449938</v>
      </c>
      <c r="AI2209" s="106">
        <v>14672.355995055625</v>
      </c>
      <c r="AJ2209" s="106">
        <v>15659.191594561187</v>
      </c>
      <c r="AK2209" s="104">
        <v>14470.360939431397</v>
      </c>
      <c r="AL2209" s="118"/>
      <c r="AM2209" s="118">
        <v>509</v>
      </c>
      <c r="AN2209" s="118">
        <v>22312</v>
      </c>
      <c r="AO2209" s="118">
        <v>104</v>
      </c>
      <c r="AP2209" s="118">
        <f t="shared" si="34"/>
        <v>200</v>
      </c>
    </row>
    <row r="2210" spans="1:42" ht="12.75">
      <c r="A2210" s="106">
        <v>2018</v>
      </c>
      <c r="B2210" s="106">
        <v>-449870</v>
      </c>
      <c r="C2210" s="106">
        <v>0</v>
      </c>
      <c r="D2210" s="106">
        <v>449870</v>
      </c>
      <c r="E2210" s="106" t="s">
        <v>3380</v>
      </c>
      <c r="F2210" s="106" t="s">
        <v>3381</v>
      </c>
      <c r="G2210" s="106" t="s">
        <v>121</v>
      </c>
      <c r="H2210" s="106">
        <v>7</v>
      </c>
      <c r="I2210" s="106" t="s">
        <v>3641</v>
      </c>
      <c r="J2210" s="106">
        <v>11940</v>
      </c>
      <c r="K2210" s="106">
        <v>9580</v>
      </c>
      <c r="L2210" s="106">
        <v>8028</v>
      </c>
      <c r="M2210" s="106">
        <v>0.67</v>
      </c>
      <c r="N2210" s="106">
        <v>0.48</v>
      </c>
      <c r="O2210" s="106">
        <v>0.96</v>
      </c>
      <c r="P2210" s="106">
        <v>5617</v>
      </c>
      <c r="Q2210" s="106">
        <v>4927.0973451327436</v>
      </c>
      <c r="R2210" s="106">
        <v>0.22438088029966241</v>
      </c>
      <c r="S2210" s="106">
        <v>33633.349557522124</v>
      </c>
      <c r="T2210" s="106">
        <v>40576.411504424781</v>
      </c>
      <c r="U2210" s="106">
        <v>37147.83355148082</v>
      </c>
      <c r="V2210" s="106">
        <v>0.45847991039981284</v>
      </c>
      <c r="W2210" s="106">
        <v>89595.298245614031</v>
      </c>
      <c r="X2210" s="110">
        <v>0.55690100257691455</v>
      </c>
      <c r="Y2210" s="106">
        <v>378.125</v>
      </c>
      <c r="Z2210" s="106">
        <v>14.125</v>
      </c>
      <c r="AA2210" s="106">
        <v>115005.62167992693</v>
      </c>
      <c r="AB2210" s="106">
        <v>1387.6711376255646</v>
      </c>
      <c r="AC2210" s="106">
        <v>0.86952271149240701</v>
      </c>
      <c r="AD2210" s="106">
        <v>24.662162162162161</v>
      </c>
      <c r="AE2210" s="106">
        <v>82.876712328767127</v>
      </c>
      <c r="AF2210" s="106">
        <v>-4.1563955804772346E-2</v>
      </c>
      <c r="AG2210" s="106">
        <v>11040</v>
      </c>
      <c r="AH2210" s="106">
        <v>22754.20796460177</v>
      </c>
      <c r="AI2210" s="106">
        <v>33633.349557522124</v>
      </c>
      <c r="AJ2210" s="106">
        <v>34975.340707964599</v>
      </c>
      <c r="AK2210" s="104">
        <v>37280.030973451328</v>
      </c>
      <c r="AL2210" s="118"/>
      <c r="AM2210" s="118">
        <v>187</v>
      </c>
      <c r="AN2210" s="118">
        <v>6050</v>
      </c>
      <c r="AO2210" s="118">
        <v>28</v>
      </c>
      <c r="AP2210" s="118">
        <f t="shared" si="34"/>
        <v>900</v>
      </c>
    </row>
    <row r="2211" spans="1:42" ht="12.75">
      <c r="A2211" s="106">
        <v>2018</v>
      </c>
      <c r="B2211" s="106">
        <v>3000</v>
      </c>
      <c r="C2211" s="106">
        <v>1</v>
      </c>
      <c r="D2211" s="106">
        <v>206084</v>
      </c>
      <c r="E2211" s="106" t="s">
        <v>3890</v>
      </c>
      <c r="F2211" s="106" t="s">
        <v>3343</v>
      </c>
      <c r="G2211" s="106" t="s">
        <v>82</v>
      </c>
      <c r="H2211" s="106">
        <v>1</v>
      </c>
      <c r="I2211" s="106" t="s">
        <v>23</v>
      </c>
      <c r="J2211" s="106">
        <v>9547</v>
      </c>
      <c r="K2211" s="106">
        <v>16588</v>
      </c>
      <c r="L2211" s="106">
        <v>13357</v>
      </c>
      <c r="M2211" s="106">
        <v>0.36</v>
      </c>
      <c r="N2211" s="106">
        <v>0.57999999999999996</v>
      </c>
      <c r="O2211" s="106">
        <v>0.86</v>
      </c>
      <c r="P2211" s="106">
        <v>6402</v>
      </c>
      <c r="Q2211" s="106">
        <v>4201.3146868134809</v>
      </c>
      <c r="R2211" s="106">
        <v>0.28178717440006507</v>
      </c>
      <c r="S2211" s="106">
        <v>46434.574291378667</v>
      </c>
      <c r="T2211" s="106">
        <v>45070.889835503403</v>
      </c>
      <c r="U2211" s="106">
        <v>19909.330852383828</v>
      </c>
      <c r="V2211" s="106">
        <v>0.5378491450893893</v>
      </c>
      <c r="W2211" s="106">
        <v>153915.29213483146</v>
      </c>
      <c r="X2211" s="110">
        <v>0.56998343392119155</v>
      </c>
      <c r="Y2211" s="106">
        <v>438.3117221418234</v>
      </c>
      <c r="Z2211" s="106">
        <v>16.205209840810419</v>
      </c>
      <c r="AA2211" s="106">
        <v>82976.293367136968</v>
      </c>
      <c r="AB2211" s="106">
        <v>736.0854568899864</v>
      </c>
      <c r="AC2211" s="106">
        <v>1.20516349841683</v>
      </c>
      <c r="AD2211" s="106">
        <v>25.029344363087585</v>
      </c>
      <c r="AE2211" s="106">
        <v>112.72644037516748</v>
      </c>
      <c r="AF2211" s="106">
        <v>0.36996696365055631</v>
      </c>
      <c r="AG2211" s="106">
        <v>8052</v>
      </c>
      <c r="AH2211" s="106">
        <v>45256.194448909606</v>
      </c>
      <c r="AI2211" s="106">
        <v>45506.05004554466</v>
      </c>
      <c r="AJ2211" s="106">
        <v>47284.849649038202</v>
      </c>
      <c r="AK2211" s="104">
        <v>24684.999196270695</v>
      </c>
      <c r="AL2211" s="119">
        <v>109232321</v>
      </c>
      <c r="AM2211" s="119">
        <v>16194</v>
      </c>
      <c r="AN2211" s="118">
        <v>504789</v>
      </c>
      <c r="AO2211" s="119">
        <v>2876</v>
      </c>
      <c r="AP2211" s="118">
        <f t="shared" si="34"/>
        <v>1495</v>
      </c>
    </row>
    <row r="2212" spans="1:42" ht="12.75">
      <c r="A2212" s="106">
        <v>2018</v>
      </c>
      <c r="B2212" s="106">
        <v>-207971</v>
      </c>
      <c r="C2212" s="106">
        <v>0</v>
      </c>
      <c r="D2212" s="106">
        <v>207971</v>
      </c>
      <c r="E2212" s="106" t="s">
        <v>3344</v>
      </c>
      <c r="F2212" s="106" t="s">
        <v>2376</v>
      </c>
      <c r="G2212" s="106" t="s">
        <v>271</v>
      </c>
      <c r="H2212" s="106">
        <v>5</v>
      </c>
      <c r="I2212" s="106" t="s">
        <v>3639</v>
      </c>
      <c r="J2212" s="106">
        <v>39502</v>
      </c>
      <c r="K2212" s="106">
        <v>25436</v>
      </c>
      <c r="L2212" s="106">
        <v>15416</v>
      </c>
      <c r="M2212" s="106">
        <v>0.21</v>
      </c>
      <c r="N2212" s="106">
        <v>0.38</v>
      </c>
      <c r="O2212" s="106">
        <v>0.98</v>
      </c>
      <c r="P2212" s="106">
        <v>30249</v>
      </c>
      <c r="Q2212" s="106">
        <v>21551.508527504204</v>
      </c>
      <c r="R2212" s="106">
        <v>0.57885290657369126</v>
      </c>
      <c r="S2212" s="106">
        <v>39676.678356954122</v>
      </c>
      <c r="T2212" s="106">
        <v>49127.822483785734</v>
      </c>
      <c r="U2212" s="106">
        <v>30611.843265212992</v>
      </c>
      <c r="V2212" s="106">
        <v>0.51221675791853938</v>
      </c>
      <c r="W2212" s="106">
        <v>98747.413509933787</v>
      </c>
      <c r="X2212" s="110">
        <v>0.60755766483941298</v>
      </c>
      <c r="Y2212" s="106">
        <v>290.69636678200692</v>
      </c>
      <c r="Z2212" s="106">
        <v>10.803633217993081</v>
      </c>
      <c r="AA2212" s="106">
        <v>101624.48446019273</v>
      </c>
      <c r="AB2212" s="106">
        <v>1137.6789136551506</v>
      </c>
      <c r="AC2212" s="106">
        <v>0.98401483196867723</v>
      </c>
      <c r="AD2212" s="106">
        <v>30.392632089190496</v>
      </c>
      <c r="AE2212" s="106">
        <v>89.326156299840505</v>
      </c>
      <c r="AF2212" s="106">
        <v>4.1405960572415801E-2</v>
      </c>
      <c r="AG2212" s="106">
        <v>39012</v>
      </c>
      <c r="AH2212" s="106">
        <v>27499.866202257988</v>
      </c>
      <c r="AI2212" s="106">
        <v>40004.202978621186</v>
      </c>
      <c r="AJ2212" s="106">
        <v>57204.412202738407</v>
      </c>
      <c r="AK2212" s="104">
        <v>40513.018496276723</v>
      </c>
      <c r="AL2212" s="118"/>
      <c r="AM2212" s="118">
        <v>3343</v>
      </c>
      <c r="AN2212" s="118">
        <v>112015</v>
      </c>
      <c r="AO2212" s="118">
        <v>864</v>
      </c>
      <c r="AP2212" s="118">
        <f t="shared" si="34"/>
        <v>490</v>
      </c>
    </row>
    <row r="2213" spans="1:42" ht="12.75">
      <c r="A2213" s="106">
        <v>2018</v>
      </c>
      <c r="B2213" s="106">
        <v>-230764</v>
      </c>
      <c r="C2213" s="106">
        <v>0</v>
      </c>
      <c r="D2213" s="106">
        <v>230764</v>
      </c>
      <c r="E2213" s="106" t="s">
        <v>3345</v>
      </c>
      <c r="F2213" s="106" t="s">
        <v>2698</v>
      </c>
      <c r="G2213" s="106" t="s">
        <v>458</v>
      </c>
      <c r="H2213" s="106">
        <v>1</v>
      </c>
      <c r="I2213" s="106" t="s">
        <v>23</v>
      </c>
      <c r="J2213" s="106">
        <v>8884</v>
      </c>
      <c r="K2213" s="106">
        <v>13460</v>
      </c>
      <c r="L2213" s="106">
        <v>12021</v>
      </c>
      <c r="M2213" s="106">
        <v>0.22</v>
      </c>
      <c r="N2213" s="106">
        <v>0.3</v>
      </c>
      <c r="O2213" s="106">
        <v>0.7</v>
      </c>
      <c r="P2213" s="106">
        <v>5849</v>
      </c>
      <c r="Q2213" s="106">
        <v>1613.4842315920225</v>
      </c>
      <c r="R2213" s="106">
        <v>0.10776491844231505</v>
      </c>
      <c r="S2213" s="106">
        <v>169754.36477813814</v>
      </c>
      <c r="T2213" s="106">
        <v>159653.57808294805</v>
      </c>
      <c r="U2213" s="106">
        <v>20370.984497494344</v>
      </c>
      <c r="V2213" s="106">
        <v>0.65577460987940772</v>
      </c>
      <c r="W2213" s="106">
        <v>202146.69637823181</v>
      </c>
      <c r="X2213" s="110">
        <v>0.54241249340836983</v>
      </c>
      <c r="Y2213" s="106">
        <v>187.92860557768927</v>
      </c>
      <c r="Z2213" s="106">
        <v>6.9279681274900407</v>
      </c>
      <c r="AA2213" s="106">
        <v>68618.302267129373</v>
      </c>
      <c r="AB2213" s="106">
        <v>750.97418453356158</v>
      </c>
      <c r="AC2213" s="106">
        <v>1.457337134496602</v>
      </c>
      <c r="AD2213" s="106">
        <v>31.13668439908805</v>
      </c>
      <c r="AE2213" s="106">
        <v>91.372384937238493</v>
      </c>
      <c r="AF2213" s="106">
        <v>0.11913198398398236</v>
      </c>
      <c r="AG2213" s="106">
        <v>7697</v>
      </c>
      <c r="AH2213" s="106">
        <v>164651.43882409771</v>
      </c>
      <c r="AI2213" s="106">
        <v>170129.77020219446</v>
      </c>
      <c r="AJ2213" s="106">
        <v>172880.27051273204</v>
      </c>
      <c r="AK2213" s="104">
        <v>65694.15499275412</v>
      </c>
      <c r="AL2213" s="118">
        <v>335828000</v>
      </c>
      <c r="AM2213" s="118">
        <v>24635</v>
      </c>
      <c r="AN2213" s="118">
        <v>786168</v>
      </c>
      <c r="AO2213" s="118">
        <v>5263</v>
      </c>
      <c r="AP2213" s="118">
        <f t="shared" si="34"/>
        <v>1187</v>
      </c>
    </row>
    <row r="2214" spans="1:42" ht="12.75">
      <c r="A2214" s="106">
        <v>2018</v>
      </c>
      <c r="B2214" s="106">
        <v>-216542</v>
      </c>
      <c r="C2214" s="106">
        <v>0</v>
      </c>
      <c r="D2214" s="106">
        <v>216542</v>
      </c>
      <c r="E2214" s="106" t="s">
        <v>3346</v>
      </c>
      <c r="F2214" s="106" t="s">
        <v>3347</v>
      </c>
      <c r="G2214" s="106" t="s">
        <v>104</v>
      </c>
      <c r="H2214" s="106">
        <v>7</v>
      </c>
      <c r="I2214" s="106" t="s">
        <v>3641</v>
      </c>
      <c r="J2214" s="106">
        <v>21370</v>
      </c>
      <c r="K2214" s="106">
        <v>19833</v>
      </c>
      <c r="L2214" s="106">
        <v>17499</v>
      </c>
      <c r="M2214" s="106">
        <v>0.48</v>
      </c>
      <c r="N2214" s="106">
        <v>0.83</v>
      </c>
      <c r="O2214" s="106">
        <v>0.96</v>
      </c>
      <c r="P2214" s="106">
        <v>10979</v>
      </c>
      <c r="Q2214" s="106">
        <v>6532.1390449438204</v>
      </c>
      <c r="R2214" s="106">
        <v>0.35998808626958817</v>
      </c>
      <c r="S2214" s="106">
        <v>20070.044943820223</v>
      </c>
      <c r="T2214" s="106">
        <v>24382.546348314605</v>
      </c>
      <c r="U2214" s="106">
        <v>17401.828651685395</v>
      </c>
      <c r="V2214" s="106">
        <v>0.66736044626589841</v>
      </c>
      <c r="W2214" s="106">
        <v>59627.73355263158</v>
      </c>
      <c r="X2214" s="110">
        <v>0.34804995261334537</v>
      </c>
      <c r="Y2214" s="106">
        <v>489.13953488372096</v>
      </c>
      <c r="Z2214" s="106">
        <v>16.558139534883722</v>
      </c>
      <c r="AA2214" s="106">
        <v>77438.137499999997</v>
      </c>
      <c r="AB2214" s="106">
        <v>589.07916131792899</v>
      </c>
      <c r="AC2214" s="106">
        <v>1.2913533722321253</v>
      </c>
      <c r="AD2214" s="106">
        <v>24.242424242424242</v>
      </c>
      <c r="AE2214" s="106">
        <v>131.45625000000001</v>
      </c>
      <c r="AF2214" s="106">
        <v>-0.28046752492329124</v>
      </c>
      <c r="AG2214" s="106">
        <v>19820</v>
      </c>
      <c r="AH2214" s="106">
        <v>18250.639044943819</v>
      </c>
      <c r="AI2214" s="106">
        <v>19802.627808988764</v>
      </c>
      <c r="AJ2214" s="106">
        <v>20076.217696629214</v>
      </c>
      <c r="AK2214" s="104">
        <v>18440.866573033709</v>
      </c>
      <c r="AL2214" s="118">
        <v>76480</v>
      </c>
      <c r="AM2214" s="118">
        <v>703</v>
      </c>
      <c r="AN2214" s="118">
        <v>21033</v>
      </c>
      <c r="AO2214" s="118">
        <v>132</v>
      </c>
      <c r="AP2214" s="118">
        <f t="shared" si="34"/>
        <v>1550</v>
      </c>
    </row>
    <row r="2215" spans="1:42" ht="12.75">
      <c r="A2215" s="106">
        <v>2018</v>
      </c>
      <c r="B2215" s="106">
        <v>-231174</v>
      </c>
      <c r="C2215" s="106">
        <v>0</v>
      </c>
      <c r="D2215" s="106">
        <v>231174</v>
      </c>
      <c r="E2215" s="106" t="s">
        <v>3348</v>
      </c>
      <c r="F2215" s="106" t="s">
        <v>487</v>
      </c>
      <c r="G2215" s="106" t="s">
        <v>345</v>
      </c>
      <c r="H2215" s="106">
        <v>1</v>
      </c>
      <c r="I2215" s="106" t="s">
        <v>23</v>
      </c>
      <c r="J2215" s="106">
        <v>17740</v>
      </c>
      <c r="K2215" s="106">
        <v>19261</v>
      </c>
      <c r="L2215" s="106">
        <v>12859</v>
      </c>
      <c r="M2215" s="106">
        <v>0.17</v>
      </c>
      <c r="N2215" s="106">
        <v>0.54</v>
      </c>
      <c r="O2215" s="106">
        <v>0.94</v>
      </c>
      <c r="P2215" s="106">
        <v>15919</v>
      </c>
      <c r="Q2215" s="106">
        <v>9865.5889145496531</v>
      </c>
      <c r="R2215" s="106">
        <v>0.29942663283473286</v>
      </c>
      <c r="S2215" s="106">
        <v>54496.843725943036</v>
      </c>
      <c r="T2215" s="106">
        <v>55061.816782140108</v>
      </c>
      <c r="U2215" s="106">
        <v>25950.663004385642</v>
      </c>
      <c r="V2215" s="106">
        <v>0.88948320819135773</v>
      </c>
      <c r="W2215" s="106">
        <v>114923.0155210643</v>
      </c>
      <c r="X2215" s="110">
        <v>0.6038688408157673</v>
      </c>
      <c r="Y2215" s="106">
        <v>245.64423942394239</v>
      </c>
      <c r="Z2215" s="106">
        <v>8.7691269126912701</v>
      </c>
      <c r="AA2215" s="106">
        <v>111033.96324998995</v>
      </c>
      <c r="AB2215" s="106">
        <v>926.39932402892555</v>
      </c>
      <c r="AC2215" s="106">
        <v>0.90062533186222249</v>
      </c>
      <c r="AD2215" s="106">
        <v>24.401221668542036</v>
      </c>
      <c r="AE2215" s="106">
        <v>119.85540184453228</v>
      </c>
      <c r="AF2215" s="106">
        <v>5.0037087290818634E-2</v>
      </c>
      <c r="AG2215" s="106">
        <v>15504</v>
      </c>
      <c r="AH2215" s="106">
        <v>50889.453425712083</v>
      </c>
      <c r="AI2215" s="106">
        <v>53315.858352578907</v>
      </c>
      <c r="AJ2215" s="106">
        <v>57052.809853733641</v>
      </c>
      <c r="AK2215" s="104">
        <v>45050.731331793686</v>
      </c>
      <c r="AL2215" s="118">
        <v>43010000</v>
      </c>
      <c r="AM2215" s="118">
        <v>11339</v>
      </c>
      <c r="AN2215" s="118">
        <v>363881</v>
      </c>
      <c r="AO2215" s="118">
        <v>2404</v>
      </c>
      <c r="AP2215" s="118">
        <f t="shared" si="34"/>
        <v>2236</v>
      </c>
    </row>
    <row r="2216" spans="1:42" ht="12.75">
      <c r="A2216" s="106">
        <v>2018</v>
      </c>
      <c r="B2216" s="106">
        <v>-234076</v>
      </c>
      <c r="C2216" s="106">
        <v>0</v>
      </c>
      <c r="D2216" s="106">
        <v>234076</v>
      </c>
      <c r="E2216" s="106" t="s">
        <v>3349</v>
      </c>
      <c r="F2216" s="106" t="s">
        <v>2459</v>
      </c>
      <c r="G2216" s="106" t="s">
        <v>261</v>
      </c>
      <c r="H2216" s="106">
        <v>1</v>
      </c>
      <c r="I2216" s="106" t="s">
        <v>23</v>
      </c>
      <c r="J2216" s="106">
        <v>16155</v>
      </c>
      <c r="K2216" s="106">
        <v>17845</v>
      </c>
      <c r="L2216" s="106">
        <v>8022</v>
      </c>
      <c r="M2216" s="106">
        <v>0.13</v>
      </c>
      <c r="N2216" s="106">
        <v>0.28999999999999998</v>
      </c>
      <c r="O2216" s="106">
        <v>0.36</v>
      </c>
      <c r="P2216" s="106">
        <v>18525</v>
      </c>
      <c r="Q2216" s="106">
        <v>7191.6435331230286</v>
      </c>
      <c r="R2216" s="106">
        <v>0.27646918109259455</v>
      </c>
      <c r="S2216" s="106">
        <v>119321.04674155575</v>
      </c>
      <c r="T2216" s="106">
        <v>130653.50938678156</v>
      </c>
      <c r="U2216" s="106">
        <v>28352.011078750893</v>
      </c>
      <c r="V2216" s="106">
        <v>0.66382650889589356</v>
      </c>
      <c r="W2216" s="106">
        <v>188192.18553754885</v>
      </c>
      <c r="X2216" s="110">
        <v>0.51060730222681994</v>
      </c>
      <c r="Y2216" s="106">
        <v>254.79476413929365</v>
      </c>
      <c r="Z2216" s="106">
        <v>9.6297851321313903</v>
      </c>
      <c r="AA2216" s="106">
        <v>103465.13772020928</v>
      </c>
      <c r="AB2216" s="106">
        <v>1071.5438979857552</v>
      </c>
      <c r="AC2216" s="106">
        <v>0.96650912764858321</v>
      </c>
      <c r="AD2216" s="106">
        <v>30.97360525285907</v>
      </c>
      <c r="AE2216" s="106">
        <v>96.557068650849359</v>
      </c>
      <c r="AF2216" s="106">
        <v>7.0628396000326013E-2</v>
      </c>
      <c r="AG2216" s="106">
        <v>13420</v>
      </c>
      <c r="AH2216" s="106">
        <v>110535.07774871124</v>
      </c>
      <c r="AI2216" s="106">
        <v>117046.13880126183</v>
      </c>
      <c r="AJ2216" s="106">
        <v>148529.99161344927</v>
      </c>
      <c r="AK2216" s="104">
        <v>56685.990151573438</v>
      </c>
      <c r="AL2216" s="118">
        <v>149778769</v>
      </c>
      <c r="AM2216" s="118">
        <v>16655</v>
      </c>
      <c r="AN2216" s="118">
        <v>687776</v>
      </c>
      <c r="AO2216" s="118">
        <v>4178</v>
      </c>
      <c r="AP2216" s="118">
        <f t="shared" si="34"/>
        <v>2735</v>
      </c>
    </row>
    <row r="2217" spans="1:42" ht="12.75">
      <c r="A2217" s="106">
        <v>2018</v>
      </c>
      <c r="B2217" s="106">
        <v>1645</v>
      </c>
      <c r="C2217" s="106">
        <v>1</v>
      </c>
      <c r="D2217" s="106">
        <v>236948</v>
      </c>
      <c r="E2217" s="106" t="s">
        <v>3891</v>
      </c>
      <c r="F2217" s="106" t="s">
        <v>181</v>
      </c>
      <c r="G2217" s="106" t="s">
        <v>182</v>
      </c>
      <c r="H2217" s="106">
        <v>1</v>
      </c>
      <c r="I2217" s="106" t="s">
        <v>23</v>
      </c>
      <c r="J2217" s="106">
        <v>10974</v>
      </c>
      <c r="K2217" s="106">
        <v>9765</v>
      </c>
      <c r="L2217" s="106">
        <v>7014</v>
      </c>
      <c r="M2217" s="106">
        <v>0.25</v>
      </c>
      <c r="N2217" s="106">
        <v>0.26</v>
      </c>
      <c r="O2217" s="106">
        <v>0.47</v>
      </c>
      <c r="P2217" s="106">
        <v>6932</v>
      </c>
      <c r="Q2217" s="106">
        <v>2635.9151478425706</v>
      </c>
      <c r="R2217" s="106">
        <v>0.14819171936324466</v>
      </c>
      <c r="S2217" s="106">
        <v>89445.678568653952</v>
      </c>
      <c r="T2217" s="106">
        <v>92223.91440202613</v>
      </c>
      <c r="U2217" s="106">
        <v>31936.058218790036</v>
      </c>
      <c r="V2217" s="106">
        <v>0.47442551239576003</v>
      </c>
      <c r="W2217" s="106">
        <v>194452.46596025035</v>
      </c>
      <c r="X2217" s="110">
        <v>0.59671361638024856</v>
      </c>
      <c r="Y2217" s="106">
        <v>328.97617351028771</v>
      </c>
      <c r="Z2217" s="106">
        <v>8.5987797274427713</v>
      </c>
      <c r="AA2217" s="106">
        <v>120932.7354026305</v>
      </c>
      <c r="AB2217" s="106">
        <v>834.74473867201289</v>
      </c>
      <c r="AC2217" s="106">
        <v>0.82690596278222317</v>
      </c>
      <c r="AD2217" s="106">
        <v>32.130366561430705</v>
      </c>
      <c r="AE2217" s="106">
        <v>144.87391150859025</v>
      </c>
      <c r="AF2217" s="106">
        <v>7.9093858471934259E-2</v>
      </c>
      <c r="AG2217" s="106">
        <v>9909</v>
      </c>
      <c r="AH2217" s="106">
        <v>85949.365014994022</v>
      </c>
      <c r="AI2217" s="106">
        <v>88539.849982131476</v>
      </c>
      <c r="AJ2217" s="106">
        <v>95729.363072763721</v>
      </c>
      <c r="AK2217" s="104">
        <v>53505.510884258612</v>
      </c>
      <c r="AL2217" s="119">
        <v>362267426</v>
      </c>
      <c r="AM2217" s="118">
        <v>41132</v>
      </c>
      <c r="AN2217" s="118">
        <v>2462277</v>
      </c>
      <c r="AO2217" s="118">
        <v>11095</v>
      </c>
      <c r="AP2217" s="118">
        <f t="shared" si="34"/>
        <v>1065</v>
      </c>
    </row>
    <row r="2218" spans="1:42" ht="12.75">
      <c r="A2218" s="106">
        <v>2018</v>
      </c>
      <c r="B2218" s="106">
        <v>-101587</v>
      </c>
      <c r="C2218" s="106">
        <v>0</v>
      </c>
      <c r="D2218" s="106">
        <v>101587</v>
      </c>
      <c r="E2218" s="106" t="s">
        <v>3350</v>
      </c>
      <c r="F2218" s="106" t="s">
        <v>3351</v>
      </c>
      <c r="G2218" s="106" t="s">
        <v>85</v>
      </c>
      <c r="H2218" s="106">
        <v>2</v>
      </c>
      <c r="I2218" s="106" t="s">
        <v>25</v>
      </c>
      <c r="J2218" s="106">
        <v>9204</v>
      </c>
      <c r="K2218" s="106">
        <v>13357</v>
      </c>
      <c r="L2218" s="106">
        <v>12711</v>
      </c>
      <c r="M2218" s="106">
        <v>0.6</v>
      </c>
      <c r="N2218" s="106">
        <v>0.96</v>
      </c>
      <c r="O2218" s="106">
        <v>0.66</v>
      </c>
      <c r="P2218" s="106">
        <v>5332</v>
      </c>
      <c r="Q2218" s="106">
        <v>938.83402897127428</v>
      </c>
      <c r="R2218" s="106">
        <v>8.980430315216692E-2</v>
      </c>
      <c r="S2218" s="106">
        <v>16088.726491529585</v>
      </c>
      <c r="T2218" s="106">
        <v>16771.422784188559</v>
      </c>
      <c r="U2218" s="106">
        <v>12404.073624677083</v>
      </c>
      <c r="V2218" s="106">
        <v>0.7671179022546617</v>
      </c>
      <c r="W2218" s="106">
        <v>76771.892400806988</v>
      </c>
      <c r="X2218" s="110">
        <v>0.55706727001410705</v>
      </c>
      <c r="Y2218" s="106">
        <v>667.02231237322508</v>
      </c>
      <c r="Z2218" s="106">
        <v>24.784989858012167</v>
      </c>
      <c r="AA2218" s="106">
        <v>43741.811145722735</v>
      </c>
      <c r="AB2218" s="106">
        <v>460.90637941603956</v>
      </c>
      <c r="AC2218" s="106">
        <v>2.2861421916631914</v>
      </c>
      <c r="AD2218" s="106">
        <v>26.27986348122867</v>
      </c>
      <c r="AE2218" s="106">
        <v>94.903896103896102</v>
      </c>
      <c r="AF2218" s="106">
        <v>0.20363274626039624</v>
      </c>
      <c r="AG2218" s="106">
        <v>7614</v>
      </c>
      <c r="AH2218" s="106">
        <v>16868.965136263196</v>
      </c>
      <c r="AI2218" s="106">
        <v>16868.965136263196</v>
      </c>
      <c r="AJ2218" s="106">
        <v>16089.215074883379</v>
      </c>
      <c r="AK2218" s="104">
        <v>13140.786643751535</v>
      </c>
      <c r="AL2218" s="118">
        <v>16390241</v>
      </c>
      <c r="AM2218" s="118">
        <v>2111</v>
      </c>
      <c r="AN2218" s="118">
        <v>109614</v>
      </c>
      <c r="AO2218" s="118">
        <v>354</v>
      </c>
      <c r="AP2218" s="118">
        <f t="shared" si="34"/>
        <v>1590</v>
      </c>
    </row>
    <row r="2219" spans="1:42" ht="12.75">
      <c r="A2219" s="106">
        <v>2018</v>
      </c>
      <c r="B2219" s="106">
        <v>-141334</v>
      </c>
      <c r="C2219" s="106">
        <v>0</v>
      </c>
      <c r="D2219" s="106">
        <v>141334</v>
      </c>
      <c r="E2219" s="106" t="s">
        <v>3352</v>
      </c>
      <c r="F2219" s="106" t="s">
        <v>3353</v>
      </c>
      <c r="G2219" s="106" t="s">
        <v>63</v>
      </c>
      <c r="H2219" s="106">
        <v>1</v>
      </c>
      <c r="I2219" s="106" t="s">
        <v>23</v>
      </c>
      <c r="J2219" s="106">
        <v>6226</v>
      </c>
      <c r="K2219" s="106">
        <v>15392</v>
      </c>
      <c r="L2219" s="106">
        <v>14076</v>
      </c>
      <c r="M2219" s="106">
        <v>0.53</v>
      </c>
      <c r="N2219" s="106">
        <v>0.65</v>
      </c>
      <c r="O2219" s="106">
        <v>0.15</v>
      </c>
      <c r="P2219" s="106">
        <v>4899</v>
      </c>
      <c r="Q2219" s="106">
        <v>732.75889533373731</v>
      </c>
      <c r="R2219" s="106">
        <v>8.2875241756637907E-2</v>
      </c>
      <c r="S2219" s="106">
        <v>18883.216604622976</v>
      </c>
      <c r="T2219" s="106">
        <v>20175.961042333998</v>
      </c>
      <c r="U2219" s="106">
        <v>13806.349982468912</v>
      </c>
      <c r="V2219" s="106">
        <v>0.58733493039204321</v>
      </c>
      <c r="W2219" s="106">
        <v>80496.189702427568</v>
      </c>
      <c r="X2219" s="110">
        <v>0.58809995048069119</v>
      </c>
      <c r="Y2219" s="106">
        <v>601.7377830750894</v>
      </c>
      <c r="Z2219" s="106">
        <v>20.651370679380214</v>
      </c>
      <c r="AA2219" s="106">
        <v>59976.362785821133</v>
      </c>
      <c r="AB2219" s="106">
        <v>473.82773566279548</v>
      </c>
      <c r="AC2219" s="106">
        <v>1.6673235147170471</v>
      </c>
      <c r="AD2219" s="106">
        <v>23.954954954954953</v>
      </c>
      <c r="AE2219" s="106">
        <v>126.57841293719443</v>
      </c>
      <c r="AF2219" s="106">
        <v>-0.10529549940952211</v>
      </c>
      <c r="AG2219" s="106">
        <v>4264</v>
      </c>
      <c r="AH2219" s="106">
        <v>18019.55319885724</v>
      </c>
      <c r="AI2219" s="106">
        <v>18195.054713877587</v>
      </c>
      <c r="AJ2219" s="106">
        <v>18957.673361613713</v>
      </c>
      <c r="AK2219" s="104">
        <v>14820.059821660463</v>
      </c>
      <c r="AL2219" s="118">
        <v>59326040</v>
      </c>
      <c r="AM2219" s="118">
        <v>11229</v>
      </c>
      <c r="AN2219" s="118">
        <v>336572</v>
      </c>
      <c r="AO2219" s="118">
        <v>1737</v>
      </c>
      <c r="AP2219" s="118">
        <f t="shared" si="34"/>
        <v>1962</v>
      </c>
    </row>
    <row r="2220" spans="1:42" ht="12.75">
      <c r="A2220" s="106">
        <v>2018</v>
      </c>
      <c r="B2220" s="106">
        <v>3068</v>
      </c>
      <c r="C2220" s="106">
        <v>1</v>
      </c>
      <c r="D2220" s="106">
        <v>240055</v>
      </c>
      <c r="E2220" s="106" t="s">
        <v>4262</v>
      </c>
      <c r="F2220" s="106" t="s">
        <v>988</v>
      </c>
      <c r="G2220" s="106" t="s">
        <v>139</v>
      </c>
      <c r="H2220" s="106">
        <v>4</v>
      </c>
      <c r="I2220" s="106" t="s">
        <v>24</v>
      </c>
      <c r="J2220" s="106">
        <v>5172</v>
      </c>
      <c r="K2220" s="106"/>
      <c r="L2220" s="106"/>
      <c r="M2220" s="106">
        <v>0.36</v>
      </c>
      <c r="N2220" s="106">
        <v>0.3</v>
      </c>
      <c r="O2220" s="106">
        <v>0.09</v>
      </c>
      <c r="P2220" s="106">
        <v>1006</v>
      </c>
      <c r="Q2220" s="106">
        <v>413.37197809536531</v>
      </c>
      <c r="R2220" s="106">
        <v>7.1679579184287412E-2</v>
      </c>
      <c r="S2220" s="106">
        <v>11916.955522906372</v>
      </c>
      <c r="T2220" s="106">
        <v>12780.583010551623</v>
      </c>
      <c r="U2220" s="106">
        <v>9821.4064227323579</v>
      </c>
      <c r="V2220" s="106">
        <v>0.54509199847084633</v>
      </c>
      <c r="W2220" s="106">
        <v>84838.756983240222</v>
      </c>
      <c r="X2220" s="110">
        <v>0.63481739785642377</v>
      </c>
      <c r="Y2220" s="106">
        <v>605.18280542986429</v>
      </c>
      <c r="Z2220" s="106">
        <v>20.326696832579188</v>
      </c>
      <c r="AA2220" s="106">
        <v>52114.011259388491</v>
      </c>
      <c r="AB2220" s="106">
        <v>329.87842521834995</v>
      </c>
      <c r="AC2220" s="106">
        <v>1.9188697546666915</v>
      </c>
      <c r="AD2220" s="106">
        <v>17.829163507707861</v>
      </c>
      <c r="AE2220" s="106">
        <v>157.97944720056697</v>
      </c>
      <c r="AF2220" s="106">
        <v>-0.15452519367933748</v>
      </c>
      <c r="AG2220" s="106">
        <v>4750</v>
      </c>
      <c r="AH2220" s="106">
        <v>10552.084412982504</v>
      </c>
      <c r="AI2220" s="106">
        <v>10902.595699211968</v>
      </c>
      <c r="AJ2220" s="106">
        <v>11972.12421530653</v>
      </c>
      <c r="AK2220" s="104">
        <v>11684.749565914251</v>
      </c>
      <c r="AL2220" s="118">
        <v>27139623</v>
      </c>
      <c r="AM2220" s="118">
        <v>11540</v>
      </c>
      <c r="AN2220" s="118">
        <v>222909</v>
      </c>
      <c r="AO2220" s="118">
        <v>1411</v>
      </c>
      <c r="AP2220" s="118">
        <f t="shared" si="34"/>
        <v>422</v>
      </c>
    </row>
    <row r="2221" spans="1:42" ht="12.75">
      <c r="A2221" s="106">
        <v>2018</v>
      </c>
      <c r="B2221" s="106">
        <v>-240268</v>
      </c>
      <c r="C2221" s="106">
        <v>0</v>
      </c>
      <c r="D2221" s="106">
        <v>240268</v>
      </c>
      <c r="E2221" s="106" t="s">
        <v>3354</v>
      </c>
      <c r="F2221" s="106" t="s">
        <v>729</v>
      </c>
      <c r="G2221" s="106" t="s">
        <v>139</v>
      </c>
      <c r="H2221" s="106">
        <v>2</v>
      </c>
      <c r="I2221" s="106" t="s">
        <v>25</v>
      </c>
      <c r="J2221" s="106">
        <v>8816</v>
      </c>
      <c r="K2221" s="106">
        <v>13940</v>
      </c>
      <c r="L2221" s="106">
        <v>8996</v>
      </c>
      <c r="M2221" s="106">
        <v>0.23</v>
      </c>
      <c r="N2221" s="106">
        <v>0.57999999999999996</v>
      </c>
      <c r="O2221" s="106">
        <v>0.45</v>
      </c>
      <c r="P2221" s="106">
        <v>1346</v>
      </c>
      <c r="Q2221" s="106">
        <v>584.70176322418138</v>
      </c>
      <c r="R2221" s="106">
        <v>7.3620451527537795E-2</v>
      </c>
      <c r="S2221" s="106">
        <v>17491.154357682619</v>
      </c>
      <c r="T2221" s="106">
        <v>17759.969571788413</v>
      </c>
      <c r="U2221" s="106">
        <v>13067.518897815356</v>
      </c>
      <c r="V2221" s="106">
        <v>0.56303027554627016</v>
      </c>
      <c r="W2221" s="106">
        <v>94815.723815461359</v>
      </c>
      <c r="X2221" s="110">
        <v>0.57520246279043141</v>
      </c>
      <c r="Y2221" s="106">
        <v>664.47058823529414</v>
      </c>
      <c r="Z2221" s="106">
        <v>22.45475113122172</v>
      </c>
      <c r="AA2221" s="106">
        <v>54447.995407563991</v>
      </c>
      <c r="AB2221" s="106">
        <v>441.59649794623493</v>
      </c>
      <c r="AC2221" s="106">
        <v>1.8366149065996262</v>
      </c>
      <c r="AD2221" s="106">
        <v>23.621578738595794</v>
      </c>
      <c r="AE2221" s="106">
        <v>123.29806884970613</v>
      </c>
      <c r="AF2221" s="106">
        <v>5.5628023635595231E-3</v>
      </c>
      <c r="AG2221" s="106">
        <v>7361</v>
      </c>
      <c r="AH2221" s="106">
        <v>16294.766246851384</v>
      </c>
      <c r="AI2221" s="106">
        <v>16926.87274559194</v>
      </c>
      <c r="AJ2221" s="106">
        <v>17589.022267002518</v>
      </c>
      <c r="AK2221" s="104">
        <v>14299.911032745593</v>
      </c>
      <c r="AL2221" s="118">
        <v>27293427</v>
      </c>
      <c r="AM2221" s="118">
        <v>10183</v>
      </c>
      <c r="AN2221" s="118">
        <v>293696</v>
      </c>
      <c r="AO2221" s="118">
        <v>1983</v>
      </c>
      <c r="AP2221" s="118">
        <f t="shared" si="34"/>
        <v>1455</v>
      </c>
    </row>
    <row r="2222" spans="1:42" ht="12.75">
      <c r="A2222" s="106">
        <v>2018</v>
      </c>
      <c r="B2222" s="106">
        <v>-240277</v>
      </c>
      <c r="C2222" s="106">
        <v>0</v>
      </c>
      <c r="D2222" s="106">
        <v>240277</v>
      </c>
      <c r="E2222" s="106" t="s">
        <v>3355</v>
      </c>
      <c r="F2222" s="106" t="s">
        <v>2242</v>
      </c>
      <c r="G2222" s="106" t="s">
        <v>139</v>
      </c>
      <c r="H2222" s="106">
        <v>2</v>
      </c>
      <c r="I2222" s="106" t="s">
        <v>25</v>
      </c>
      <c r="J2222" s="106">
        <v>7878</v>
      </c>
      <c r="K2222" s="106">
        <v>12323</v>
      </c>
      <c r="L2222" s="106">
        <v>9076</v>
      </c>
      <c r="M2222" s="106">
        <v>0.31</v>
      </c>
      <c r="N2222" s="106">
        <v>0.62</v>
      </c>
      <c r="O2222" s="106">
        <v>0.21</v>
      </c>
      <c r="P2222" s="106">
        <v>4093</v>
      </c>
      <c r="Q2222" s="106">
        <v>795.85523300229181</v>
      </c>
      <c r="R2222" s="106">
        <v>0.11749839588995935</v>
      </c>
      <c r="S2222" s="106">
        <v>17274.606951871658</v>
      </c>
      <c r="T2222" s="106">
        <v>17502.567608861726</v>
      </c>
      <c r="U2222" s="106">
        <v>12092.753981588048</v>
      </c>
      <c r="V2222" s="106">
        <v>0.49430206478467614</v>
      </c>
      <c r="W2222" s="106">
        <v>88893.6328125</v>
      </c>
      <c r="X2222" s="110">
        <v>0.5794100230454019</v>
      </c>
      <c r="Y2222" s="106">
        <v>742.32591414944363</v>
      </c>
      <c r="Z2222" s="106">
        <v>24.972972972972975</v>
      </c>
      <c r="AA2222" s="106">
        <v>45948.954896658215</v>
      </c>
      <c r="AB2222" s="106">
        <v>406.81863935335178</v>
      </c>
      <c r="AC2222" s="106">
        <v>2.1763280628450774</v>
      </c>
      <c r="AD2222" s="106">
        <v>25.570606791612544</v>
      </c>
      <c r="AE2222" s="106">
        <v>112.94702467343977</v>
      </c>
      <c r="AF2222" s="106">
        <v>5.6484603001284422E-3</v>
      </c>
      <c r="AG2222" s="106">
        <v>6298</v>
      </c>
      <c r="AH2222" s="106">
        <v>15893.004201680673</v>
      </c>
      <c r="AI2222" s="106">
        <v>16991.440794499616</v>
      </c>
      <c r="AJ2222" s="106">
        <v>17349.124140565316</v>
      </c>
      <c r="AK2222" s="104">
        <v>14283.355423987778</v>
      </c>
      <c r="AL2222" s="118">
        <v>18387781</v>
      </c>
      <c r="AM2222" s="118">
        <v>6811</v>
      </c>
      <c r="AN2222" s="118">
        <v>155641</v>
      </c>
      <c r="AO2222" s="118">
        <v>1222</v>
      </c>
      <c r="AP2222" s="118">
        <f t="shared" si="34"/>
        <v>1580</v>
      </c>
    </row>
    <row r="2223" spans="1:42" ht="12.75">
      <c r="A2223" s="106">
        <v>2018</v>
      </c>
      <c r="B2223" s="106">
        <v>-240329</v>
      </c>
      <c r="C2223" s="106">
        <v>0</v>
      </c>
      <c r="D2223" s="106">
        <v>240329</v>
      </c>
      <c r="E2223" s="106" t="s">
        <v>3356</v>
      </c>
      <c r="F2223" s="106" t="s">
        <v>3357</v>
      </c>
      <c r="G2223" s="106" t="s">
        <v>139</v>
      </c>
      <c r="H2223" s="106">
        <v>2</v>
      </c>
      <c r="I2223" s="106" t="s">
        <v>25</v>
      </c>
      <c r="J2223" s="106">
        <v>9096</v>
      </c>
      <c r="K2223" s="106">
        <v>12419</v>
      </c>
      <c r="L2223" s="106">
        <v>8251</v>
      </c>
      <c r="M2223" s="106">
        <v>0.2</v>
      </c>
      <c r="N2223" s="106">
        <v>0.55000000000000004</v>
      </c>
      <c r="O2223" s="106">
        <v>0.21</v>
      </c>
      <c r="P2223" s="106">
        <v>1985</v>
      </c>
      <c r="Q2223" s="107">
        <v>423.8736074139801</v>
      </c>
      <c r="R2223" s="106">
        <v>5.2007137909669543E-2</v>
      </c>
      <c r="S2223" s="106">
        <v>15869.265799073253</v>
      </c>
      <c r="T2223" s="106">
        <v>16152.900522527852</v>
      </c>
      <c r="U2223" s="106">
        <v>12491.205550747667</v>
      </c>
      <c r="V2223" s="106">
        <v>0.61854903576598852</v>
      </c>
      <c r="W2223" s="106">
        <v>85452.559171597633</v>
      </c>
      <c r="X2223" s="110">
        <v>0.58762948011055005</v>
      </c>
      <c r="Y2223" s="106">
        <v>579.23031496062993</v>
      </c>
      <c r="Z2223" s="106">
        <v>19.966535433070867</v>
      </c>
      <c r="AA2223" s="106">
        <v>55888.089060976439</v>
      </c>
      <c r="AB2223" s="106">
        <v>430.58191498096369</v>
      </c>
      <c r="AC2223" s="106">
        <v>1.7892900201131492</v>
      </c>
      <c r="AD2223" s="106">
        <v>22.855126524851297</v>
      </c>
      <c r="AE2223" s="106">
        <v>129.7966475518306</v>
      </c>
      <c r="AF2223" s="106">
        <v>0.20231450830841921</v>
      </c>
      <c r="AG2223" s="106">
        <v>7585</v>
      </c>
      <c r="AH2223" s="106">
        <v>15610.391797298629</v>
      </c>
      <c r="AI2223" s="106">
        <v>15899.71083505866</v>
      </c>
      <c r="AJ2223" s="106">
        <v>15981.336685398797</v>
      </c>
      <c r="AK2223" s="104">
        <v>13440.274179236912</v>
      </c>
      <c r="AL2223" s="118">
        <v>22082394</v>
      </c>
      <c r="AM2223" s="118">
        <v>9705</v>
      </c>
      <c r="AN2223" s="118">
        <v>294249</v>
      </c>
      <c r="AO2223" s="118">
        <v>1919</v>
      </c>
      <c r="AP2223" s="118">
        <f t="shared" si="34"/>
        <v>1511</v>
      </c>
    </row>
    <row r="2224" spans="1:42" ht="12.75">
      <c r="A2224" s="106">
        <v>2018</v>
      </c>
      <c r="B2224" s="106">
        <v>-240444</v>
      </c>
      <c r="C2224" s="106">
        <v>0</v>
      </c>
      <c r="D2224" s="106">
        <v>240444</v>
      </c>
      <c r="E2224" s="106" t="s">
        <v>3358</v>
      </c>
      <c r="F2224" s="106" t="s">
        <v>988</v>
      </c>
      <c r="G2224" s="106" t="s">
        <v>139</v>
      </c>
      <c r="H2224" s="106">
        <v>1</v>
      </c>
      <c r="I2224" s="106" t="s">
        <v>23</v>
      </c>
      <c r="J2224" s="106">
        <v>10533</v>
      </c>
      <c r="K2224" s="106">
        <v>14169</v>
      </c>
      <c r="L2224" s="106">
        <v>5445</v>
      </c>
      <c r="M2224" s="106">
        <v>0.14000000000000001</v>
      </c>
      <c r="N2224" s="106">
        <v>0.34</v>
      </c>
      <c r="O2224" s="106">
        <v>0.34</v>
      </c>
      <c r="P2224" s="106">
        <v>8518</v>
      </c>
      <c r="Q2224" s="106">
        <v>2825.9338870179527</v>
      </c>
      <c r="R2224" s="106">
        <v>0.17778255650448296</v>
      </c>
      <c r="S2224" s="106">
        <v>70473.90532499431</v>
      </c>
      <c r="T2224" s="106">
        <v>70174.69407236726</v>
      </c>
      <c r="U2224" s="106">
        <v>21759.953805133708</v>
      </c>
      <c r="V2224" s="106">
        <v>0.60062245854988383</v>
      </c>
      <c r="W2224" s="106">
        <v>110460.05790532622</v>
      </c>
      <c r="X2224" s="110">
        <v>0.60089742691417858</v>
      </c>
      <c r="Y2224" s="106">
        <v>209.76957253450016</v>
      </c>
      <c r="Z2224" s="106">
        <v>7.9756984180410635</v>
      </c>
      <c r="AA2224" s="106">
        <v>63170.086417681967</v>
      </c>
      <c r="AB2224" s="106">
        <v>827.34033846452223</v>
      </c>
      <c r="AC2224" s="106">
        <v>1.5830277536553909</v>
      </c>
      <c r="AD2224" s="106">
        <v>33.788684119020417</v>
      </c>
      <c r="AE2224" s="106">
        <v>76.353204939723611</v>
      </c>
      <c r="AF2224" s="106">
        <v>3.9315125506110708E-2</v>
      </c>
      <c r="AG2224" s="106">
        <v>9273</v>
      </c>
      <c r="AH2224" s="106">
        <v>61715.966778922848</v>
      </c>
      <c r="AI2224" s="106">
        <v>69872.09487757324</v>
      </c>
      <c r="AJ2224" s="106">
        <v>71241.796622186215</v>
      </c>
      <c r="AK2224" s="104">
        <v>59357.071481021951</v>
      </c>
      <c r="AL2224" s="119">
        <v>365654862</v>
      </c>
      <c r="AM2224" s="118">
        <v>31358</v>
      </c>
      <c r="AN2224" s="118">
        <v>1038709</v>
      </c>
      <c r="AO2224" s="118">
        <v>7198</v>
      </c>
      <c r="AP2224" s="118">
        <f t="shared" si="34"/>
        <v>1260</v>
      </c>
    </row>
    <row r="2225" spans="1:42" ht="12.75">
      <c r="A2225" s="106">
        <v>2018</v>
      </c>
      <c r="B2225" s="106">
        <v>3070</v>
      </c>
      <c r="C2225" s="106">
        <v>1</v>
      </c>
      <c r="D2225" s="106">
        <v>240453</v>
      </c>
      <c r="E2225" s="106" t="s">
        <v>4263</v>
      </c>
      <c r="F2225" s="106" t="s">
        <v>138</v>
      </c>
      <c r="G2225" s="106" t="s">
        <v>139</v>
      </c>
      <c r="H2225" s="106">
        <v>1</v>
      </c>
      <c r="I2225" s="106" t="s">
        <v>23</v>
      </c>
      <c r="J2225" s="106">
        <v>9565</v>
      </c>
      <c r="K2225" s="106">
        <v>14555</v>
      </c>
      <c r="L2225" s="106">
        <v>12201</v>
      </c>
      <c r="M2225" s="106">
        <v>0.37</v>
      </c>
      <c r="N2225" s="106">
        <v>0.65</v>
      </c>
      <c r="O2225" s="106">
        <v>0.23</v>
      </c>
      <c r="P2225" s="106">
        <v>2316</v>
      </c>
      <c r="Q2225" s="106">
        <v>527.69789354473392</v>
      </c>
      <c r="R2225" s="106">
        <v>5.4417760290742516E-2</v>
      </c>
      <c r="S2225" s="106">
        <v>23167.349445073614</v>
      </c>
      <c r="T2225" s="106">
        <v>23777.001313703284</v>
      </c>
      <c r="U2225" s="106">
        <v>14520.418957247864</v>
      </c>
      <c r="V2225" s="106">
        <v>0.63148764292272141</v>
      </c>
      <c r="W2225" s="106">
        <v>109700.95548665707</v>
      </c>
      <c r="X2225" s="110">
        <v>0.6291688371421752</v>
      </c>
      <c r="Y2225" s="106">
        <v>499.12727272727273</v>
      </c>
      <c r="Z2225" s="106">
        <v>17.450592885375492</v>
      </c>
      <c r="AA2225" s="106">
        <v>54736.722759775716</v>
      </c>
      <c r="AB2225" s="106">
        <v>507.66594733138407</v>
      </c>
      <c r="AC2225" s="106">
        <v>1.826927060263952</v>
      </c>
      <c r="AD2225" s="106">
        <v>26.62786467806475</v>
      </c>
      <c r="AE2225" s="106">
        <v>107.82035519125684</v>
      </c>
      <c r="AF2225" s="106">
        <v>-1.9768972949130832E-2</v>
      </c>
      <c r="AG2225" s="106">
        <v>8091</v>
      </c>
      <c r="AH2225" s="106">
        <v>22577.669943374858</v>
      </c>
      <c r="AI2225" s="106">
        <v>22667.051823329559</v>
      </c>
      <c r="AJ2225" s="106">
        <v>23295.242899207249</v>
      </c>
      <c r="AK2225" s="104">
        <v>20172.402944507361</v>
      </c>
      <c r="AL2225" s="119">
        <v>115508592</v>
      </c>
      <c r="AM2225" s="118">
        <v>20861</v>
      </c>
      <c r="AN2225" s="118">
        <v>631396</v>
      </c>
      <c r="AO2225" s="118">
        <v>3987</v>
      </c>
      <c r="AP2225" s="118">
        <f t="shared" si="34"/>
        <v>1474</v>
      </c>
    </row>
    <row r="2226" spans="1:42" ht="12.75">
      <c r="A2226" s="106">
        <v>2018</v>
      </c>
      <c r="B2226" s="106">
        <v>-240365</v>
      </c>
      <c r="C2226" s="106">
        <v>0</v>
      </c>
      <c r="D2226" s="106">
        <v>240365</v>
      </c>
      <c r="E2226" s="106" t="s">
        <v>3359</v>
      </c>
      <c r="F2226" s="106" t="s">
        <v>3360</v>
      </c>
      <c r="G2226" s="106" t="s">
        <v>139</v>
      </c>
      <c r="H2226" s="106">
        <v>2</v>
      </c>
      <c r="I2226" s="106" t="s">
        <v>25</v>
      </c>
      <c r="J2226" s="106">
        <v>7587</v>
      </c>
      <c r="K2226" s="106">
        <v>12819</v>
      </c>
      <c r="L2226" s="106">
        <v>9884</v>
      </c>
      <c r="M2226" s="106">
        <v>0.27</v>
      </c>
      <c r="N2226" s="106">
        <v>0.65</v>
      </c>
      <c r="O2226" s="106">
        <v>0.11</v>
      </c>
      <c r="P2226" s="106">
        <v>3355</v>
      </c>
      <c r="Q2226" s="106">
        <v>606.48981472003277</v>
      </c>
      <c r="R2226" s="106">
        <v>8.9498240435111856E-2</v>
      </c>
      <c r="S2226" s="106">
        <v>17724.092537618999</v>
      </c>
      <c r="T2226" s="106">
        <v>18896.377008905722</v>
      </c>
      <c r="U2226" s="106">
        <v>13846.300129102476</v>
      </c>
      <c r="V2226" s="106">
        <v>0.44561116437514497</v>
      </c>
      <c r="W2226" s="106">
        <v>91022.103017124231</v>
      </c>
      <c r="X2226" s="110">
        <v>0.60468158642086267</v>
      </c>
      <c r="Y2226" s="106">
        <v>619.67870036101078</v>
      </c>
      <c r="Z2226" s="106">
        <v>21.160288808664259</v>
      </c>
      <c r="AA2226" s="106">
        <v>51450.934180753931</v>
      </c>
      <c r="AB2226" s="106">
        <v>472.81229690896794</v>
      </c>
      <c r="AC2226" s="106">
        <v>1.9435993066459549</v>
      </c>
      <c r="AD2226" s="106">
        <v>25.061963775023834</v>
      </c>
      <c r="AE2226" s="106">
        <v>108.81894256371244</v>
      </c>
      <c r="AF2226" s="106">
        <v>-5.1898026058965617E-2</v>
      </c>
      <c r="AG2226" s="106">
        <v>6422</v>
      </c>
      <c r="AH2226" s="106">
        <v>17338.886375268707</v>
      </c>
      <c r="AI2226" s="106">
        <v>17465.076568737844</v>
      </c>
      <c r="AJ2226" s="106">
        <v>17795.786160303</v>
      </c>
      <c r="AK2226" s="104">
        <v>15315.188760364417</v>
      </c>
      <c r="AL2226" s="118">
        <v>32866583</v>
      </c>
      <c r="AM2226" s="118">
        <v>12410</v>
      </c>
      <c r="AN2226" s="118">
        <v>286085</v>
      </c>
      <c r="AO2226" s="118">
        <v>2099</v>
      </c>
      <c r="AP2226" s="118">
        <f t="shared" si="34"/>
        <v>1165</v>
      </c>
    </row>
    <row r="2227" spans="1:42" ht="12.75">
      <c r="A2227" s="106">
        <v>2018</v>
      </c>
      <c r="B2227" s="106">
        <v>3069</v>
      </c>
      <c r="C2227" s="106">
        <v>1</v>
      </c>
      <c r="D2227" s="106">
        <v>240374</v>
      </c>
      <c r="E2227" s="106" t="s">
        <v>4264</v>
      </c>
      <c r="F2227" s="106" t="s">
        <v>618</v>
      </c>
      <c r="G2227" s="106" t="s">
        <v>139</v>
      </c>
      <c r="H2227" s="106">
        <v>3</v>
      </c>
      <c r="I2227" s="104" t="s">
        <v>26</v>
      </c>
      <c r="J2227" s="106">
        <v>7389</v>
      </c>
      <c r="K2227" s="106">
        <v>10409</v>
      </c>
      <c r="L2227" s="106">
        <v>7624</v>
      </c>
      <c r="M2227" s="106">
        <v>0.39</v>
      </c>
      <c r="N2227" s="106">
        <v>0.55000000000000004</v>
      </c>
      <c r="O2227" s="106">
        <v>0.08</v>
      </c>
      <c r="P2227" s="106">
        <v>1493</v>
      </c>
      <c r="Q2227" s="106">
        <v>435.26781857451402</v>
      </c>
      <c r="R2227" s="106">
        <v>6.6798861317883637E-2</v>
      </c>
      <c r="S2227" s="106">
        <v>17575.2810475162</v>
      </c>
      <c r="T2227" s="106">
        <v>18106.043466522679</v>
      </c>
      <c r="U2227" s="106">
        <v>13233.003401162983</v>
      </c>
      <c r="V2227" s="106">
        <v>0.45951991240178242</v>
      </c>
      <c r="W2227" s="106">
        <v>80482.569364161856</v>
      </c>
      <c r="X2227" s="110">
        <v>0.55363320705493946</v>
      </c>
      <c r="Y2227" s="106">
        <v>596.64928057553959</v>
      </c>
      <c r="Z2227" s="106">
        <v>19.985611510791365</v>
      </c>
      <c r="AA2227" s="106">
        <v>53046.58506267066</v>
      </c>
      <c r="AB2227" s="106">
        <v>443.25816473207112</v>
      </c>
      <c r="AC2227" s="106">
        <v>1.88513548764463</v>
      </c>
      <c r="AD2227" s="106">
        <v>24.979724249797243</v>
      </c>
      <c r="AE2227" s="106">
        <v>119.67424242424242</v>
      </c>
      <c r="AF2227" s="106">
        <v>1.1403129506212327E-2</v>
      </c>
      <c r="AG2227" s="106">
        <v>6298</v>
      </c>
      <c r="AH2227" s="106">
        <v>16536.960043196545</v>
      </c>
      <c r="AI2227" s="106">
        <v>16799.288876889848</v>
      </c>
      <c r="AJ2227" s="106">
        <v>17647.219222462201</v>
      </c>
      <c r="AK2227" s="104">
        <v>15402.734071274299</v>
      </c>
      <c r="AL2227" s="119">
        <v>19868212</v>
      </c>
      <c r="AM2227" s="118">
        <v>4142</v>
      </c>
      <c r="AN2227" s="118">
        <v>110579</v>
      </c>
      <c r="AO2227" s="118">
        <v>742</v>
      </c>
      <c r="AP2227" s="118">
        <f t="shared" si="34"/>
        <v>1091</v>
      </c>
    </row>
    <row r="2228" spans="1:42" ht="12.75">
      <c r="A2228" s="106">
        <v>2018</v>
      </c>
      <c r="B2228" s="106">
        <v>-240462</v>
      </c>
      <c r="C2228" s="106">
        <v>0</v>
      </c>
      <c r="D2228" s="106">
        <v>240462</v>
      </c>
      <c r="E2228" s="106" t="s">
        <v>3361</v>
      </c>
      <c r="F2228" s="106" t="s">
        <v>3362</v>
      </c>
      <c r="G2228" s="106" t="s">
        <v>139</v>
      </c>
      <c r="H2228" s="106">
        <v>2</v>
      </c>
      <c r="I2228" s="106" t="s">
        <v>25</v>
      </c>
      <c r="J2228" s="106">
        <v>7536</v>
      </c>
      <c r="K2228" s="106">
        <v>14158</v>
      </c>
      <c r="L2228" s="106">
        <v>9686</v>
      </c>
      <c r="M2228" s="106">
        <v>0.26</v>
      </c>
      <c r="N2228" s="106">
        <v>0.6</v>
      </c>
      <c r="O2228" s="106">
        <v>0.36</v>
      </c>
      <c r="P2228" s="106">
        <v>1308</v>
      </c>
      <c r="Q2228" s="106">
        <v>1149.7859468258275</v>
      </c>
      <c r="R2228" s="106">
        <v>0.14388372923889486</v>
      </c>
      <c r="S2228" s="106">
        <v>17097.274552360283</v>
      </c>
      <c r="T2228" s="106">
        <v>17882.852143244709</v>
      </c>
      <c r="U2228" s="106">
        <v>12856.324591227571</v>
      </c>
      <c r="V2228" s="106">
        <v>0.53213427502326083</v>
      </c>
      <c r="W2228" s="106">
        <v>83475.032979113239</v>
      </c>
      <c r="X2228" s="110">
        <v>0.57599241964717229</v>
      </c>
      <c r="Y2228" s="106">
        <v>635.6104651162791</v>
      </c>
      <c r="Z2228" s="106">
        <v>21.430232558139537</v>
      </c>
      <c r="AA2228" s="106">
        <v>52362.886677640694</v>
      </c>
      <c r="AB2228" s="106">
        <v>433.46364000242238</v>
      </c>
      <c r="AC2228" s="106">
        <v>1.9097495639540565</v>
      </c>
      <c r="AD2228" s="106">
        <v>24.272495641678958</v>
      </c>
      <c r="AE2228" s="106">
        <v>120.8011049723757</v>
      </c>
      <c r="AF2228" s="106">
        <v>-3.2567987111092357E-2</v>
      </c>
      <c r="AG2228" s="106">
        <v>6418</v>
      </c>
      <c r="AH2228" s="106">
        <v>16455.226804123711</v>
      </c>
      <c r="AI2228" s="106">
        <v>16672.737384698859</v>
      </c>
      <c r="AJ2228" s="106">
        <v>17213.941264243083</v>
      </c>
      <c r="AK2228" s="104">
        <v>14225.190992946284</v>
      </c>
      <c r="AL2228" s="118">
        <v>20905926</v>
      </c>
      <c r="AM2228" s="118">
        <v>7611</v>
      </c>
      <c r="AN2228" s="118">
        <v>218650</v>
      </c>
      <c r="AO2228" s="118">
        <v>1519</v>
      </c>
      <c r="AP2228" s="118">
        <f t="shared" si="34"/>
        <v>1118</v>
      </c>
    </row>
    <row r="2229" spans="1:42" ht="12.75">
      <c r="A2229" s="106">
        <v>2018</v>
      </c>
      <c r="B2229" s="106">
        <v>-240471</v>
      </c>
      <c r="C2229" s="106">
        <v>0</v>
      </c>
      <c r="D2229" s="106">
        <v>240471</v>
      </c>
      <c r="E2229" s="106" t="s">
        <v>3363</v>
      </c>
      <c r="F2229" s="106" t="s">
        <v>3364</v>
      </c>
      <c r="G2229" s="106" t="s">
        <v>139</v>
      </c>
      <c r="H2229" s="106">
        <v>2</v>
      </c>
      <c r="I2229" s="106" t="s">
        <v>25</v>
      </c>
      <c r="J2229" s="106">
        <v>8013</v>
      </c>
      <c r="K2229" s="106">
        <v>15326</v>
      </c>
      <c r="L2229" s="106">
        <v>11312</v>
      </c>
      <c r="M2229" s="106">
        <v>0.28000000000000003</v>
      </c>
      <c r="N2229" s="106">
        <v>0.64</v>
      </c>
      <c r="O2229" s="106">
        <v>0.42</v>
      </c>
      <c r="P2229" s="106">
        <v>1470</v>
      </c>
      <c r="Q2229" s="106">
        <v>526.71015809558423</v>
      </c>
      <c r="R2229" s="106">
        <v>7.5143898603545589E-2</v>
      </c>
      <c r="S2229" s="106">
        <v>18008.473014719246</v>
      </c>
      <c r="T2229" s="106">
        <v>18355.416500090858</v>
      </c>
      <c r="U2229" s="106">
        <v>13134.715819192104</v>
      </c>
      <c r="V2229" s="106">
        <v>0.49355034067257392</v>
      </c>
      <c r="W2229" s="106">
        <v>88780.24445646294</v>
      </c>
      <c r="X2229" s="110">
        <v>0.541711726213017</v>
      </c>
      <c r="Y2229" s="106">
        <v>621.47588832487304</v>
      </c>
      <c r="Z2229" s="106">
        <v>20.950507614213198</v>
      </c>
      <c r="AA2229" s="106">
        <v>57229.090382434006</v>
      </c>
      <c r="AB2229" s="106">
        <v>442.78300888265909</v>
      </c>
      <c r="AC2229" s="106">
        <v>1.7473630863560634</v>
      </c>
      <c r="AD2229" s="106">
        <v>22.797833935018051</v>
      </c>
      <c r="AE2229" s="106">
        <v>129.24861441013459</v>
      </c>
      <c r="AF2229" s="106">
        <v>3.7331186296777258E-2</v>
      </c>
      <c r="AG2229" s="106">
        <v>6428</v>
      </c>
      <c r="AH2229" s="106">
        <v>16916.94857350536</v>
      </c>
      <c r="AI2229" s="106">
        <v>17317.803561693621</v>
      </c>
      <c r="AJ2229" s="106">
        <v>18084.50717790296</v>
      </c>
      <c r="AK2229" s="104">
        <v>15101.404143194621</v>
      </c>
      <c r="AL2229" s="119">
        <v>17048058</v>
      </c>
      <c r="AM2229" s="118">
        <v>5678</v>
      </c>
      <c r="AN2229" s="118">
        <v>163241</v>
      </c>
      <c r="AO2229" s="118">
        <v>1097</v>
      </c>
      <c r="AP2229" s="118">
        <f t="shared" si="34"/>
        <v>1585</v>
      </c>
    </row>
    <row r="2230" spans="1:42" ht="12.75">
      <c r="A2230" s="106">
        <v>2018</v>
      </c>
      <c r="B2230" s="106">
        <v>-240480</v>
      </c>
      <c r="C2230" s="106">
        <v>0</v>
      </c>
      <c r="D2230" s="106">
        <v>240480</v>
      </c>
      <c r="E2230" s="106" t="s">
        <v>3365</v>
      </c>
      <c r="F2230" s="106" t="s">
        <v>3366</v>
      </c>
      <c r="G2230" s="106" t="s">
        <v>139</v>
      </c>
      <c r="H2230" s="106">
        <v>2</v>
      </c>
      <c r="I2230" s="106" t="s">
        <v>25</v>
      </c>
      <c r="J2230" s="106">
        <v>8209</v>
      </c>
      <c r="K2230" s="106">
        <v>13599</v>
      </c>
      <c r="L2230" s="106">
        <v>8908</v>
      </c>
      <c r="M2230" s="106">
        <v>0.33</v>
      </c>
      <c r="N2230" s="106">
        <v>0.63</v>
      </c>
      <c r="O2230" s="106">
        <v>0.6</v>
      </c>
      <c r="P2230" s="106">
        <v>1424</v>
      </c>
      <c r="Q2230" s="106">
        <v>1780.0632290562037</v>
      </c>
      <c r="R2230" s="106">
        <v>0.24255446860667537</v>
      </c>
      <c r="S2230" s="106">
        <v>21258.745625662777</v>
      </c>
      <c r="T2230" s="106">
        <v>22257.22534464475</v>
      </c>
      <c r="U2230" s="106">
        <v>14017.096861720518</v>
      </c>
      <c r="V2230" s="106">
        <v>0.3965696575449526</v>
      </c>
      <c r="W2230" s="106">
        <v>89139.985215476554</v>
      </c>
      <c r="X2230" s="110">
        <v>0.56256036174176471</v>
      </c>
      <c r="Y2230" s="106">
        <v>578.69072164948454</v>
      </c>
      <c r="Z2230" s="106">
        <v>19.443298969072163</v>
      </c>
      <c r="AA2230" s="106">
        <v>57005.379366479559</v>
      </c>
      <c r="AB2230" s="106">
        <v>470.95727435207272</v>
      </c>
      <c r="AC2230" s="106">
        <v>1.7542204106232515</v>
      </c>
      <c r="AD2230" s="106">
        <v>24.134790528233154</v>
      </c>
      <c r="AE2230" s="106">
        <v>121.04150943396226</v>
      </c>
      <c r="AF2230" s="106">
        <v>0.1427626574447329</v>
      </c>
      <c r="AG2230" s="106">
        <v>6698</v>
      </c>
      <c r="AH2230" s="106">
        <v>18889.373674443264</v>
      </c>
      <c r="AI2230" s="106">
        <v>19352.290164369035</v>
      </c>
      <c r="AJ2230" s="106">
        <v>21340.199098621422</v>
      </c>
      <c r="AK2230" s="104">
        <v>18854.733828207849</v>
      </c>
      <c r="AL2230" s="119">
        <v>28737935</v>
      </c>
      <c r="AM2230" s="118">
        <v>7894</v>
      </c>
      <c r="AN2230" s="118">
        <v>224532</v>
      </c>
      <c r="AO2230" s="118">
        <v>1673</v>
      </c>
      <c r="AP2230" s="118">
        <f t="shared" si="34"/>
        <v>1511</v>
      </c>
    </row>
    <row r="2231" spans="1:42" ht="12.75">
      <c r="A2231" s="106">
        <v>2018</v>
      </c>
      <c r="B2231" s="106">
        <v>-240417</v>
      </c>
      <c r="C2231" s="106">
        <v>0</v>
      </c>
      <c r="D2231" s="106">
        <v>240417</v>
      </c>
      <c r="E2231" s="106" t="s">
        <v>3367</v>
      </c>
      <c r="F2231" s="106" t="s">
        <v>3368</v>
      </c>
      <c r="G2231" s="106" t="s">
        <v>139</v>
      </c>
      <c r="H2231" s="106">
        <v>2</v>
      </c>
      <c r="I2231" s="106" t="s">
        <v>25</v>
      </c>
      <c r="J2231" s="106">
        <v>9456</v>
      </c>
      <c r="K2231" s="106">
        <v>14866</v>
      </c>
      <c r="L2231" s="106">
        <v>10266</v>
      </c>
      <c r="M2231" s="106">
        <v>0.27</v>
      </c>
      <c r="N2231" s="106">
        <v>0.65</v>
      </c>
      <c r="O2231" s="106">
        <v>0.39</v>
      </c>
      <c r="P2231" s="106">
        <v>1453</v>
      </c>
      <c r="Q2231" s="106">
        <v>1151.0556677606664</v>
      </c>
      <c r="R2231" s="106">
        <v>0.15074595389040024</v>
      </c>
      <c r="S2231" s="106">
        <v>18801.987376925019</v>
      </c>
      <c r="T2231" s="106">
        <v>19421.845114869982</v>
      </c>
      <c r="U2231" s="106">
        <v>13246.303055859538</v>
      </c>
      <c r="V2231" s="106">
        <v>0.4895461069062188</v>
      </c>
      <c r="W2231" s="106">
        <v>88794.364798426745</v>
      </c>
      <c r="X2231" s="110">
        <v>0.58692287098641982</v>
      </c>
      <c r="Y2231" s="106">
        <v>603.62857142857138</v>
      </c>
      <c r="Z2231" s="106">
        <v>20.576623376623377</v>
      </c>
      <c r="AA2231" s="106">
        <v>49059.005520579361</v>
      </c>
      <c r="AB2231" s="106">
        <v>451.54288914452104</v>
      </c>
      <c r="AC2231" s="106">
        <v>2.0383617429434402</v>
      </c>
      <c r="AD2231" s="106">
        <v>27.231063017186507</v>
      </c>
      <c r="AE2231" s="106">
        <v>108.64749883122954</v>
      </c>
      <c r="AF2231" s="106">
        <v>2.7149720281761497E-3</v>
      </c>
      <c r="AG2231" s="106">
        <v>7014</v>
      </c>
      <c r="AH2231" s="106">
        <v>17762.905074476141</v>
      </c>
      <c r="AI2231" s="106">
        <v>18142.014011613228</v>
      </c>
      <c r="AJ2231" s="106">
        <v>18887.801943953546</v>
      </c>
      <c r="AK2231" s="104">
        <v>16098.161954052008</v>
      </c>
      <c r="AL2231" s="118">
        <v>23944115</v>
      </c>
      <c r="AM2231" s="118">
        <v>8131</v>
      </c>
      <c r="AN2231" s="118">
        <v>232397</v>
      </c>
      <c r="AO2231" s="118">
        <v>1627</v>
      </c>
      <c r="AP2231" s="118">
        <f t="shared" si="34"/>
        <v>2442</v>
      </c>
    </row>
    <row r="2232" spans="1:42" ht="12.75">
      <c r="A2232" s="106">
        <v>2018</v>
      </c>
      <c r="B2232" s="106">
        <v>-240426</v>
      </c>
      <c r="C2232" s="106">
        <v>0</v>
      </c>
      <c r="D2232" s="106">
        <v>240426</v>
      </c>
      <c r="E2232" s="106" t="s">
        <v>3369</v>
      </c>
      <c r="F2232" s="106" t="s">
        <v>3370</v>
      </c>
      <c r="G2232" s="106" t="s">
        <v>139</v>
      </c>
      <c r="H2232" s="106">
        <v>3</v>
      </c>
      <c r="I2232" s="104" t="s">
        <v>26</v>
      </c>
      <c r="J2232" s="106">
        <v>8109</v>
      </c>
      <c r="K2232" s="106">
        <v>12869</v>
      </c>
      <c r="L2232" s="106">
        <v>9669</v>
      </c>
      <c r="M2232" s="106">
        <v>0.34</v>
      </c>
      <c r="N2232" s="106">
        <v>0.6</v>
      </c>
      <c r="O2232" s="106">
        <v>0.25</v>
      </c>
      <c r="P2232" s="106">
        <v>3309</v>
      </c>
      <c r="Q2232" s="106">
        <v>602.65531335149865</v>
      </c>
      <c r="R2232" s="106">
        <v>7.8550863078856295E-2</v>
      </c>
      <c r="S2232" s="106">
        <v>23376.003178928248</v>
      </c>
      <c r="T2232" s="106">
        <v>24608.400090826523</v>
      </c>
      <c r="U2232" s="106">
        <v>17828.435885897194</v>
      </c>
      <c r="V2232" s="106">
        <v>0.39653009375361725</v>
      </c>
      <c r="W2232" s="106">
        <v>88354.080798479088</v>
      </c>
      <c r="X2232" s="110">
        <v>0.5717687356227743</v>
      </c>
      <c r="Y2232" s="106">
        <v>490.8165829145729</v>
      </c>
      <c r="Z2232" s="106">
        <v>16.597989949748744</v>
      </c>
      <c r="AA2232" s="106">
        <v>71508.589837423715</v>
      </c>
      <c r="AB2232" s="106">
        <v>602.90587146964015</v>
      </c>
      <c r="AC2232" s="106">
        <v>1.3984333941887557</v>
      </c>
      <c r="AD2232" s="106">
        <v>25.252989880404787</v>
      </c>
      <c r="AE2232" s="106">
        <v>118.60655737704919</v>
      </c>
      <c r="AF2232" s="106">
        <v>-2.1533873509758709E-2</v>
      </c>
      <c r="AG2232" s="106">
        <v>6535</v>
      </c>
      <c r="AH2232" s="106">
        <v>22088.695277020892</v>
      </c>
      <c r="AI2232" s="106">
        <v>22870.268846503179</v>
      </c>
      <c r="AJ2232" s="106">
        <v>23504.963669391462</v>
      </c>
      <c r="AK2232" s="104">
        <v>21465.695731153497</v>
      </c>
      <c r="AL2232" s="118">
        <v>16961620</v>
      </c>
      <c r="AM2232" s="118">
        <v>2373</v>
      </c>
      <c r="AN2232" s="118">
        <v>65115</v>
      </c>
      <c r="AO2232" s="118">
        <v>470</v>
      </c>
      <c r="AP2232" s="118">
        <f t="shared" si="34"/>
        <v>1574</v>
      </c>
    </row>
    <row r="2233" spans="1:42" ht="12.75">
      <c r="A2233" s="106">
        <v>2018</v>
      </c>
      <c r="B2233" s="106">
        <v>-240189</v>
      </c>
      <c r="C2233" s="106">
        <v>0</v>
      </c>
      <c r="D2233" s="106">
        <v>240189</v>
      </c>
      <c r="E2233" s="106" t="s">
        <v>3371</v>
      </c>
      <c r="F2233" s="106" t="s">
        <v>3372</v>
      </c>
      <c r="G2233" s="106" t="s">
        <v>139</v>
      </c>
      <c r="H2233" s="106">
        <v>2</v>
      </c>
      <c r="I2233" s="106" t="s">
        <v>25</v>
      </c>
      <c r="J2233" s="106">
        <v>7662</v>
      </c>
      <c r="K2233" s="106">
        <v>12094</v>
      </c>
      <c r="L2233" s="106">
        <v>8654</v>
      </c>
      <c r="M2233" s="106">
        <v>0.28999999999999998</v>
      </c>
      <c r="N2233" s="106">
        <v>0.65</v>
      </c>
      <c r="O2233" s="106">
        <v>0.17</v>
      </c>
      <c r="P2233" s="106">
        <v>1770</v>
      </c>
      <c r="Q2233" s="106">
        <v>1002.1453044558849</v>
      </c>
      <c r="R2233" s="106">
        <v>0.11895717150758563</v>
      </c>
      <c r="S2233" s="106">
        <v>15709.797177347773</v>
      </c>
      <c r="T2233" s="106">
        <v>16529.403515000886</v>
      </c>
      <c r="U2233" s="106">
        <v>12060.800265158847</v>
      </c>
      <c r="V2233" s="106">
        <v>0.61540491695156063</v>
      </c>
      <c r="W2233" s="106">
        <v>92156.729501267968</v>
      </c>
      <c r="X2233" s="110">
        <v>0.58544334005333254</v>
      </c>
      <c r="Y2233" s="106">
        <v>606.83231707317077</v>
      </c>
      <c r="Z2233" s="106">
        <v>20.608536585365854</v>
      </c>
      <c r="AA2233" s="106">
        <v>48947.037387348551</v>
      </c>
      <c r="AB2233" s="106">
        <v>409.59493507552588</v>
      </c>
      <c r="AC2233" s="106">
        <v>2.043024569774007</v>
      </c>
      <c r="AD2233" s="106">
        <v>25.04963003068038</v>
      </c>
      <c r="AE2233" s="106">
        <v>119.50108069164266</v>
      </c>
      <c r="AF2233" s="106">
        <v>-2.4845342688031073E-2</v>
      </c>
      <c r="AG2233" s="106">
        <v>6519</v>
      </c>
      <c r="AH2233" s="106">
        <v>15106.466802769395</v>
      </c>
      <c r="AI2233" s="106">
        <v>15359.984111485886</v>
      </c>
      <c r="AJ2233" s="106">
        <v>15806.184182496007</v>
      </c>
      <c r="AK2233" s="104">
        <v>13606.269838451979</v>
      </c>
      <c r="AL2233" s="119">
        <v>19121093</v>
      </c>
      <c r="AM2233" s="118">
        <v>11133</v>
      </c>
      <c r="AN2233" s="118">
        <v>331735</v>
      </c>
      <c r="AO2233" s="118">
        <v>2326</v>
      </c>
      <c r="AP2233" s="118">
        <f t="shared" si="34"/>
        <v>1143</v>
      </c>
    </row>
    <row r="2234" spans="1:42" ht="12.75">
      <c r="A2234" s="106">
        <v>2018</v>
      </c>
      <c r="B2234" s="106">
        <v>-240727</v>
      </c>
      <c r="C2234" s="106">
        <v>0</v>
      </c>
      <c r="D2234" s="106">
        <v>240727</v>
      </c>
      <c r="E2234" s="106" t="s">
        <v>3373</v>
      </c>
      <c r="F2234" s="106" t="s">
        <v>3374</v>
      </c>
      <c r="G2234" s="106" t="s">
        <v>627</v>
      </c>
      <c r="H2234" s="106">
        <v>1</v>
      </c>
      <c r="I2234" s="106" t="s">
        <v>23</v>
      </c>
      <c r="J2234" s="106">
        <v>4443</v>
      </c>
      <c r="K2234" s="106">
        <v>12999</v>
      </c>
      <c r="L2234" s="106">
        <v>8656</v>
      </c>
      <c r="M2234" s="106">
        <v>0.2</v>
      </c>
      <c r="N2234" s="106">
        <v>0.5</v>
      </c>
      <c r="O2234" s="106">
        <v>0.69</v>
      </c>
      <c r="P2234" s="106">
        <v>5597</v>
      </c>
      <c r="Q2234" s="106">
        <v>2100.2826926613943</v>
      </c>
      <c r="R2234" s="106">
        <v>0.22395920092882204</v>
      </c>
      <c r="S2234" s="106">
        <v>46431.91346330697</v>
      </c>
      <c r="T2234" s="106">
        <v>48538.980595916866</v>
      </c>
      <c r="U2234" s="106">
        <v>24597.762856080935</v>
      </c>
      <c r="V2234" s="106">
        <v>0.29586785847614905</v>
      </c>
      <c r="W2234" s="106">
        <v>119938.74806344522</v>
      </c>
      <c r="X2234" s="110">
        <v>0.61604019416919298</v>
      </c>
      <c r="Y2234" s="106">
        <v>305.53200808625337</v>
      </c>
      <c r="Z2234" s="106">
        <v>10.991239892183287</v>
      </c>
      <c r="AA2234" s="106">
        <v>89907.923797319032</v>
      </c>
      <c r="AB2234" s="106">
        <v>884.88245161501061</v>
      </c>
      <c r="AC2234" s="106">
        <v>1.1122490185117799</v>
      </c>
      <c r="AD2234" s="106">
        <v>27.536097741577194</v>
      </c>
      <c r="AE2234" s="106">
        <v>101.60436974789916</v>
      </c>
      <c r="AF2234" s="106">
        <v>7.5033928221919816E-2</v>
      </c>
      <c r="AG2234" s="106">
        <v>3096</v>
      </c>
      <c r="AH2234" s="106">
        <v>44162.922567592424</v>
      </c>
      <c r="AI2234" s="106">
        <v>47276.148243516647</v>
      </c>
      <c r="AJ2234" s="106">
        <v>48118.44831708663</v>
      </c>
      <c r="AK2234" s="104">
        <v>42974.420360492921</v>
      </c>
      <c r="AL2234" s="118">
        <v>194747662</v>
      </c>
      <c r="AM2234" s="118">
        <v>9791</v>
      </c>
      <c r="AN2234" s="118">
        <v>302273</v>
      </c>
      <c r="AO2234" s="118">
        <v>2127</v>
      </c>
      <c r="AP2234" s="118">
        <f t="shared" si="34"/>
        <v>1347</v>
      </c>
    </row>
    <row r="2235" spans="1:42" ht="12.75">
      <c r="A2235" s="106">
        <v>2018</v>
      </c>
      <c r="B2235" s="106">
        <v>-154493</v>
      </c>
      <c r="C2235" s="106">
        <v>0</v>
      </c>
      <c r="D2235" s="106">
        <v>154493</v>
      </c>
      <c r="E2235" s="106" t="s">
        <v>3382</v>
      </c>
      <c r="F2235" s="106" t="s">
        <v>669</v>
      </c>
      <c r="G2235" s="106" t="s">
        <v>447</v>
      </c>
      <c r="H2235" s="106">
        <v>6</v>
      </c>
      <c r="I2235" s="106" t="s">
        <v>3640</v>
      </c>
      <c r="J2235" s="106">
        <v>29600</v>
      </c>
      <c r="K2235" s="106">
        <v>21630</v>
      </c>
      <c r="L2235" s="106">
        <v>19008</v>
      </c>
      <c r="M2235" s="106">
        <v>0.4</v>
      </c>
      <c r="N2235" s="106">
        <v>0.73</v>
      </c>
      <c r="O2235" s="106">
        <v>0.97</v>
      </c>
      <c r="P2235" s="106">
        <v>19573</v>
      </c>
      <c r="Q2235" s="106">
        <v>3638.8095763459842</v>
      </c>
      <c r="R2235" s="106">
        <v>0.26947792357079431</v>
      </c>
      <c r="S2235" s="106">
        <v>11819.467122683141</v>
      </c>
      <c r="T2235" s="106">
        <v>12115.911959399824</v>
      </c>
      <c r="U2235" s="106">
        <v>10833.695057369814</v>
      </c>
      <c r="V2235" s="106">
        <v>0.91052709639310159</v>
      </c>
      <c r="W2235" s="106">
        <v>62625.091451292246</v>
      </c>
      <c r="X2235" s="110">
        <v>0.5736808435392371</v>
      </c>
      <c r="Y2235" s="106">
        <v>600.67975830815715</v>
      </c>
      <c r="Z2235" s="106">
        <v>20.537764350453173</v>
      </c>
      <c r="AA2235" s="106">
        <v>32111.383911052977</v>
      </c>
      <c r="AB2235" s="106">
        <v>370.41347416069408</v>
      </c>
      <c r="AC2235" s="106">
        <v>3.1141603948616887</v>
      </c>
      <c r="AD2235" s="106">
        <v>43.363584798638684</v>
      </c>
      <c r="AE2235" s="106">
        <v>86.690647482014384</v>
      </c>
      <c r="AF2235" s="106">
        <v>-1.982205560712395E-2</v>
      </c>
      <c r="AG2235" s="106">
        <v>28850</v>
      </c>
      <c r="AH2235" s="106">
        <v>11889.325463371581</v>
      </c>
      <c r="AI2235" s="106">
        <v>12006.622462488967</v>
      </c>
      <c r="AJ2235" s="106">
        <v>11907.666372462489</v>
      </c>
      <c r="AK2235" s="104">
        <v>10833.695057369814</v>
      </c>
      <c r="AL2235" s="118"/>
      <c r="AM2235" s="118">
        <v>4271</v>
      </c>
      <c r="AN2235" s="118">
        <v>132550</v>
      </c>
      <c r="AO2235" s="118">
        <v>1244</v>
      </c>
      <c r="AP2235" s="118">
        <f t="shared" si="34"/>
        <v>750</v>
      </c>
    </row>
    <row r="2236" spans="1:42" ht="12.75">
      <c r="A2236" s="106">
        <v>2018</v>
      </c>
      <c r="B2236" s="106">
        <v>-206330</v>
      </c>
      <c r="C2236" s="106">
        <v>0</v>
      </c>
      <c r="D2236" s="106">
        <v>206330</v>
      </c>
      <c r="E2236" s="106" t="s">
        <v>3383</v>
      </c>
      <c r="F2236" s="106" t="s">
        <v>3384</v>
      </c>
      <c r="G2236" s="106" t="s">
        <v>82</v>
      </c>
      <c r="H2236" s="106">
        <v>7</v>
      </c>
      <c r="I2236" s="106" t="s">
        <v>3641</v>
      </c>
      <c r="J2236" s="106">
        <v>22452</v>
      </c>
      <c r="K2236" s="106">
        <v>21774</v>
      </c>
      <c r="L2236" s="106">
        <v>17559</v>
      </c>
      <c r="M2236" s="106">
        <v>0.48</v>
      </c>
      <c r="N2236" s="106">
        <v>0.85</v>
      </c>
      <c r="O2236" s="106">
        <v>1</v>
      </c>
      <c r="P2236" s="106">
        <v>11925</v>
      </c>
      <c r="Q2236" s="106">
        <v>4331.5018315018315</v>
      </c>
      <c r="R2236" s="106">
        <v>0.50249654732816318</v>
      </c>
      <c r="S2236" s="106">
        <v>7481.6849816849817</v>
      </c>
      <c r="T2236" s="106">
        <v>11543.040293040292</v>
      </c>
      <c r="U2236" s="106">
        <v>10890.10989010989</v>
      </c>
      <c r="V2236" s="106">
        <v>0.39379414732593337</v>
      </c>
      <c r="W2236" s="106">
        <v>47960.526315789481</v>
      </c>
      <c r="X2236" s="110">
        <v>0.48195160650535501</v>
      </c>
      <c r="Y2236" s="106">
        <v>595.38036809815947</v>
      </c>
      <c r="Z2236" s="106">
        <v>20.098159509202453</v>
      </c>
      <c r="AA2236" s="106">
        <v>71638.554216867473</v>
      </c>
      <c r="AB2236" s="106">
        <v>367.61569136603913</v>
      </c>
      <c r="AC2236" s="106">
        <v>1.3958964009418096</v>
      </c>
      <c r="AD2236" s="106">
        <v>18.672665916760405</v>
      </c>
      <c r="AE2236" s="107">
        <v>194.87349397590361</v>
      </c>
      <c r="AF2236" s="106">
        <v>1.7852212748680472</v>
      </c>
      <c r="AG2236" s="106">
        <v>22452</v>
      </c>
      <c r="AH2236" s="106">
        <v>7077.8388278388275</v>
      </c>
      <c r="AI2236" s="106">
        <v>7419.4139194139198</v>
      </c>
      <c r="AJ2236" s="106">
        <v>7516.4835164835167</v>
      </c>
      <c r="AK2236" s="104">
        <v>10890.10989010989</v>
      </c>
      <c r="AM2236" s="118">
        <v>1508</v>
      </c>
      <c r="AN2236" s="118">
        <v>32349</v>
      </c>
      <c r="AO2236" s="118">
        <v>103</v>
      </c>
      <c r="AP2236" s="118">
        <f t="shared" si="34"/>
        <v>0</v>
      </c>
    </row>
    <row r="2237" spans="1:42" ht="12.75">
      <c r="A2237" s="106">
        <v>2018</v>
      </c>
      <c r="B2237" s="106">
        <v>-216524</v>
      </c>
      <c r="C2237" s="106">
        <v>0</v>
      </c>
      <c r="D2237" s="106">
        <v>216524</v>
      </c>
      <c r="E2237" s="106" t="s">
        <v>3385</v>
      </c>
      <c r="F2237" s="106" t="s">
        <v>2668</v>
      </c>
      <c r="G2237" s="106" t="s">
        <v>104</v>
      </c>
      <c r="H2237" s="106">
        <v>7</v>
      </c>
      <c r="I2237" s="106" t="s">
        <v>3641</v>
      </c>
      <c r="J2237" s="106">
        <v>50360</v>
      </c>
      <c r="K2237" s="106">
        <v>31351</v>
      </c>
      <c r="L2237" s="106">
        <v>20918</v>
      </c>
      <c r="M2237" s="106">
        <v>0.2</v>
      </c>
      <c r="N2237" s="106">
        <v>0.68</v>
      </c>
      <c r="O2237" s="106">
        <v>0.97</v>
      </c>
      <c r="P2237" s="106">
        <v>32774</v>
      </c>
      <c r="Q2237" s="106">
        <v>29990.331353135312</v>
      </c>
      <c r="R2237" s="106">
        <v>0.61477421636209817</v>
      </c>
      <c r="S2237" s="106">
        <v>37193.295709570957</v>
      </c>
      <c r="T2237" s="106">
        <v>43311.873927392742</v>
      </c>
      <c r="U2237" s="106">
        <v>34131.184033977806</v>
      </c>
      <c r="V2237" s="106">
        <v>0.55059163888799023</v>
      </c>
      <c r="W2237" s="106">
        <v>86510.144725370541</v>
      </c>
      <c r="X2237" s="110">
        <v>0.50406854184865257</v>
      </c>
      <c r="Y2237" s="106">
        <v>355.97290640394084</v>
      </c>
      <c r="Z2237" s="106">
        <v>11.194581280788176</v>
      </c>
      <c r="AA2237" s="106">
        <v>134658.18700905304</v>
      </c>
      <c r="AB2237" s="106">
        <v>1073.3522327239516</v>
      </c>
      <c r="AC2237" s="106">
        <v>0.7426210186037705</v>
      </c>
      <c r="AD2237" s="106">
        <v>25.668449197860966</v>
      </c>
      <c r="AE2237" s="106">
        <v>125.45572916666667</v>
      </c>
      <c r="AF2237" s="106">
        <v>1.2649943370554239E-3</v>
      </c>
      <c r="AG2237" s="106">
        <v>50360</v>
      </c>
      <c r="AH2237" s="106">
        <v>32529.939273927394</v>
      </c>
      <c r="AI2237" s="106">
        <v>37193.295709570957</v>
      </c>
      <c r="AJ2237" s="106">
        <v>43521.354455445544</v>
      </c>
      <c r="AK2237" s="104">
        <v>35813.133333333331</v>
      </c>
      <c r="AM2237" s="118">
        <v>1507</v>
      </c>
      <c r="AN2237" s="118">
        <v>48175</v>
      </c>
      <c r="AO2237" s="118">
        <v>384</v>
      </c>
      <c r="AP2237" s="118">
        <f t="shared" si="34"/>
        <v>0</v>
      </c>
    </row>
    <row r="2238" spans="1:42" ht="12.75">
      <c r="A2238" s="106">
        <v>2018</v>
      </c>
      <c r="B2238" s="106">
        <v>-206349</v>
      </c>
      <c r="C2238" s="106">
        <v>0</v>
      </c>
      <c r="D2238" s="106">
        <v>206349</v>
      </c>
      <c r="E2238" s="106" t="s">
        <v>3386</v>
      </c>
      <c r="F2238" s="106" t="s">
        <v>3387</v>
      </c>
      <c r="G2238" s="106" t="s">
        <v>82</v>
      </c>
      <c r="H2238" s="106">
        <v>6</v>
      </c>
      <c r="I2238" s="106" t="s">
        <v>3640</v>
      </c>
      <c r="J2238" s="106">
        <v>31150</v>
      </c>
      <c r="K2238" s="106">
        <v>17054</v>
      </c>
      <c r="L2238" s="106">
        <v>14643</v>
      </c>
      <c r="M2238" s="106">
        <v>0.49</v>
      </c>
      <c r="N2238" s="106">
        <v>0.95</v>
      </c>
      <c r="O2238" s="106">
        <v>1</v>
      </c>
      <c r="P2238" s="106">
        <v>22360</v>
      </c>
      <c r="Q2238" s="106">
        <v>6721.3244444444445</v>
      </c>
      <c r="R2238" s="106">
        <v>0.2619150347577367</v>
      </c>
      <c r="S2238" s="106">
        <v>23680.781111111111</v>
      </c>
      <c r="T2238" s="106">
        <v>25138.331111111111</v>
      </c>
      <c r="U2238" s="106">
        <v>23632.365555555556</v>
      </c>
      <c r="V2238" s="106">
        <v>0.80148166857232372</v>
      </c>
      <c r="W2238" s="106">
        <v>63732.401244167959</v>
      </c>
      <c r="X2238" s="110">
        <v>0.60376933004215161</v>
      </c>
      <c r="Y2238" s="106">
        <v>260.64768683274025</v>
      </c>
      <c r="Z2238" s="106">
        <v>9.6085409252669045</v>
      </c>
      <c r="AA2238" s="106">
        <v>61471.471098265894</v>
      </c>
      <c r="AB2238" s="106">
        <v>871.18575407553044</v>
      </c>
      <c r="AC2238" s="106">
        <v>1.6267708940972616</v>
      </c>
      <c r="AD2238" s="106">
        <v>46.01063829787234</v>
      </c>
      <c r="AE2238" s="106">
        <v>70.560693641618499</v>
      </c>
      <c r="AF2238" s="106">
        <v>3.7053374651789824E-2</v>
      </c>
      <c r="AG2238" s="106">
        <v>30840</v>
      </c>
      <c r="AH2238" s="106">
        <v>21399.216666666667</v>
      </c>
      <c r="AI2238" s="106">
        <v>24366.912222222221</v>
      </c>
      <c r="AJ2238" s="106">
        <v>28695.885555555556</v>
      </c>
      <c r="AK2238" s="104">
        <v>23632.365555555556</v>
      </c>
      <c r="AL2238" s="118"/>
      <c r="AM2238" s="118">
        <v>621</v>
      </c>
      <c r="AN2238" s="118">
        <v>24414</v>
      </c>
      <c r="AO2238" s="118">
        <v>162</v>
      </c>
      <c r="AP2238" s="118">
        <f t="shared" si="34"/>
        <v>310</v>
      </c>
    </row>
    <row r="2239" spans="1:42" ht="12.75">
      <c r="A2239" s="106">
        <v>2018</v>
      </c>
      <c r="B2239" s="106">
        <v>-230728</v>
      </c>
      <c r="C2239" s="106">
        <v>0</v>
      </c>
      <c r="D2239" s="106">
        <v>230728</v>
      </c>
      <c r="E2239" s="106" t="s">
        <v>4235</v>
      </c>
      <c r="F2239" s="106" t="s">
        <v>2952</v>
      </c>
      <c r="G2239" s="106" t="s">
        <v>458</v>
      </c>
      <c r="H2239" s="106">
        <v>1</v>
      </c>
      <c r="I2239" s="106" t="s">
        <v>23</v>
      </c>
      <c r="J2239" s="106">
        <v>7175</v>
      </c>
      <c r="K2239" s="106">
        <v>12738</v>
      </c>
      <c r="L2239" s="106">
        <v>10888</v>
      </c>
      <c r="M2239" s="106">
        <v>0.28999999999999998</v>
      </c>
      <c r="N2239" s="106">
        <v>0.28999999999999998</v>
      </c>
      <c r="O2239" s="106">
        <v>0.7</v>
      </c>
      <c r="P2239" s="106">
        <v>6774</v>
      </c>
      <c r="Q2239" s="106">
        <v>3259.1836389531777</v>
      </c>
      <c r="R2239" s="106">
        <v>0.31644382069706151</v>
      </c>
      <c r="S2239" s="106">
        <v>32830.772654441877</v>
      </c>
      <c r="T2239" s="106">
        <v>33446.173001602278</v>
      </c>
      <c r="U2239" s="106">
        <v>14355.4904000675</v>
      </c>
      <c r="V2239" s="106">
        <v>0.49042024797683365</v>
      </c>
      <c r="W2239" s="106">
        <v>133663.04722056186</v>
      </c>
      <c r="X2239" s="110">
        <v>0.59515001301817505</v>
      </c>
      <c r="Y2239" s="106">
        <v>608.65096952908584</v>
      </c>
      <c r="Z2239" s="106">
        <v>20.746075715604803</v>
      </c>
      <c r="AA2239" s="106">
        <v>49866.907592565956</v>
      </c>
      <c r="AB2239" s="106">
        <v>489.31178242410761</v>
      </c>
      <c r="AC2239" s="106">
        <v>2.0053379049898767</v>
      </c>
      <c r="AD2239" s="106">
        <v>29.414707353676839</v>
      </c>
      <c r="AE2239" s="106">
        <v>101.91233766233766</v>
      </c>
      <c r="AF2239" s="106">
        <v>3.2487449786922612E-2</v>
      </c>
      <c r="AG2239" s="106">
        <v>6105</v>
      </c>
      <c r="AH2239" s="106">
        <v>30710.763485846539</v>
      </c>
      <c r="AI2239" s="106">
        <v>31563.783781377959</v>
      </c>
      <c r="AJ2239" s="106">
        <v>33771.193074594979</v>
      </c>
      <c r="AK2239" s="104">
        <v>29269.458162720312</v>
      </c>
      <c r="AL2239" s="119">
        <v>203257655</v>
      </c>
      <c r="AM2239" s="118">
        <v>24618</v>
      </c>
      <c r="AN2239" s="118">
        <v>659169</v>
      </c>
      <c r="AO2239" s="118">
        <v>5298</v>
      </c>
      <c r="AP2239" s="118">
        <f t="shared" si="34"/>
        <v>1070</v>
      </c>
    </row>
    <row r="2240" spans="1:42" ht="12.75">
      <c r="A2240" s="106">
        <v>2018</v>
      </c>
      <c r="B2240" s="106">
        <v>-230737</v>
      </c>
      <c r="C2240" s="106">
        <v>0</v>
      </c>
      <c r="D2240" s="106">
        <v>230737</v>
      </c>
      <c r="E2240" s="106" t="s">
        <v>3388</v>
      </c>
      <c r="F2240" s="106" t="s">
        <v>2951</v>
      </c>
      <c r="G2240" s="106" t="s">
        <v>458</v>
      </c>
      <c r="H2240" s="106">
        <v>2</v>
      </c>
      <c r="I2240" s="106" t="s">
        <v>25</v>
      </c>
      <c r="J2240" s="106">
        <v>5652</v>
      </c>
      <c r="K2240" s="106">
        <v>6760</v>
      </c>
      <c r="L2240" s="106">
        <v>6110</v>
      </c>
      <c r="M2240" s="106">
        <v>0.31</v>
      </c>
      <c r="N2240" s="106">
        <v>0.18</v>
      </c>
      <c r="O2240" s="106">
        <v>0.45</v>
      </c>
      <c r="P2240" s="106">
        <v>6248</v>
      </c>
      <c r="Q2240" s="106">
        <v>1039.6588666478715</v>
      </c>
      <c r="R2240" s="106">
        <v>0.1535208447628453</v>
      </c>
      <c r="S2240" s="106">
        <v>12778.882999718071</v>
      </c>
      <c r="T2240" s="106">
        <v>12029.766492810826</v>
      </c>
      <c r="U2240" s="106">
        <v>9784.4825212569795</v>
      </c>
      <c r="V2240" s="106">
        <v>0.58587088542116283</v>
      </c>
      <c r="W2240" s="106">
        <v>77084.256520095762</v>
      </c>
      <c r="X2240" s="110">
        <v>0.59743744734502813</v>
      </c>
      <c r="Y2240" s="106">
        <v>784.22458410351203</v>
      </c>
      <c r="Z2240" s="106">
        <v>26.225508317929759</v>
      </c>
      <c r="AA2240" s="106">
        <v>45635.186723074963</v>
      </c>
      <c r="AB2240" s="106">
        <v>327.20604906973114</v>
      </c>
      <c r="AC2240" s="106">
        <v>2.1912915708403582</v>
      </c>
      <c r="AD2240" s="106">
        <v>23.316598321388877</v>
      </c>
      <c r="AE2240" s="106">
        <v>139.46926364234056</v>
      </c>
      <c r="AF2240" s="106">
        <v>0.10281748972437643</v>
      </c>
      <c r="AG2240" s="106">
        <v>4962</v>
      </c>
      <c r="AH2240" s="106">
        <v>11202.272272342825</v>
      </c>
      <c r="AI2240" s="106">
        <v>11721.125951508317</v>
      </c>
      <c r="AJ2240" s="106">
        <v>12990.030095855653</v>
      </c>
      <c r="AK2240" s="104">
        <v>11056.337714970397</v>
      </c>
      <c r="AL2240" s="119">
        <v>112354498</v>
      </c>
      <c r="AM2240" s="118">
        <v>36868</v>
      </c>
      <c r="AN2240" s="118">
        <v>848531</v>
      </c>
      <c r="AO2240" s="118">
        <v>5560</v>
      </c>
      <c r="AP2240" s="118">
        <f t="shared" si="34"/>
        <v>690</v>
      </c>
    </row>
    <row r="2241" spans="1:42" ht="12.75">
      <c r="A2241" s="106">
        <v>2018</v>
      </c>
      <c r="B2241" s="106">
        <v>-197045</v>
      </c>
      <c r="C2241" s="106">
        <v>0</v>
      </c>
      <c r="D2241" s="106">
        <v>197045</v>
      </c>
      <c r="E2241" s="106" t="s">
        <v>3389</v>
      </c>
      <c r="F2241" s="106" t="s">
        <v>2050</v>
      </c>
      <c r="G2241" s="106" t="s">
        <v>69</v>
      </c>
      <c r="H2241" s="106">
        <v>6</v>
      </c>
      <c r="I2241" s="106" t="s">
        <v>3640</v>
      </c>
      <c r="J2241" s="106">
        <v>20676</v>
      </c>
      <c r="K2241" s="106">
        <v>22991</v>
      </c>
      <c r="L2241" s="106">
        <v>18896</v>
      </c>
      <c r="M2241" s="106">
        <v>0.46</v>
      </c>
      <c r="N2241" s="106">
        <v>0.84</v>
      </c>
      <c r="O2241" s="106">
        <v>0.78</v>
      </c>
      <c r="P2241" s="106">
        <v>6292</v>
      </c>
      <c r="Q2241" s="106">
        <v>2873.227215980025</v>
      </c>
      <c r="R2241" s="106">
        <v>0.17649808152203039</v>
      </c>
      <c r="S2241" s="106">
        <v>19040.792759051186</v>
      </c>
      <c r="T2241" s="106">
        <v>17055.793799417395</v>
      </c>
      <c r="U2241" s="106">
        <v>15499.267109077544</v>
      </c>
      <c r="V2241" s="106">
        <v>0.86493492727652233</v>
      </c>
      <c r="W2241" s="106">
        <v>87637.096357226779</v>
      </c>
      <c r="X2241" s="110">
        <v>0.60655554531469968</v>
      </c>
      <c r="Y2241" s="106">
        <v>488.14913448735024</v>
      </c>
      <c r="Z2241" s="106">
        <v>19.198402130492678</v>
      </c>
      <c r="AA2241" s="106">
        <v>44259.939231269564</v>
      </c>
      <c r="AB2241" s="106">
        <v>609.57019415897446</v>
      </c>
      <c r="AC2241" s="106">
        <v>2.259379514225591</v>
      </c>
      <c r="AD2241" s="106">
        <v>42.542972699696662</v>
      </c>
      <c r="AE2241" s="106">
        <v>72.608437314319673</v>
      </c>
      <c r="AF2241" s="106">
        <v>0.24071920397403029</v>
      </c>
      <c r="AG2241" s="106">
        <v>20126</v>
      </c>
      <c r="AH2241" s="106">
        <v>18093.238035788596</v>
      </c>
      <c r="AI2241" s="106">
        <v>18941.468580940491</v>
      </c>
      <c r="AJ2241" s="106">
        <v>19456.866833125259</v>
      </c>
      <c r="AK2241" s="104">
        <v>15502.305659592177</v>
      </c>
      <c r="AL2241" s="118">
        <v>551587</v>
      </c>
      <c r="AM2241" s="118">
        <v>3685</v>
      </c>
      <c r="AN2241" s="118">
        <v>122200</v>
      </c>
      <c r="AO2241" s="118">
        <v>822</v>
      </c>
      <c r="AP2241" s="118">
        <f t="shared" si="34"/>
        <v>550</v>
      </c>
    </row>
    <row r="2242" spans="1:42" ht="12.75">
      <c r="A2242" s="106">
        <v>2018</v>
      </c>
      <c r="B2242" s="106">
        <v>-141264</v>
      </c>
      <c r="C2242" s="106">
        <v>0</v>
      </c>
      <c r="D2242" s="106">
        <v>141264</v>
      </c>
      <c r="E2242" s="106" t="s">
        <v>3390</v>
      </c>
      <c r="F2242" s="106" t="s">
        <v>3391</v>
      </c>
      <c r="G2242" s="106" t="s">
        <v>63</v>
      </c>
      <c r="H2242" s="106">
        <v>1</v>
      </c>
      <c r="I2242" s="106" t="s">
        <v>23</v>
      </c>
      <c r="J2242" s="106">
        <v>6410</v>
      </c>
      <c r="K2242" s="106">
        <v>13630</v>
      </c>
      <c r="L2242" s="106">
        <v>12168</v>
      </c>
      <c r="M2242" s="106">
        <v>0.53</v>
      </c>
      <c r="N2242" s="106">
        <v>0.68</v>
      </c>
      <c r="O2242" s="106">
        <v>0.27</v>
      </c>
      <c r="P2242" s="106">
        <v>10408</v>
      </c>
      <c r="Q2242" s="106">
        <v>115.91106557377049</v>
      </c>
      <c r="R2242" s="106">
        <v>1.5927772861059772E-2</v>
      </c>
      <c r="S2242" s="106">
        <v>17785.187704918033</v>
      </c>
      <c r="T2242" s="106">
        <v>18615.606659836067</v>
      </c>
      <c r="U2242" s="106">
        <v>13490.441791154848</v>
      </c>
      <c r="V2242" s="106">
        <v>0.53084856453933937</v>
      </c>
      <c r="W2242" s="106">
        <v>85890.462057335579</v>
      </c>
      <c r="X2242" s="110">
        <v>0.56066392952136979</v>
      </c>
      <c r="Y2242" s="106">
        <v>593.828025477707</v>
      </c>
      <c r="Z2242" s="106">
        <v>20.721868365180466</v>
      </c>
      <c r="AA2242" s="106">
        <v>53436.165536392575</v>
      </c>
      <c r="AB2242" s="106">
        <v>470.75440530035183</v>
      </c>
      <c r="AC2242" s="106">
        <v>1.8713917624178187</v>
      </c>
      <c r="AD2242" s="106">
        <v>26.606198034769463</v>
      </c>
      <c r="AE2242" s="106">
        <v>113.51176948051948</v>
      </c>
      <c r="AF2242" s="106">
        <v>-2.9046407726128057E-2</v>
      </c>
      <c r="AG2242" s="106">
        <v>4264</v>
      </c>
      <c r="AH2242" s="106">
        <v>16437.715778688525</v>
      </c>
      <c r="AI2242" s="106">
        <v>16542.884631147543</v>
      </c>
      <c r="AJ2242" s="106">
        <v>17881.409836065573</v>
      </c>
      <c r="AK2242" s="104">
        <v>15086.581352459016</v>
      </c>
      <c r="AL2242" s="119">
        <v>49104734</v>
      </c>
      <c r="AM2242" s="118">
        <v>8778</v>
      </c>
      <c r="AN2242" s="118">
        <v>279693</v>
      </c>
      <c r="AO2242" s="118">
        <v>1534</v>
      </c>
      <c r="AP2242" s="118">
        <f t="shared" si="34"/>
        <v>2146</v>
      </c>
    </row>
    <row r="2243" spans="1:42" ht="12.75">
      <c r="A2243" s="106">
        <v>2018</v>
      </c>
      <c r="B2243" s="106">
        <v>-138187</v>
      </c>
      <c r="C2243" s="106">
        <v>0</v>
      </c>
      <c r="D2243" s="106">
        <v>138187</v>
      </c>
      <c r="E2243" s="106" t="s">
        <v>3392</v>
      </c>
      <c r="F2243" s="106" t="s">
        <v>1198</v>
      </c>
      <c r="G2243" s="106" t="s">
        <v>258</v>
      </c>
      <c r="H2243" s="106">
        <v>4</v>
      </c>
      <c r="I2243" s="106" t="s">
        <v>24</v>
      </c>
      <c r="J2243" s="106">
        <v>2474</v>
      </c>
      <c r="K2243" s="106">
        <v>4892</v>
      </c>
      <c r="L2243" s="106">
        <v>5291</v>
      </c>
      <c r="M2243" s="106">
        <v>0.62</v>
      </c>
      <c r="N2243" s="106">
        <v>0.2</v>
      </c>
      <c r="O2243" s="106">
        <v>0.18</v>
      </c>
      <c r="P2243" s="106">
        <v>1143</v>
      </c>
      <c r="Q2243" s="106">
        <v>232.98354491402861</v>
      </c>
      <c r="R2243" s="106">
        <v>6.325587448220818E-2</v>
      </c>
      <c r="S2243" s="106">
        <v>8688.4273501526586</v>
      </c>
      <c r="T2243" s="106">
        <v>9596.0667845090793</v>
      </c>
      <c r="U2243" s="106">
        <v>7549.3054153945041</v>
      </c>
      <c r="V2243" s="106">
        <v>0.45702332700053372</v>
      </c>
      <c r="W2243" s="106">
        <v>64667.063074565885</v>
      </c>
      <c r="X2243" s="110">
        <v>0.5654204271878519</v>
      </c>
      <c r="Y2243" s="106">
        <v>894.00803582853484</v>
      </c>
      <c r="Z2243" s="106">
        <v>29.86084452975048</v>
      </c>
      <c r="AA2243" s="106">
        <v>17654.764223975948</v>
      </c>
      <c r="AB2243" s="106">
        <v>252.15504367114488</v>
      </c>
      <c r="AC2243" s="106">
        <v>5.6641934568684631</v>
      </c>
      <c r="AD2243" s="106">
        <v>47.973606403692223</v>
      </c>
      <c r="AE2243" s="106">
        <v>70.015510960791673</v>
      </c>
      <c r="AF2243" s="106">
        <v>-6.3762410765076771E-2</v>
      </c>
      <c r="AG2243" s="106">
        <v>1984</v>
      </c>
      <c r="AH2243" s="106">
        <v>7580.105190422626</v>
      </c>
      <c r="AI2243" s="106">
        <v>7580.105190422626</v>
      </c>
      <c r="AJ2243" s="106">
        <v>8731.1429535593761</v>
      </c>
      <c r="AK2243" s="104">
        <v>9024.7291981359467</v>
      </c>
      <c r="AL2243" s="119">
        <v>85826707</v>
      </c>
      <c r="AM2243" s="118">
        <v>44834</v>
      </c>
      <c r="AN2243" s="118">
        <v>931556.37333333329</v>
      </c>
      <c r="AO2243" s="118">
        <v>8098</v>
      </c>
      <c r="AP2243" s="118">
        <f t="shared" si="34"/>
        <v>490</v>
      </c>
    </row>
    <row r="2244" spans="1:42" ht="12.75">
      <c r="A2244" s="106">
        <v>2018</v>
      </c>
      <c r="B2244" s="106">
        <v>-200572</v>
      </c>
      <c r="C2244" s="106">
        <v>0</v>
      </c>
      <c r="D2244" s="106">
        <v>200572</v>
      </c>
      <c r="E2244" s="106" t="s">
        <v>3393</v>
      </c>
      <c r="F2244" s="106" t="s">
        <v>3394</v>
      </c>
      <c r="G2244" s="106" t="s">
        <v>382</v>
      </c>
      <c r="H2244" s="106">
        <v>3</v>
      </c>
      <c r="I2244" s="104" t="s">
        <v>26</v>
      </c>
      <c r="J2244" s="106">
        <v>7406</v>
      </c>
      <c r="K2244" s="106">
        <v>12135</v>
      </c>
      <c r="L2244" s="106">
        <v>7280</v>
      </c>
      <c r="M2244" s="106">
        <v>0.27</v>
      </c>
      <c r="N2244" s="106">
        <v>0.68</v>
      </c>
      <c r="O2244" s="106">
        <v>0.96</v>
      </c>
      <c r="P2244" s="106">
        <v>3878</v>
      </c>
      <c r="Q2244" s="106">
        <v>572.07106164383561</v>
      </c>
      <c r="R2244" s="106">
        <v>7.2493983146626348E-2</v>
      </c>
      <c r="S2244" s="106">
        <v>20301.737157534248</v>
      </c>
      <c r="T2244" s="106">
        <v>20929.223458904111</v>
      </c>
      <c r="U2244" s="106">
        <v>17368.625288237166</v>
      </c>
      <c r="V2244" s="106">
        <v>0.42140463373569953</v>
      </c>
      <c r="W2244" s="106">
        <v>83218.65608465609</v>
      </c>
      <c r="X2244" s="110">
        <v>0.64340813029628197</v>
      </c>
      <c r="Y2244" s="106">
        <v>428.09504132231405</v>
      </c>
      <c r="Z2244" s="106">
        <v>14.479338842975206</v>
      </c>
      <c r="AA2244" s="106">
        <v>65230.078252929299</v>
      </c>
      <c r="AB2244" s="106">
        <v>587.45415505924802</v>
      </c>
      <c r="AC2244" s="106">
        <v>1.5330351070904824</v>
      </c>
      <c r="AD2244" s="106">
        <v>27.942497753818508</v>
      </c>
      <c r="AE2244" s="106">
        <v>111.03858520900322</v>
      </c>
      <c r="AF2244" s="106">
        <v>5.8212340921288359E-2</v>
      </c>
      <c r="AG2244" s="106">
        <v>5493</v>
      </c>
      <c r="AH2244" s="106">
        <v>19842.763698630137</v>
      </c>
      <c r="AI2244" s="106">
        <v>20360.79366438356</v>
      </c>
      <c r="AJ2244" s="106">
        <v>20736.365582191782</v>
      </c>
      <c r="AK2244" s="104">
        <v>18167.360445205479</v>
      </c>
      <c r="AL2244" s="118">
        <v>10053888</v>
      </c>
      <c r="AM2244" s="118">
        <v>1372</v>
      </c>
      <c r="AN2244" s="118">
        <v>34533</v>
      </c>
      <c r="AO2244" s="118">
        <v>241</v>
      </c>
      <c r="AP2244" s="118">
        <f t="shared" si="34"/>
        <v>1913</v>
      </c>
    </row>
    <row r="2245" spans="1:42" ht="12.75">
      <c r="A2245" s="106">
        <v>2018</v>
      </c>
      <c r="B2245" s="106">
        <v>-152600</v>
      </c>
      <c r="C2245" s="106">
        <v>0</v>
      </c>
      <c r="D2245" s="106">
        <v>152600</v>
      </c>
      <c r="E2245" s="106" t="s">
        <v>3395</v>
      </c>
      <c r="F2245" s="106" t="s">
        <v>3396</v>
      </c>
      <c r="G2245" s="106" t="s">
        <v>161</v>
      </c>
      <c r="H2245" s="106">
        <v>6</v>
      </c>
      <c r="I2245" s="106" t="s">
        <v>3640</v>
      </c>
      <c r="J2245" s="106">
        <v>38760</v>
      </c>
      <c r="K2245" s="106">
        <v>23916</v>
      </c>
      <c r="L2245" s="106">
        <v>17193</v>
      </c>
      <c r="M2245" s="106">
        <v>0.31</v>
      </c>
      <c r="N2245" s="106">
        <v>0.69</v>
      </c>
      <c r="O2245" s="106">
        <v>0.99</v>
      </c>
      <c r="P2245" s="106">
        <v>24127</v>
      </c>
      <c r="Q2245" s="106">
        <v>19135.279524634811</v>
      </c>
      <c r="R2245" s="106">
        <v>0.54764994732810202</v>
      </c>
      <c r="S2245" s="106">
        <v>26410.745233968802</v>
      </c>
      <c r="T2245" s="106">
        <v>32667.244367417679</v>
      </c>
      <c r="U2245" s="106">
        <v>25271.373576288395</v>
      </c>
      <c r="V2245" s="106">
        <v>0.62542834198744024</v>
      </c>
      <c r="W2245" s="106">
        <v>78874.267998622119</v>
      </c>
      <c r="X2245" s="110">
        <v>0.57846191158303206</v>
      </c>
      <c r="Y2245" s="106">
        <v>318.462657613967</v>
      </c>
      <c r="Z2245" s="106">
        <v>11.75266731328807</v>
      </c>
      <c r="AA2245" s="106">
        <v>93471.683035374386</v>
      </c>
      <c r="AB2245" s="106">
        <v>932.6244038067415</v>
      </c>
      <c r="AC2245" s="106">
        <v>1.0698427240488968</v>
      </c>
      <c r="AD2245" s="106">
        <v>28.805064626747562</v>
      </c>
      <c r="AE2245" s="106">
        <v>100.22435897435898</v>
      </c>
      <c r="AF2245" s="106">
        <v>-2.1424096985955574E-4</v>
      </c>
      <c r="AG2245" s="106">
        <v>37550</v>
      </c>
      <c r="AH2245" s="106">
        <v>23723.729883634562</v>
      </c>
      <c r="AI2245" s="106">
        <v>26841.085664768507</v>
      </c>
      <c r="AJ2245" s="106">
        <v>32660.311958405546</v>
      </c>
      <c r="AK2245" s="104">
        <v>26180.985392423867</v>
      </c>
      <c r="AM2245" s="118">
        <v>3224</v>
      </c>
      <c r="AN2245" s="118">
        <v>109445</v>
      </c>
      <c r="AO2245" s="118">
        <v>685</v>
      </c>
      <c r="AP2245" s="118">
        <f t="shared" si="34"/>
        <v>1210</v>
      </c>
    </row>
    <row r="2246" spans="1:42">
      <c r="A2246" s="106">
        <v>2018</v>
      </c>
      <c r="B2246" s="106">
        <v>-199838</v>
      </c>
      <c r="C2246" s="106">
        <v>0</v>
      </c>
      <c r="D2246" s="106">
        <v>199838</v>
      </c>
      <c r="E2246" s="106" t="s">
        <v>3397</v>
      </c>
      <c r="F2246" s="106" t="s">
        <v>1286</v>
      </c>
      <c r="G2246" s="106" t="s">
        <v>90</v>
      </c>
      <c r="H2246" s="106">
        <v>4</v>
      </c>
      <c r="I2246" s="106" t="s">
        <v>24</v>
      </c>
      <c r="J2246" s="106">
        <v>1948</v>
      </c>
      <c r="K2246" s="106">
        <v>3836</v>
      </c>
      <c r="L2246" s="107">
        <v>2406</v>
      </c>
      <c r="M2246" s="106">
        <v>0.6</v>
      </c>
      <c r="N2246" s="106">
        <v>0.01</v>
      </c>
      <c r="O2246" s="106">
        <v>0.16</v>
      </c>
      <c r="P2246" s="106">
        <v>870</v>
      </c>
      <c r="Q2246" s="106">
        <v>159.43738049713193</v>
      </c>
      <c r="R2246" s="106">
        <v>8.3884801656253463E-2</v>
      </c>
      <c r="S2246" s="106">
        <v>13053.277724665391</v>
      </c>
      <c r="T2246" s="106">
        <v>14122.178776290632</v>
      </c>
      <c r="U2246" s="106">
        <v>11716.405851131403</v>
      </c>
      <c r="V2246" s="107">
        <v>0.14861496705752361</v>
      </c>
      <c r="W2246" s="107">
        <v>54407.103290676416</v>
      </c>
      <c r="X2246" s="111">
        <v>0.67156535910081094</v>
      </c>
      <c r="Y2246" s="107">
        <v>462.53808353808358</v>
      </c>
      <c r="Z2246" s="106">
        <v>15.420147420147421</v>
      </c>
      <c r="AA2246" s="106">
        <v>40580.6639744485</v>
      </c>
      <c r="AB2246" s="106">
        <v>390.60287550105807</v>
      </c>
      <c r="AC2246" s="106">
        <v>2.4642277924029217</v>
      </c>
      <c r="AD2246" s="106">
        <v>33.743016759776538</v>
      </c>
      <c r="AE2246" s="106">
        <v>103.89238410596026</v>
      </c>
      <c r="AF2246" s="106">
        <v>-1.3854534531187197E-2</v>
      </c>
      <c r="AG2246" s="106">
        <v>1824</v>
      </c>
      <c r="AH2246" s="106">
        <v>12125.433556405354</v>
      </c>
      <c r="AI2246" s="106">
        <v>12198.235659655831</v>
      </c>
      <c r="AJ2246" s="106">
        <v>13197.135755258127</v>
      </c>
      <c r="AK2246" s="104">
        <v>12837.887189292544</v>
      </c>
      <c r="AL2246" s="119">
        <v>17812564</v>
      </c>
      <c r="AM2246" s="118">
        <v>3329</v>
      </c>
      <c r="AN2246" s="118">
        <v>62751</v>
      </c>
      <c r="AO2246" s="118">
        <v>427</v>
      </c>
      <c r="AP2246" s="118">
        <f t="shared" ref="AP2246:AP2309" si="35">J2246-AG2246</f>
        <v>124</v>
      </c>
    </row>
    <row r="2247" spans="1:42" ht="12.75">
      <c r="A2247" s="106">
        <v>2018</v>
      </c>
      <c r="B2247" s="106">
        <v>-221999</v>
      </c>
      <c r="C2247" s="106">
        <v>0</v>
      </c>
      <c r="D2247" s="106">
        <v>221999</v>
      </c>
      <c r="E2247" s="106" t="s">
        <v>3398</v>
      </c>
      <c r="F2247" s="106" t="s">
        <v>331</v>
      </c>
      <c r="G2247" s="106" t="s">
        <v>255</v>
      </c>
      <c r="H2247" s="106">
        <v>5</v>
      </c>
      <c r="I2247" s="106" t="s">
        <v>3639</v>
      </c>
      <c r="J2247" s="106">
        <v>47664</v>
      </c>
      <c r="K2247" s="106">
        <v>23596</v>
      </c>
      <c r="L2247" s="106">
        <v>3965</v>
      </c>
      <c r="M2247" s="106">
        <v>0.15</v>
      </c>
      <c r="N2247" s="106">
        <v>0.13</v>
      </c>
      <c r="O2247" s="106">
        <v>0.64</v>
      </c>
      <c r="P2247" s="106">
        <v>42735</v>
      </c>
      <c r="Q2247" s="106">
        <v>22690.563412957552</v>
      </c>
      <c r="R2247" s="106">
        <v>0.49041297473153245</v>
      </c>
      <c r="S2247" s="106">
        <v>98396.487798590824</v>
      </c>
      <c r="T2247" s="106">
        <v>103396.18817666266</v>
      </c>
      <c r="U2247" s="106">
        <v>61824.639913649429</v>
      </c>
      <c r="V2247" s="106">
        <v>0.38136435132404262</v>
      </c>
      <c r="W2247" s="106">
        <v>115315.5158716392</v>
      </c>
      <c r="X2247" s="110">
        <v>0.55246424573511543</v>
      </c>
      <c r="Y2247" s="106">
        <v>182.68434134217068</v>
      </c>
      <c r="Z2247" s="106">
        <v>7.2315658657829331</v>
      </c>
      <c r="AA2247" s="106">
        <v>185108.09346926989</v>
      </c>
      <c r="AB2247" s="106">
        <v>2447.3304738607212</v>
      </c>
      <c r="AC2247" s="106">
        <v>0.54022489306552757</v>
      </c>
      <c r="AD2247" s="106">
        <v>32.14521998015217</v>
      </c>
      <c r="AE2247" s="106">
        <v>75.636737844095705</v>
      </c>
      <c r="AF2247" s="106">
        <v>8.8460053847319045E-2</v>
      </c>
      <c r="AG2247" s="106">
        <v>46500</v>
      </c>
      <c r="AH2247" s="106">
        <v>88006.513060663347</v>
      </c>
      <c r="AI2247" s="106">
        <v>99389.21378243684</v>
      </c>
      <c r="AJ2247" s="106">
        <v>148379.78278054649</v>
      </c>
      <c r="AK2247" s="104">
        <v>88909.340092799452</v>
      </c>
      <c r="AM2247" s="118">
        <v>6885</v>
      </c>
      <c r="AN2247" s="118">
        <v>294000</v>
      </c>
      <c r="AO2247" s="118">
        <v>1716</v>
      </c>
      <c r="AP2247" s="118">
        <f t="shared" si="35"/>
        <v>1164</v>
      </c>
    </row>
    <row r="2248" spans="1:42" ht="12.75">
      <c r="A2248" s="106">
        <v>2018</v>
      </c>
      <c r="B2248" s="106">
        <v>-123651</v>
      </c>
      <c r="C2248" s="106">
        <v>0</v>
      </c>
      <c r="D2248" s="106">
        <v>123651</v>
      </c>
      <c r="E2248" s="106" t="s">
        <v>3399</v>
      </c>
      <c r="F2248" s="106" t="s">
        <v>2378</v>
      </c>
      <c r="G2248" s="106" t="s">
        <v>121</v>
      </c>
      <c r="H2248" s="106">
        <v>6</v>
      </c>
      <c r="I2248" s="106" t="s">
        <v>3640</v>
      </c>
      <c r="J2248" s="106">
        <v>32430</v>
      </c>
      <c r="K2248" s="106">
        <v>20572</v>
      </c>
      <c r="L2248" s="106">
        <v>18058</v>
      </c>
      <c r="M2248" s="106">
        <v>0.54</v>
      </c>
      <c r="N2248" s="106">
        <v>0.92</v>
      </c>
      <c r="O2248" s="106">
        <v>0.99</v>
      </c>
      <c r="P2248" s="106">
        <v>17818</v>
      </c>
      <c r="Q2248" s="106">
        <v>11607.955161626694</v>
      </c>
      <c r="R2248" s="106">
        <v>0.40995129502584393</v>
      </c>
      <c r="S2248" s="106">
        <v>25563.309176225233</v>
      </c>
      <c r="T2248" s="106">
        <v>23460.093326381648</v>
      </c>
      <c r="U2248" s="106">
        <v>21240.773722627739</v>
      </c>
      <c r="V2248" s="106">
        <v>0.78657653826709628</v>
      </c>
      <c r="W2248" s="106">
        <v>87587.884105960271</v>
      </c>
      <c r="X2248" s="110">
        <v>0.58785828013711039</v>
      </c>
      <c r="Y2248" s="106">
        <v>434.58247422680409</v>
      </c>
      <c r="Z2248" s="106">
        <v>14.829896907216494</v>
      </c>
      <c r="AA2248" s="106">
        <v>70606.246100519929</v>
      </c>
      <c r="AB2248" s="106">
        <v>724.83016048108743</v>
      </c>
      <c r="AC2248" s="106">
        <v>1.4163052919940411</v>
      </c>
      <c r="AD2248" s="106">
        <v>32.055555555555557</v>
      </c>
      <c r="AE2248" s="106">
        <v>97.410745233968811</v>
      </c>
      <c r="AF2248" s="106">
        <v>0.13754736936713688</v>
      </c>
      <c r="AG2248" s="106">
        <v>31980</v>
      </c>
      <c r="AH2248" s="106">
        <v>22510.209071949947</v>
      </c>
      <c r="AI2248" s="106">
        <v>25563.309176225233</v>
      </c>
      <c r="AJ2248" s="106">
        <v>25670.789885297185</v>
      </c>
      <c r="AK2248" s="104">
        <v>21240.773722627739</v>
      </c>
      <c r="AM2248" s="118">
        <v>1840</v>
      </c>
      <c r="AN2248" s="118">
        <v>56206</v>
      </c>
      <c r="AO2248" s="118">
        <v>467</v>
      </c>
      <c r="AP2248" s="118">
        <f t="shared" si="35"/>
        <v>450</v>
      </c>
    </row>
    <row r="2249" spans="1:42" ht="12.75">
      <c r="A2249" s="106">
        <v>2018</v>
      </c>
      <c r="B2249" s="106">
        <v>-197133</v>
      </c>
      <c r="C2249" s="106">
        <v>0</v>
      </c>
      <c r="D2249" s="106">
        <v>197133</v>
      </c>
      <c r="E2249" s="106" t="s">
        <v>3400</v>
      </c>
      <c r="F2249" s="106" t="s">
        <v>1074</v>
      </c>
      <c r="G2249" s="106" t="s">
        <v>69</v>
      </c>
      <c r="H2249" s="106">
        <v>7</v>
      </c>
      <c r="I2249" s="106" t="s">
        <v>3641</v>
      </c>
      <c r="J2249" s="106">
        <v>55210</v>
      </c>
      <c r="K2249" s="106">
        <v>25211</v>
      </c>
      <c r="L2249" s="106">
        <v>8123</v>
      </c>
      <c r="M2249" s="106">
        <v>0.22</v>
      </c>
      <c r="N2249" s="106">
        <v>0.43</v>
      </c>
      <c r="O2249" s="106">
        <v>0.65</v>
      </c>
      <c r="P2249" s="106">
        <v>43569</v>
      </c>
      <c r="Q2249" s="106">
        <v>30000.849978750532</v>
      </c>
      <c r="R2249" s="106">
        <v>0.5149580910835041</v>
      </c>
      <c r="S2249" s="106">
        <v>73232.894177645561</v>
      </c>
      <c r="T2249" s="106">
        <v>82702.082447938796</v>
      </c>
      <c r="U2249" s="106">
        <v>71769.500227541677</v>
      </c>
      <c r="V2249" s="106">
        <v>0.39373227431145164</v>
      </c>
      <c r="W2249" s="106">
        <v>95721.316818774445</v>
      </c>
      <c r="X2249" s="110">
        <v>0.50304216898426501</v>
      </c>
      <c r="Y2249" s="106">
        <v>230.72549019607843</v>
      </c>
      <c r="Z2249" s="106">
        <v>7.6895424836601309</v>
      </c>
      <c r="AA2249" s="106">
        <v>288672.878693001</v>
      </c>
      <c r="AB2249" s="106">
        <v>2391.9100597066031</v>
      </c>
      <c r="AC2249" s="106">
        <v>0.34641286861710485</v>
      </c>
      <c r="AD2249" s="106">
        <v>24.989320803075611</v>
      </c>
      <c r="AE2249" s="106">
        <v>120.68717948717949</v>
      </c>
      <c r="AF2249" s="106">
        <v>5.2700099285277503E-2</v>
      </c>
      <c r="AG2249" s="106">
        <v>54410</v>
      </c>
      <c r="AH2249" s="106">
        <v>44436.889077773056</v>
      </c>
      <c r="AI2249" s="106">
        <v>73232.894177645561</v>
      </c>
      <c r="AJ2249" s="106">
        <v>107773.48066298342</v>
      </c>
      <c r="AK2249" s="104">
        <v>73065.023374415643</v>
      </c>
      <c r="AL2249" s="118">
        <v>179000</v>
      </c>
      <c r="AM2249" s="118">
        <v>2353</v>
      </c>
      <c r="AN2249" s="118">
        <v>70602</v>
      </c>
      <c r="AO2249" s="118">
        <v>585</v>
      </c>
      <c r="AP2249" s="118">
        <f t="shared" si="35"/>
        <v>800</v>
      </c>
    </row>
    <row r="2250" spans="1:42" ht="12.75">
      <c r="A2250" s="106">
        <v>2018</v>
      </c>
      <c r="B2250" s="106">
        <v>-188340</v>
      </c>
      <c r="C2250" s="106">
        <v>0</v>
      </c>
      <c r="D2250" s="106">
        <v>188340</v>
      </c>
      <c r="E2250" s="106" t="s">
        <v>3401</v>
      </c>
      <c r="F2250" s="106" t="s">
        <v>3402</v>
      </c>
      <c r="G2250" s="106" t="s">
        <v>69</v>
      </c>
      <c r="H2250" s="106">
        <v>7</v>
      </c>
      <c r="I2250" s="106" t="s">
        <v>3641</v>
      </c>
      <c r="J2250" s="106">
        <v>24550</v>
      </c>
      <c r="K2250" s="106">
        <v>38702</v>
      </c>
      <c r="L2250" s="106">
        <v>38525</v>
      </c>
      <c r="M2250" s="106">
        <v>0.73</v>
      </c>
      <c r="N2250" s="106">
        <v>0.65</v>
      </c>
      <c r="O2250" s="106">
        <v>0.84</v>
      </c>
      <c r="P2250" s="106">
        <v>3112</v>
      </c>
      <c r="Q2250" s="106">
        <v>2786.0148548278189</v>
      </c>
      <c r="R2250" s="106">
        <v>0.12833178489376759</v>
      </c>
      <c r="S2250" s="106">
        <v>24134.916948008104</v>
      </c>
      <c r="T2250" s="106">
        <v>26114.39432815665</v>
      </c>
      <c r="U2250" s="106">
        <v>23830.486158001349</v>
      </c>
      <c r="V2250" s="106">
        <v>0.79408592934282907</v>
      </c>
      <c r="W2250" s="106">
        <v>82185.73134328358</v>
      </c>
      <c r="X2250" s="110">
        <v>0.42712743272742393</v>
      </c>
      <c r="Y2250" s="106">
        <v>552.80912863070535</v>
      </c>
      <c r="Z2250" s="106">
        <v>18.435684647302903</v>
      </c>
      <c r="AA2250" s="106">
        <v>125152.30496453901</v>
      </c>
      <c r="AB2250" s="106">
        <v>794.72516832173653</v>
      </c>
      <c r="AC2250" s="106">
        <v>0.79902643445787325</v>
      </c>
      <c r="AD2250" s="106">
        <v>21.107784431137723</v>
      </c>
      <c r="AE2250" s="106">
        <v>157.47872340425531</v>
      </c>
      <c r="AF2250" s="106">
        <v>-5.4855864680382511E-3</v>
      </c>
      <c r="AG2250" s="106">
        <v>23750</v>
      </c>
      <c r="AH2250" s="106">
        <v>23257.993923024984</v>
      </c>
      <c r="AI2250" s="106">
        <v>24134.916948008104</v>
      </c>
      <c r="AJ2250" s="106">
        <v>25958.108710330856</v>
      </c>
      <c r="AK2250" s="104">
        <v>23830.486158001349</v>
      </c>
      <c r="AL2250" s="118">
        <v>32328</v>
      </c>
      <c r="AM2250" s="118">
        <v>1496</v>
      </c>
      <c r="AN2250" s="118">
        <v>44409</v>
      </c>
      <c r="AO2250" s="118">
        <v>279</v>
      </c>
      <c r="AP2250" s="118">
        <f t="shared" si="35"/>
        <v>800</v>
      </c>
    </row>
    <row r="2251" spans="1:42" ht="12.75">
      <c r="A2251" s="106">
        <v>2018</v>
      </c>
      <c r="B2251" s="106">
        <v>-125028</v>
      </c>
      <c r="C2251" s="106">
        <v>0</v>
      </c>
      <c r="D2251" s="106">
        <v>125028</v>
      </c>
      <c r="E2251" s="106" t="s">
        <v>4236</v>
      </c>
      <c r="F2251" s="106" t="s">
        <v>3403</v>
      </c>
      <c r="G2251" s="106" t="s">
        <v>121</v>
      </c>
      <c r="H2251" s="106">
        <v>4</v>
      </c>
      <c r="I2251" s="106" t="s">
        <v>24</v>
      </c>
      <c r="J2251" s="106">
        <v>1388</v>
      </c>
      <c r="K2251" s="106">
        <v>3312</v>
      </c>
      <c r="L2251" s="106">
        <v>323</v>
      </c>
      <c r="M2251" s="106">
        <v>0.46</v>
      </c>
      <c r="N2251" s="106">
        <v>0.02</v>
      </c>
      <c r="O2251" s="106">
        <v>0</v>
      </c>
      <c r="P2251" s="106"/>
      <c r="Q2251" s="106">
        <v>19.045454545454547</v>
      </c>
      <c r="R2251" s="106">
        <v>1.6021698927694259E-2</v>
      </c>
      <c r="S2251" s="106">
        <v>10723.41948409717</v>
      </c>
      <c r="T2251" s="106">
        <v>10217.521412471826</v>
      </c>
      <c r="U2251" s="106">
        <v>6997.5453584800525</v>
      </c>
      <c r="V2251" s="106">
        <v>0.1671562327772447</v>
      </c>
      <c r="W2251" s="106">
        <v>114463.78506787331</v>
      </c>
      <c r="X2251" s="110">
        <v>0.62003400708010226</v>
      </c>
      <c r="Y2251" s="106">
        <v>869.0532043530834</v>
      </c>
      <c r="Z2251" s="106">
        <v>28.969770253929866</v>
      </c>
      <c r="AA2251" s="106">
        <v>15006.014294527848</v>
      </c>
      <c r="AB2251" s="106">
        <v>233.26222187687765</v>
      </c>
      <c r="AC2251" s="106">
        <v>6.6639947182021801</v>
      </c>
      <c r="AD2251" s="106">
        <v>51.564663528108554</v>
      </c>
      <c r="AE2251" s="106">
        <v>64.331095596133196</v>
      </c>
      <c r="AF2251" s="106"/>
      <c r="AG2251" s="106">
        <v>1338</v>
      </c>
      <c r="AH2251" s="106">
        <v>9516.7589531680442</v>
      </c>
      <c r="AI2251" s="106">
        <v>9516.7589531680442</v>
      </c>
      <c r="AJ2251" s="106">
        <v>10723.434009516654</v>
      </c>
      <c r="AK2251" s="104">
        <v>8612.3929376408723</v>
      </c>
      <c r="AL2251" s="118">
        <v>51298147</v>
      </c>
      <c r="AM2251" s="118">
        <v>13174</v>
      </c>
      <c r="AN2251" s="118">
        <v>239569</v>
      </c>
      <c r="AO2251" s="118">
        <v>2161</v>
      </c>
      <c r="AP2251" s="118">
        <f t="shared" si="35"/>
        <v>50</v>
      </c>
    </row>
    <row r="2252" spans="1:42" ht="12.75">
      <c r="A2252" s="106">
        <v>2018</v>
      </c>
      <c r="B2252" s="106">
        <v>-175157</v>
      </c>
      <c r="C2252" s="106">
        <v>0</v>
      </c>
      <c r="D2252" s="106">
        <v>175157</v>
      </c>
      <c r="E2252" s="106" t="s">
        <v>3404</v>
      </c>
      <c r="F2252" s="106" t="s">
        <v>3405</v>
      </c>
      <c r="G2252" s="106" t="s">
        <v>113</v>
      </c>
      <c r="H2252" s="106">
        <v>4</v>
      </c>
      <c r="I2252" s="106" t="s">
        <v>24</v>
      </c>
      <c r="J2252" s="106">
        <v>5325</v>
      </c>
      <c r="K2252" s="106">
        <v>11383</v>
      </c>
      <c r="L2252" s="106">
        <v>9902</v>
      </c>
      <c r="M2252" s="106">
        <v>0.55000000000000004</v>
      </c>
      <c r="N2252" s="106">
        <v>0.76</v>
      </c>
      <c r="O2252" s="106">
        <v>0.22</v>
      </c>
      <c r="P2252" s="106">
        <v>181</v>
      </c>
      <c r="Q2252" s="106">
        <v>22.687609075043628</v>
      </c>
      <c r="R2252" s="106">
        <v>4.7307132459970891E-3</v>
      </c>
      <c r="S2252" s="106">
        <v>16403.141361256545</v>
      </c>
      <c r="T2252" s="106">
        <v>18809.77312390925</v>
      </c>
      <c r="U2252" s="106">
        <v>12630.202113312416</v>
      </c>
      <c r="V2252" s="106">
        <v>0.37791350181313582</v>
      </c>
      <c r="W2252" s="106">
        <v>137472.97297297296</v>
      </c>
      <c r="X2252" s="110">
        <v>0.62924475784004452</v>
      </c>
      <c r="Y2252" s="106">
        <v>770.14925373134338</v>
      </c>
      <c r="Z2252" s="106">
        <v>25.656716417910449</v>
      </c>
      <c r="AA2252" s="106">
        <v>37693.25943191674</v>
      </c>
      <c r="AB2252" s="106">
        <v>420.76196575162874</v>
      </c>
      <c r="AC2252" s="106">
        <v>2.6529942357631473</v>
      </c>
      <c r="AD2252" s="106">
        <v>35.887850467289717</v>
      </c>
      <c r="AE2252" s="106">
        <v>89.583333333333329</v>
      </c>
      <c r="AF2252" s="106">
        <v>-0.16737252244621378</v>
      </c>
      <c r="AG2252" s="106">
        <v>4729</v>
      </c>
      <c r="AH2252" s="106">
        <v>16762.652705061082</v>
      </c>
      <c r="AI2252" s="106">
        <v>16879.581151832459</v>
      </c>
      <c r="AJ2252" s="106">
        <v>16486.910994764399</v>
      </c>
      <c r="AK2252" s="104">
        <v>13108.202443280978</v>
      </c>
      <c r="AL2252" s="119">
        <v>3069000</v>
      </c>
      <c r="AM2252" s="118">
        <v>724</v>
      </c>
      <c r="AN2252" s="118">
        <v>17200</v>
      </c>
      <c r="AO2252" s="118">
        <v>114</v>
      </c>
      <c r="AP2252" s="118">
        <f t="shared" si="35"/>
        <v>596</v>
      </c>
    </row>
    <row r="2253" spans="1:42" ht="12.75">
      <c r="A2253" s="106">
        <v>2018</v>
      </c>
      <c r="B2253" s="106">
        <v>-455992</v>
      </c>
      <c r="C2253" s="106">
        <v>0</v>
      </c>
      <c r="D2253" s="106">
        <v>455992</v>
      </c>
      <c r="E2253" s="106" t="s">
        <v>3406</v>
      </c>
      <c r="F2253" s="106" t="s">
        <v>3407</v>
      </c>
      <c r="G2253" s="106" t="s">
        <v>345</v>
      </c>
      <c r="H2253" s="106">
        <v>6</v>
      </c>
      <c r="I2253" s="106" t="s">
        <v>3640</v>
      </c>
      <c r="J2253" s="106"/>
      <c r="K2253" s="106"/>
      <c r="L2253" s="106"/>
      <c r="M2253" s="106"/>
      <c r="N2253" s="106"/>
      <c r="O2253" s="106"/>
      <c r="P2253" s="106"/>
      <c r="Q2253" s="106">
        <v>2258.3190184049081</v>
      </c>
      <c r="R2253" s="106">
        <v>0.11398085611098456</v>
      </c>
      <c r="S2253" s="106">
        <v>23312.443762781186</v>
      </c>
      <c r="T2253" s="106">
        <v>23067.728016359917</v>
      </c>
      <c r="U2253" s="106">
        <v>18841.045962935674</v>
      </c>
      <c r="V2253" s="106">
        <v>0.93173299218171857</v>
      </c>
      <c r="W2253" s="106">
        <v>89151.746411483269</v>
      </c>
      <c r="X2253" s="110">
        <v>0.55060633668846937</v>
      </c>
      <c r="Y2253" s="106">
        <v>399.9545454545455</v>
      </c>
      <c r="Z2253" s="106">
        <v>16.670454545454547</v>
      </c>
      <c r="AA2253" s="106">
        <v>51759.952111660365</v>
      </c>
      <c r="AB2253" s="106">
        <v>785.31124069856332</v>
      </c>
      <c r="AC2253" s="106">
        <v>1.9319956051016558</v>
      </c>
      <c r="AD2253" s="106">
        <v>46.1139896373057</v>
      </c>
      <c r="AE2253" s="106">
        <v>65.910112359550567</v>
      </c>
      <c r="AF2253" s="106">
        <v>2.6556813288925514E-2</v>
      </c>
      <c r="AG2253" s="106"/>
      <c r="AH2253" s="106">
        <v>21911.668711656443</v>
      </c>
      <c r="AI2253" s="106">
        <v>23196.075664621676</v>
      </c>
      <c r="AJ2253" s="106">
        <v>23394.026584867075</v>
      </c>
      <c r="AK2253" s="104">
        <v>19209.791411042945</v>
      </c>
      <c r="AL2253" s="118"/>
      <c r="AM2253" s="118"/>
      <c r="AN2253" s="118">
        <v>11732</v>
      </c>
      <c r="AO2253" s="118"/>
      <c r="AP2253" s="118">
        <f t="shared" si="35"/>
        <v>0</v>
      </c>
    </row>
    <row r="2254" spans="1:42" ht="12.75">
      <c r="A2254" s="106">
        <v>2018</v>
      </c>
      <c r="B2254" s="106">
        <v>-231165</v>
      </c>
      <c r="C2254" s="106">
        <v>0</v>
      </c>
      <c r="D2254" s="106">
        <v>231165</v>
      </c>
      <c r="E2254" s="106" t="s">
        <v>4237</v>
      </c>
      <c r="F2254" s="106" t="s">
        <v>953</v>
      </c>
      <c r="G2254" s="106" t="s">
        <v>345</v>
      </c>
      <c r="H2254" s="106">
        <v>3</v>
      </c>
      <c r="I2254" s="104" t="s">
        <v>26</v>
      </c>
      <c r="J2254" s="106">
        <v>14690</v>
      </c>
      <c r="K2254" s="106">
        <v>19861</v>
      </c>
      <c r="L2254" s="106">
        <v>15423</v>
      </c>
      <c r="M2254" s="106">
        <v>0.39</v>
      </c>
      <c r="N2254" s="106">
        <v>0.8</v>
      </c>
      <c r="O2254" s="106">
        <v>0.76</v>
      </c>
      <c r="P2254" s="106">
        <v>4389</v>
      </c>
      <c r="Q2254" s="106">
        <v>1134.255485893417</v>
      </c>
      <c r="R2254" s="106">
        <v>5.6096978070895892E-2</v>
      </c>
      <c r="S2254" s="106">
        <v>31940.517241379312</v>
      </c>
      <c r="T2254" s="106">
        <v>31222.702194357367</v>
      </c>
      <c r="U2254" s="106">
        <v>24107.549657595751</v>
      </c>
      <c r="V2254" s="106">
        <v>0.7916728081917197</v>
      </c>
      <c r="W2254" s="106">
        <v>93055.092570036533</v>
      </c>
      <c r="X2254" s="110">
        <v>0.6392060645929003</v>
      </c>
      <c r="Y2254" s="106">
        <v>331.71676300578031</v>
      </c>
      <c r="Z2254" s="106">
        <v>11.063583815028901</v>
      </c>
      <c r="AA2254" s="106">
        <v>52583.30489417466</v>
      </c>
      <c r="AB2254" s="106">
        <v>804.04708461216421</v>
      </c>
      <c r="AC2254" s="106">
        <v>1.9017442931982447</v>
      </c>
      <c r="AD2254" s="106">
        <v>47.755102040816325</v>
      </c>
      <c r="AE2254" s="106">
        <v>65.3982905982906</v>
      </c>
      <c r="AF2254" s="106"/>
      <c r="AG2254" s="106">
        <v>13512</v>
      </c>
      <c r="AH2254" s="106">
        <v>33262.048589341692</v>
      </c>
      <c r="AI2254" s="106">
        <v>33532.003918495298</v>
      </c>
      <c r="AJ2254" s="106">
        <v>32343.820532915361</v>
      </c>
      <c r="AK2254" s="104">
        <v>29059.658307210033</v>
      </c>
      <c r="AL2254" s="118">
        <v>6830224</v>
      </c>
      <c r="AM2254" s="118">
        <v>1610</v>
      </c>
      <c r="AN2254" s="118">
        <v>38258</v>
      </c>
      <c r="AO2254" s="118">
        <v>446</v>
      </c>
      <c r="AP2254" s="118">
        <f t="shared" si="35"/>
        <v>1178</v>
      </c>
    </row>
    <row r="2255" spans="1:42" ht="12.75">
      <c r="A2255" s="106">
        <v>2018</v>
      </c>
      <c r="B2255" s="106">
        <v>-229504</v>
      </c>
      <c r="C2255" s="106">
        <v>0</v>
      </c>
      <c r="D2255" s="106">
        <v>229504</v>
      </c>
      <c r="E2255" s="106" t="s">
        <v>3408</v>
      </c>
      <c r="F2255" s="106" t="s">
        <v>3409</v>
      </c>
      <c r="G2255" s="106" t="s">
        <v>60</v>
      </c>
      <c r="H2255" s="106">
        <v>4</v>
      </c>
      <c r="I2255" s="106" t="s">
        <v>24</v>
      </c>
      <c r="J2255" s="106">
        <v>3300</v>
      </c>
      <c r="K2255" s="106">
        <v>5196</v>
      </c>
      <c r="L2255" s="106">
        <v>4413</v>
      </c>
      <c r="M2255" s="106">
        <v>0.63</v>
      </c>
      <c r="N2255" s="106">
        <v>0.44</v>
      </c>
      <c r="O2255" s="106">
        <v>0.21</v>
      </c>
      <c r="P2255" s="106">
        <v>4377</v>
      </c>
      <c r="Q2255" s="106">
        <v>166.01328021248341</v>
      </c>
      <c r="R2255" s="106">
        <v>3.2026171307872817E-2</v>
      </c>
      <c r="S2255" s="106">
        <v>11194.236830455953</v>
      </c>
      <c r="T2255" s="106">
        <v>10796.003541389995</v>
      </c>
      <c r="U2255" s="106">
        <v>8548.3929965156021</v>
      </c>
      <c r="V2255" s="106">
        <v>0.58697140409599957</v>
      </c>
      <c r="W2255" s="106">
        <v>60648.279161205763</v>
      </c>
      <c r="X2255" s="110">
        <v>0.63247376638150654</v>
      </c>
      <c r="Y2255" s="106">
        <v>590.88167164179106</v>
      </c>
      <c r="Z2255" s="106">
        <v>20.229850746268657</v>
      </c>
      <c r="AA2255" s="106">
        <v>26709.294300316382</v>
      </c>
      <c r="AB2255" s="106">
        <v>292.66894327498375</v>
      </c>
      <c r="AC2255" s="106">
        <v>3.7440150561677501</v>
      </c>
      <c r="AD2255" s="106">
        <v>42.231308411214954</v>
      </c>
      <c r="AE2255" s="106">
        <v>91.261115721530658</v>
      </c>
      <c r="AF2255" s="106">
        <v>7.0054120002388878E-2</v>
      </c>
      <c r="AG2255" s="106">
        <v>3000</v>
      </c>
      <c r="AH2255" s="106">
        <v>11848.330677290836</v>
      </c>
      <c r="AI2255" s="106">
        <v>11950.290393979638</v>
      </c>
      <c r="AJ2255" s="106">
        <v>11222.133244798584</v>
      </c>
      <c r="AK2255" s="104">
        <v>9398.6772908366529</v>
      </c>
      <c r="AL2255" s="118">
        <v>10081380</v>
      </c>
      <c r="AM2255" s="118">
        <v>3005</v>
      </c>
      <c r="AN2255" s="118">
        <v>65981.786666666667</v>
      </c>
      <c r="AO2255" s="118">
        <v>301</v>
      </c>
      <c r="AP2255" s="118">
        <f t="shared" si="35"/>
        <v>300</v>
      </c>
    </row>
    <row r="2256" spans="1:42" ht="12.75">
      <c r="A2256" s="106">
        <v>2018</v>
      </c>
      <c r="B2256" s="106">
        <v>-125091</v>
      </c>
      <c r="C2256" s="106">
        <v>0</v>
      </c>
      <c r="D2256" s="106">
        <v>125091</v>
      </c>
      <c r="E2256" s="106" t="s">
        <v>3410</v>
      </c>
      <c r="F2256" s="106" t="s">
        <v>3411</v>
      </c>
      <c r="G2256" s="106" t="s">
        <v>121</v>
      </c>
      <c r="H2256" s="106">
        <v>4</v>
      </c>
      <c r="I2256" s="106" t="s">
        <v>24</v>
      </c>
      <c r="J2256" s="106">
        <v>1126</v>
      </c>
      <c r="K2256" s="106">
        <v>9863</v>
      </c>
      <c r="L2256" s="106">
        <v>8131</v>
      </c>
      <c r="M2256" s="106">
        <v>0.67</v>
      </c>
      <c r="N2256" s="106">
        <v>0</v>
      </c>
      <c r="O2256" s="106">
        <v>0</v>
      </c>
      <c r="P2256" s="106">
        <v>500</v>
      </c>
      <c r="Q2256" s="106">
        <v>304.55470201957627</v>
      </c>
      <c r="R2256" s="106">
        <v>0.72639088730079782</v>
      </c>
      <c r="S2256" s="106">
        <v>14865.02936439103</v>
      </c>
      <c r="T2256" s="106">
        <v>15676.201338124149</v>
      </c>
      <c r="U2256" s="106">
        <v>9785.4815331483878</v>
      </c>
      <c r="V2256" s="106">
        <v>1.1723121813904884E-2</v>
      </c>
      <c r="W2256" s="106">
        <v>143205.26750184232</v>
      </c>
      <c r="X2256" s="110">
        <v>0.51197576755859331</v>
      </c>
      <c r="Y2256" s="106">
        <v>965.93218085106378</v>
      </c>
      <c r="Z2256" s="106">
        <v>32.19813829787234</v>
      </c>
      <c r="AA2256" s="106">
        <v>57902.21514225853</v>
      </c>
      <c r="AB2256" s="106">
        <v>326.18675923808843</v>
      </c>
      <c r="AC2256" s="106">
        <v>1.7270496431667159</v>
      </c>
      <c r="AD2256" s="106">
        <v>19.900787861103005</v>
      </c>
      <c r="AE2256" s="106">
        <v>177.51246334310849</v>
      </c>
      <c r="AF2256" s="106">
        <v>0.44279356819137272</v>
      </c>
      <c r="AG2256" s="106">
        <v>1104</v>
      </c>
      <c r="AH2256" s="106">
        <v>11674.39821583447</v>
      </c>
      <c r="AI2256" s="106">
        <v>11674.39821583447</v>
      </c>
      <c r="AJ2256" s="106">
        <v>15193.610333292034</v>
      </c>
      <c r="AK2256" s="104">
        <v>13576.494610333291</v>
      </c>
      <c r="AL2256" s="119">
        <v>58822947</v>
      </c>
      <c r="AM2256" s="118">
        <v>11971</v>
      </c>
      <c r="AN2256" s="118">
        <v>242127</v>
      </c>
      <c r="AO2256" s="118">
        <v>1169</v>
      </c>
      <c r="AP2256" s="118">
        <f t="shared" si="35"/>
        <v>22</v>
      </c>
    </row>
    <row r="2257" spans="1:42" ht="12.75">
      <c r="A2257" s="106">
        <v>2018</v>
      </c>
      <c r="B2257" s="106">
        <v>-229540</v>
      </c>
      <c r="C2257" s="106">
        <v>0</v>
      </c>
      <c r="D2257" s="106">
        <v>229540</v>
      </c>
      <c r="E2257" s="106" t="s">
        <v>3412</v>
      </c>
      <c r="F2257" s="106" t="s">
        <v>3196</v>
      </c>
      <c r="G2257" s="106" t="s">
        <v>60</v>
      </c>
      <c r="H2257" s="106">
        <v>4</v>
      </c>
      <c r="I2257" s="106" t="s">
        <v>24</v>
      </c>
      <c r="J2257" s="106">
        <v>2640</v>
      </c>
      <c r="K2257" s="106">
        <v>6360</v>
      </c>
      <c r="L2257" s="106">
        <v>5120</v>
      </c>
      <c r="M2257" s="106">
        <v>0.49</v>
      </c>
      <c r="N2257" s="106">
        <v>0.08</v>
      </c>
      <c r="O2257" s="106">
        <v>0.25</v>
      </c>
      <c r="P2257" s="106">
        <v>1131</v>
      </c>
      <c r="Q2257" s="106">
        <v>50.198032506415743</v>
      </c>
      <c r="R2257" s="106">
        <v>7.4102959439706038E-3</v>
      </c>
      <c r="S2257" s="106">
        <v>19367.490162532078</v>
      </c>
      <c r="T2257" s="106">
        <v>19142.524379811806</v>
      </c>
      <c r="U2257" s="106">
        <v>14001.661547693282</v>
      </c>
      <c r="V2257" s="106">
        <v>0.48022120510208854</v>
      </c>
      <c r="W2257" s="106">
        <v>58936.694400000008</v>
      </c>
      <c r="X2257" s="110">
        <v>0.5486947646019944</v>
      </c>
      <c r="Y2257" s="106">
        <v>377.08064516129031</v>
      </c>
      <c r="Z2257" s="106">
        <v>12.56989247311828</v>
      </c>
      <c r="AA2257" s="106">
        <v>40414.672467292461</v>
      </c>
      <c r="AB2257" s="106">
        <v>466.7420148923805</v>
      </c>
      <c r="AC2257" s="106">
        <v>2.4743488910105573</v>
      </c>
      <c r="AD2257" s="106">
        <v>39.092664092664094</v>
      </c>
      <c r="AE2257" s="106">
        <v>86.588888888888889</v>
      </c>
      <c r="AF2257" s="106">
        <v>2.1326978324233838E-2</v>
      </c>
      <c r="AG2257" s="106">
        <v>1380</v>
      </c>
      <c r="AH2257" s="106">
        <v>19681.985457656116</v>
      </c>
      <c r="AI2257" s="106">
        <v>20102.923011120616</v>
      </c>
      <c r="AJ2257" s="106">
        <v>19471.054319931565</v>
      </c>
      <c r="AK2257" s="104">
        <v>14196.970487596236</v>
      </c>
      <c r="AL2257" s="118">
        <v>21984274</v>
      </c>
      <c r="AM2257" s="118">
        <v>3962</v>
      </c>
      <c r="AN2257" s="118">
        <v>70137</v>
      </c>
      <c r="AO2257" s="118">
        <v>465</v>
      </c>
      <c r="AP2257" s="118">
        <f t="shared" si="35"/>
        <v>1260</v>
      </c>
    </row>
    <row r="2258" spans="1:42" ht="12.75">
      <c r="A2258" s="106">
        <v>2018</v>
      </c>
      <c r="B2258" s="106">
        <v>-197142</v>
      </c>
      <c r="C2258" s="106">
        <v>0</v>
      </c>
      <c r="D2258" s="106">
        <v>197142</v>
      </c>
      <c r="E2258" s="106" t="s">
        <v>3413</v>
      </c>
      <c r="F2258" s="106" t="s">
        <v>585</v>
      </c>
      <c r="G2258" s="106" t="s">
        <v>69</v>
      </c>
      <c r="H2258" s="106">
        <v>7</v>
      </c>
      <c r="I2258" s="106" t="s">
        <v>3641</v>
      </c>
      <c r="J2258" s="106">
        <v>22080</v>
      </c>
      <c r="K2258" s="106">
        <v>10374</v>
      </c>
      <c r="L2258" s="106">
        <v>7858</v>
      </c>
      <c r="M2258" s="106">
        <v>0.77</v>
      </c>
      <c r="N2258" s="106">
        <v>0.75</v>
      </c>
      <c r="O2258" s="106">
        <v>0.98</v>
      </c>
      <c r="P2258" s="106">
        <v>9005</v>
      </c>
      <c r="Q2258" s="106">
        <v>7356.4440078585458</v>
      </c>
      <c r="R2258" s="106">
        <v>0.32444650704645656</v>
      </c>
      <c r="S2258" s="106">
        <v>19434.709233791749</v>
      </c>
      <c r="T2258" s="106">
        <v>18982.483300589392</v>
      </c>
      <c r="U2258" s="106">
        <v>18277.186951320069</v>
      </c>
      <c r="V2258" s="106">
        <v>0.83806020833087991</v>
      </c>
      <c r="W2258" s="106">
        <v>43932.773195876289</v>
      </c>
      <c r="X2258" s="110">
        <v>0.58806899215531561</v>
      </c>
      <c r="Y2258" s="106">
        <v>297.40909090909093</v>
      </c>
      <c r="Z2258" s="106">
        <v>9.9155844155844157</v>
      </c>
      <c r="AA2258" s="106">
        <v>100033.20600238618</v>
      </c>
      <c r="AB2258" s="106">
        <v>609.35928199527837</v>
      </c>
      <c r="AC2258" s="106">
        <v>0.99966805020339555</v>
      </c>
      <c r="AD2258" s="106">
        <v>17.481203007518797</v>
      </c>
      <c r="AE2258" s="106">
        <v>164.16129032258064</v>
      </c>
      <c r="AF2258" s="106">
        <v>7.1724611039779784E-2</v>
      </c>
      <c r="AG2258" s="106">
        <v>20830</v>
      </c>
      <c r="AH2258" s="106">
        <v>16564.966601178781</v>
      </c>
      <c r="AI2258" s="106">
        <v>19434.709233791749</v>
      </c>
      <c r="AJ2258" s="106">
        <v>19763.451866404714</v>
      </c>
      <c r="AK2258" s="104">
        <v>18327.459724950884</v>
      </c>
      <c r="AL2258" s="118"/>
      <c r="AM2258" s="118">
        <v>596</v>
      </c>
      <c r="AN2258" s="118">
        <v>15267</v>
      </c>
      <c r="AO2258" s="118">
        <v>92</v>
      </c>
      <c r="AP2258" s="118">
        <f t="shared" si="35"/>
        <v>1250</v>
      </c>
    </row>
    <row r="2259" spans="1:42" ht="12.75">
      <c r="A2259" s="106">
        <v>2018</v>
      </c>
      <c r="B2259" s="106">
        <v>-216597</v>
      </c>
      <c r="C2259" s="106">
        <v>0</v>
      </c>
      <c r="D2259" s="106">
        <v>216597</v>
      </c>
      <c r="E2259" s="106" t="s">
        <v>3414</v>
      </c>
      <c r="F2259" s="106" t="s">
        <v>3415</v>
      </c>
      <c r="G2259" s="106" t="s">
        <v>104</v>
      </c>
      <c r="H2259" s="106">
        <v>5</v>
      </c>
      <c r="I2259" s="106" t="s">
        <v>3639</v>
      </c>
      <c r="J2259" s="106">
        <v>51284</v>
      </c>
      <c r="K2259" s="106">
        <v>36958</v>
      </c>
      <c r="L2259" s="106">
        <v>23172</v>
      </c>
      <c r="M2259" s="106">
        <v>0.12</v>
      </c>
      <c r="N2259" s="106">
        <v>0.46</v>
      </c>
      <c r="O2259" s="106">
        <v>0.54</v>
      </c>
      <c r="P2259" s="106">
        <v>30423</v>
      </c>
      <c r="Q2259" s="106">
        <v>12591.249763033175</v>
      </c>
      <c r="R2259" s="106">
        <v>0.30626869370489812</v>
      </c>
      <c r="S2259" s="106">
        <v>47459.733933649288</v>
      </c>
      <c r="T2259" s="106">
        <v>40154.036398104268</v>
      </c>
      <c r="U2259" s="106">
        <v>33287.537859306707</v>
      </c>
      <c r="V2259" s="106">
        <v>0.85679288770917217</v>
      </c>
      <c r="W2259" s="106">
        <v>107531.72518765638</v>
      </c>
      <c r="X2259" s="110">
        <v>0.60870115283352766</v>
      </c>
      <c r="Y2259" s="106">
        <v>355.76507276507277</v>
      </c>
      <c r="Z2259" s="106">
        <v>13.160083160083161</v>
      </c>
      <c r="AA2259" s="106">
        <v>106807.64124564652</v>
      </c>
      <c r="AB2259" s="106">
        <v>1231.3371940032109</v>
      </c>
      <c r="AC2259" s="106">
        <v>0.93626260100633008</v>
      </c>
      <c r="AD2259" s="106">
        <v>36.508994003997337</v>
      </c>
      <c r="AE2259" s="106">
        <v>86.741180048661803</v>
      </c>
      <c r="AF2259" s="106">
        <v>0.1343878232819711</v>
      </c>
      <c r="AG2259" s="106">
        <v>50554</v>
      </c>
      <c r="AH2259" s="106">
        <v>38865.935829383889</v>
      </c>
      <c r="AI2259" s="106">
        <v>47518.159052132702</v>
      </c>
      <c r="AJ2259" s="106">
        <v>54799.861137440756</v>
      </c>
      <c r="AK2259" s="104">
        <v>34246.180663507112</v>
      </c>
      <c r="AL2259" s="118"/>
      <c r="AM2259" s="118">
        <v>6950</v>
      </c>
      <c r="AN2259" s="118">
        <v>285205</v>
      </c>
      <c r="AO2259" s="118">
        <v>1751</v>
      </c>
      <c r="AP2259" s="118">
        <f t="shared" si="35"/>
        <v>730</v>
      </c>
    </row>
    <row r="2260" spans="1:42" ht="12.75">
      <c r="A2260" s="106">
        <v>2018</v>
      </c>
      <c r="B2260" s="106">
        <v>-152637</v>
      </c>
      <c r="C2260" s="106">
        <v>0</v>
      </c>
      <c r="D2260" s="106">
        <v>152637</v>
      </c>
      <c r="E2260" s="106" t="s">
        <v>3416</v>
      </c>
      <c r="F2260" s="106" t="s">
        <v>3417</v>
      </c>
      <c r="G2260" s="106" t="s">
        <v>161</v>
      </c>
      <c r="H2260" s="106">
        <v>4</v>
      </c>
      <c r="I2260" s="106" t="s">
        <v>24</v>
      </c>
      <c r="J2260" s="106">
        <v>5737</v>
      </c>
      <c r="K2260" s="106">
        <v>9937</v>
      </c>
      <c r="L2260" s="106">
        <v>8619</v>
      </c>
      <c r="M2260" s="106">
        <v>0.56999999999999995</v>
      </c>
      <c r="N2260" s="106">
        <v>0.57999999999999996</v>
      </c>
      <c r="O2260" s="106">
        <v>0.26</v>
      </c>
      <c r="P2260" s="106">
        <v>4458</v>
      </c>
      <c r="Q2260" s="106">
        <v>732.69938176197832</v>
      </c>
      <c r="R2260" s="106">
        <v>0.16976968023691047</v>
      </c>
      <c r="S2260" s="106">
        <v>15247.90704349746</v>
      </c>
      <c r="T2260" s="106">
        <v>13511.659748288805</v>
      </c>
      <c r="U2260" s="106">
        <v>9105.007223787974</v>
      </c>
      <c r="V2260" s="106">
        <v>0.39353556717420324</v>
      </c>
      <c r="W2260" s="106">
        <v>50981.727732509135</v>
      </c>
      <c r="X2260" s="110">
        <v>0.49417442540855966</v>
      </c>
      <c r="Y2260" s="106">
        <v>484.957763236169</v>
      </c>
      <c r="Z2260" s="106">
        <v>16.16537775133849</v>
      </c>
      <c r="AA2260" s="106">
        <v>26595.66444149354</v>
      </c>
      <c r="AB2260" s="106">
        <v>303.50247456399717</v>
      </c>
      <c r="AC2260" s="106">
        <v>3.760011343953634</v>
      </c>
      <c r="AD2260" s="106">
        <v>28.622853978216721</v>
      </c>
      <c r="AE2260" s="106">
        <v>87.629151886488231</v>
      </c>
      <c r="AF2260" s="106">
        <v>8.1086463288912322E-2</v>
      </c>
      <c r="AG2260" s="106">
        <v>5270</v>
      </c>
      <c r="AH2260" s="106">
        <v>15047.950320158976</v>
      </c>
      <c r="AI2260" s="106">
        <v>15199.745197615368</v>
      </c>
      <c r="AJ2260" s="106">
        <v>15253.863656436299</v>
      </c>
      <c r="AK2260" s="104">
        <v>11630.631154780305</v>
      </c>
      <c r="AL2260" s="118">
        <v>54080551</v>
      </c>
      <c r="AM2260" s="118">
        <v>18914</v>
      </c>
      <c r="AN2260" s="118">
        <v>271738</v>
      </c>
      <c r="AO2260" s="118">
        <v>1920</v>
      </c>
      <c r="AP2260" s="118">
        <f t="shared" si="35"/>
        <v>467</v>
      </c>
    </row>
    <row r="2261" spans="1:42" ht="12.75">
      <c r="A2261" s="106">
        <v>2018</v>
      </c>
      <c r="B2261" s="106">
        <v>-234030</v>
      </c>
      <c r="C2261" s="106">
        <v>0</v>
      </c>
      <c r="D2261" s="106">
        <v>234030</v>
      </c>
      <c r="E2261" s="106" t="s">
        <v>3418</v>
      </c>
      <c r="F2261" s="106" t="s">
        <v>1078</v>
      </c>
      <c r="G2261" s="106" t="s">
        <v>261</v>
      </c>
      <c r="H2261" s="106">
        <v>1</v>
      </c>
      <c r="I2261" s="106" t="s">
        <v>23</v>
      </c>
      <c r="J2261" s="106">
        <v>13256</v>
      </c>
      <c r="K2261" s="106">
        <v>20897</v>
      </c>
      <c r="L2261" s="106">
        <v>14264</v>
      </c>
      <c r="M2261" s="106">
        <v>0.32</v>
      </c>
      <c r="N2261" s="106">
        <v>0.56999999999999995</v>
      </c>
      <c r="O2261" s="106">
        <v>0.59</v>
      </c>
      <c r="P2261" s="106">
        <v>5286</v>
      </c>
      <c r="Q2261" s="106">
        <v>2581.3069660167935</v>
      </c>
      <c r="R2261" s="106">
        <v>0.16144340205470617</v>
      </c>
      <c r="S2261" s="106">
        <v>38668.609463404086</v>
      </c>
      <c r="T2261" s="106">
        <v>40967.408591300584</v>
      </c>
      <c r="U2261" s="106">
        <v>22098.236977020148</v>
      </c>
      <c r="V2261" s="106">
        <v>0.60672809607187428</v>
      </c>
      <c r="W2261" s="106">
        <v>101112.71783889778</v>
      </c>
      <c r="X2261" s="110">
        <v>0.5745529538976073</v>
      </c>
      <c r="Y2261" s="106">
        <v>263.23775402325856</v>
      </c>
      <c r="Z2261" s="106">
        <v>9.7788088805356512</v>
      </c>
      <c r="AA2261" s="106">
        <v>81532.240111066625</v>
      </c>
      <c r="AB2261" s="106">
        <v>820.90973917051724</v>
      </c>
      <c r="AC2261" s="106">
        <v>1.2265086775952165</v>
      </c>
      <c r="AD2261" s="106">
        <v>27.567627006817681</v>
      </c>
      <c r="AE2261" s="106">
        <v>99.319372423879798</v>
      </c>
      <c r="AF2261" s="106">
        <v>1.4473635612099651E-2</v>
      </c>
      <c r="AG2261" s="106">
        <v>10972</v>
      </c>
      <c r="AH2261" s="106">
        <v>37152.443727701902</v>
      </c>
      <c r="AI2261" s="106">
        <v>38796.525568488956</v>
      </c>
      <c r="AJ2261" s="106">
        <v>39080.773397239544</v>
      </c>
      <c r="AK2261" s="104">
        <v>33560.610328300121</v>
      </c>
      <c r="AL2261" s="119">
        <v>231600317</v>
      </c>
      <c r="AM2261" s="118">
        <v>23663</v>
      </c>
      <c r="AN2261" s="118">
        <v>746981</v>
      </c>
      <c r="AO2261" s="118">
        <v>5021</v>
      </c>
      <c r="AP2261" s="118">
        <f t="shared" si="35"/>
        <v>2284</v>
      </c>
    </row>
    <row r="2262" spans="1:42" ht="12.75">
      <c r="A2262" s="106">
        <v>2018</v>
      </c>
      <c r="B2262" s="106">
        <v>-233903</v>
      </c>
      <c r="C2262" s="106">
        <v>0</v>
      </c>
      <c r="D2262" s="106">
        <v>233903</v>
      </c>
      <c r="E2262" s="106" t="s">
        <v>3419</v>
      </c>
      <c r="F2262" s="106" t="s">
        <v>3420</v>
      </c>
      <c r="G2262" s="106" t="s">
        <v>261</v>
      </c>
      <c r="H2262" s="106">
        <v>4</v>
      </c>
      <c r="I2262" s="106" t="s">
        <v>24</v>
      </c>
      <c r="J2262" s="106">
        <v>4605</v>
      </c>
      <c r="K2262" s="106">
        <v>6812</v>
      </c>
      <c r="L2262" s="106">
        <v>6363</v>
      </c>
      <c r="M2262" s="106">
        <v>0.67</v>
      </c>
      <c r="N2262" s="106">
        <v>0.02</v>
      </c>
      <c r="O2262" s="106">
        <v>0.17</v>
      </c>
      <c r="P2262" s="106">
        <v>874</v>
      </c>
      <c r="Q2262" s="106">
        <v>308.02348066298345</v>
      </c>
      <c r="R2262" s="106">
        <v>6.6845764120410434E-2</v>
      </c>
      <c r="S2262" s="106">
        <v>11508.953729281768</v>
      </c>
      <c r="T2262" s="106">
        <v>11477.458563535911</v>
      </c>
      <c r="U2262" s="106">
        <v>9245.8488365852481</v>
      </c>
      <c r="V2262" s="106">
        <v>0.46506812534298914</v>
      </c>
      <c r="W2262" s="106">
        <v>62529.25</v>
      </c>
      <c r="X2262" s="110">
        <v>0.586939749785792</v>
      </c>
      <c r="Y2262" s="106">
        <v>538.45041322314057</v>
      </c>
      <c r="Z2262" s="106">
        <v>17.950413223140497</v>
      </c>
      <c r="AA2262" s="106">
        <v>24701.086928736975</v>
      </c>
      <c r="AB2262" s="106">
        <v>308.23043894038079</v>
      </c>
      <c r="AC2262" s="106">
        <v>4.0484048450378554</v>
      </c>
      <c r="AD2262" s="106">
        <v>39.190166305133765</v>
      </c>
      <c r="AE2262" s="106">
        <v>80.138376383763841</v>
      </c>
      <c r="AF2262" s="106">
        <v>0.84077398134041492</v>
      </c>
      <c r="AG2262" s="106">
        <v>4260</v>
      </c>
      <c r="AH2262" s="106">
        <v>10842.073895027625</v>
      </c>
      <c r="AI2262" s="106">
        <v>10905.363950276243</v>
      </c>
      <c r="AJ2262" s="106">
        <v>11511.406767955801</v>
      </c>
      <c r="AK2262" s="104">
        <v>11134.180248618784</v>
      </c>
      <c r="AL2262" s="118">
        <v>7402391</v>
      </c>
      <c r="AM2262" s="118">
        <v>2328</v>
      </c>
      <c r="AN2262" s="118">
        <v>43435</v>
      </c>
      <c r="AO2262" s="118">
        <v>265</v>
      </c>
      <c r="AP2262" s="118">
        <f t="shared" si="35"/>
        <v>345</v>
      </c>
    </row>
    <row r="2263" spans="1:42" ht="12.75">
      <c r="A2263" s="106">
        <v>2018</v>
      </c>
      <c r="B2263" s="106">
        <v>-234085</v>
      </c>
      <c r="C2263" s="106">
        <v>0</v>
      </c>
      <c r="D2263" s="106">
        <v>234085</v>
      </c>
      <c r="E2263" s="106" t="s">
        <v>3421</v>
      </c>
      <c r="F2263" s="106" t="s">
        <v>413</v>
      </c>
      <c r="G2263" s="106" t="s">
        <v>261</v>
      </c>
      <c r="H2263" s="106">
        <v>3</v>
      </c>
      <c r="I2263" s="104" t="s">
        <v>26</v>
      </c>
      <c r="J2263" s="106">
        <v>18214</v>
      </c>
      <c r="K2263" s="106">
        <v>14799</v>
      </c>
      <c r="L2263" s="106">
        <v>11016</v>
      </c>
      <c r="M2263" s="106">
        <v>0.18</v>
      </c>
      <c r="N2263" s="106">
        <v>0.84</v>
      </c>
      <c r="O2263" s="106">
        <v>0.66</v>
      </c>
      <c r="P2263" s="106">
        <v>14669</v>
      </c>
      <c r="Q2263" s="106">
        <v>4611.326594090202</v>
      </c>
      <c r="R2263" s="106">
        <v>0.24922772388190384</v>
      </c>
      <c r="S2263" s="106">
        <v>44428.584240539138</v>
      </c>
      <c r="T2263" s="106">
        <v>47218.609642301708</v>
      </c>
      <c r="U2263" s="106">
        <v>27502.431240998383</v>
      </c>
      <c r="V2263" s="106">
        <v>0.5050875575306043</v>
      </c>
      <c r="W2263" s="106">
        <v>73224.02960526316</v>
      </c>
      <c r="X2263" s="110">
        <v>0.48877814800461872</v>
      </c>
      <c r="Y2263" s="106">
        <v>374.96112311015116</v>
      </c>
      <c r="Z2263" s="106">
        <v>12.498920086393088</v>
      </c>
      <c r="AA2263" s="106">
        <v>124244.00436507232</v>
      </c>
      <c r="AB2263" s="106">
        <v>916.76354980880751</v>
      </c>
      <c r="AC2263" s="106">
        <v>0.80486781242308525</v>
      </c>
      <c r="AD2263" s="106">
        <v>24.796747967479675</v>
      </c>
      <c r="AE2263" s="106">
        <v>135.52459016393442</v>
      </c>
      <c r="AF2263" s="106">
        <v>4.6015775594720702E-3</v>
      </c>
      <c r="AG2263" s="106">
        <v>8884</v>
      </c>
      <c r="AH2263" s="106">
        <v>38141.24053913945</v>
      </c>
      <c r="AI2263" s="106">
        <v>46413.687402799376</v>
      </c>
      <c r="AJ2263" s="106">
        <v>45254.161223431831</v>
      </c>
      <c r="AK2263" s="104">
        <v>29321.01192327631</v>
      </c>
      <c r="AL2263" s="119">
        <v>14725387</v>
      </c>
      <c r="AM2263" s="118">
        <v>1722</v>
      </c>
      <c r="AN2263" s="118">
        <v>57869</v>
      </c>
      <c r="AO2263" s="118">
        <v>427</v>
      </c>
      <c r="AP2263" s="118">
        <f t="shared" si="35"/>
        <v>9330</v>
      </c>
    </row>
    <row r="2264" spans="1:42" ht="12.75">
      <c r="A2264" s="106">
        <v>2018</v>
      </c>
      <c r="B2264" s="106">
        <v>-233921</v>
      </c>
      <c r="C2264" s="106">
        <v>0</v>
      </c>
      <c r="D2264" s="106">
        <v>233921</v>
      </c>
      <c r="E2264" s="106" t="s">
        <v>3422</v>
      </c>
      <c r="F2264" s="106" t="s">
        <v>3423</v>
      </c>
      <c r="G2264" s="106" t="s">
        <v>261</v>
      </c>
      <c r="H2264" s="106">
        <v>1</v>
      </c>
      <c r="I2264" s="106" t="s">
        <v>23</v>
      </c>
      <c r="J2264" s="106">
        <v>13230</v>
      </c>
      <c r="K2264" s="106">
        <v>18349</v>
      </c>
      <c r="L2264" s="106">
        <v>12401</v>
      </c>
      <c r="M2264" s="106">
        <v>0.14000000000000001</v>
      </c>
      <c r="N2264" s="106">
        <v>0.41</v>
      </c>
      <c r="O2264" s="106">
        <v>0.4</v>
      </c>
      <c r="P2264" s="106">
        <v>5501</v>
      </c>
      <c r="Q2264" s="106">
        <v>3217.7153609698639</v>
      </c>
      <c r="R2264" s="106">
        <v>0.18254361303796252</v>
      </c>
      <c r="S2264" s="106">
        <v>41086.41825389985</v>
      </c>
      <c r="T2264" s="106">
        <v>41361.743859346723</v>
      </c>
      <c r="U2264" s="106">
        <v>16202.954157179125</v>
      </c>
      <c r="V2264" s="106">
        <v>0.88930630171726499</v>
      </c>
      <c r="W2264" s="106">
        <v>112359.07509881422</v>
      </c>
      <c r="X2264" s="110">
        <v>0.6120684346221138</v>
      </c>
      <c r="Y2264" s="106">
        <v>334.00372881355935</v>
      </c>
      <c r="Z2264" s="106">
        <v>11.799661016949152</v>
      </c>
      <c r="AA2264" s="106">
        <v>66252.62906816024</v>
      </c>
      <c r="AB2264" s="106">
        <v>572.41686255126365</v>
      </c>
      <c r="AC2264" s="106">
        <v>1.5093740641917877</v>
      </c>
      <c r="AD2264" s="106">
        <v>26.090287780808485</v>
      </c>
      <c r="AE2264" s="106">
        <v>115.74192411605779</v>
      </c>
      <c r="AF2264" s="106">
        <v>6.5482568841965905E-2</v>
      </c>
      <c r="AG2264" s="106">
        <v>11093</v>
      </c>
      <c r="AH2264" s="106">
        <v>39230.787037835042</v>
      </c>
      <c r="AI2264" s="106">
        <v>41285.75727541728</v>
      </c>
      <c r="AJ2264" s="106">
        <v>41555.381022149442</v>
      </c>
      <c r="AK2264" s="104">
        <v>33930.128156511244</v>
      </c>
      <c r="AL2264" s="118">
        <v>230231220</v>
      </c>
      <c r="AM2264" s="118">
        <v>27193</v>
      </c>
      <c r="AN2264" s="118">
        <v>985311</v>
      </c>
      <c r="AO2264" s="118">
        <v>6151</v>
      </c>
      <c r="AP2264" s="118">
        <f t="shared" si="35"/>
        <v>2137</v>
      </c>
    </row>
    <row r="2265" spans="1:42" ht="12.75">
      <c r="A2265" s="106">
        <v>2018</v>
      </c>
      <c r="B2265" s="106">
        <v>-234155</v>
      </c>
      <c r="C2265" s="106">
        <v>0</v>
      </c>
      <c r="D2265" s="106">
        <v>234155</v>
      </c>
      <c r="E2265" s="106" t="s">
        <v>3424</v>
      </c>
      <c r="F2265" s="106" t="s">
        <v>2554</v>
      </c>
      <c r="G2265" s="106" t="s">
        <v>261</v>
      </c>
      <c r="H2265" s="106">
        <v>2</v>
      </c>
      <c r="I2265" s="106" t="s">
        <v>25</v>
      </c>
      <c r="J2265" s="106">
        <v>8726</v>
      </c>
      <c r="K2265" s="106">
        <v>17037</v>
      </c>
      <c r="L2265" s="106">
        <v>14436</v>
      </c>
      <c r="M2265" s="106">
        <v>0.67</v>
      </c>
      <c r="N2265" s="106">
        <v>0.92</v>
      </c>
      <c r="O2265" s="106">
        <v>0.62</v>
      </c>
      <c r="P2265" s="106">
        <v>1271</v>
      </c>
      <c r="Q2265" s="106">
        <v>1920.4832364774252</v>
      </c>
      <c r="R2265" s="106">
        <v>0.22480241191124103</v>
      </c>
      <c r="S2265" s="106">
        <v>31035.772463120251</v>
      </c>
      <c r="T2265" s="106">
        <v>32534.112874385337</v>
      </c>
      <c r="U2265" s="106">
        <v>15020.529334571411</v>
      </c>
      <c r="V2265" s="106">
        <v>0.44089657910774044</v>
      </c>
      <c r="W2265" s="106">
        <v>83299.204724409443</v>
      </c>
      <c r="X2265" s="110">
        <v>0.46030105836918012</v>
      </c>
      <c r="Y2265" s="106">
        <v>400.49094567404427</v>
      </c>
      <c r="Z2265" s="106">
        <v>13.503018108651911</v>
      </c>
      <c r="AA2265" s="106">
        <v>76365.736639627838</v>
      </c>
      <c r="AB2265" s="106">
        <v>506.43461930180632</v>
      </c>
      <c r="AC2265" s="106">
        <v>1.3094877938767613</v>
      </c>
      <c r="AD2265" s="106">
        <v>19.779725781074397</v>
      </c>
      <c r="AE2265" s="106">
        <v>150.79090909090908</v>
      </c>
      <c r="AF2265" s="106">
        <v>1.9120600349694959E-2</v>
      </c>
      <c r="AG2265" s="106">
        <v>5327</v>
      </c>
      <c r="AH2265" s="106">
        <v>32494.646401430487</v>
      </c>
      <c r="AI2265" s="106">
        <v>32686.827223960663</v>
      </c>
      <c r="AJ2265" s="106">
        <v>31682.436298614215</v>
      </c>
      <c r="AK2265" s="104">
        <v>21021.092981671882</v>
      </c>
      <c r="AL2265" s="119">
        <v>48587822</v>
      </c>
      <c r="AM2265" s="118">
        <v>4302</v>
      </c>
      <c r="AN2265" s="118">
        <v>132696</v>
      </c>
      <c r="AO2265" s="118">
        <v>731</v>
      </c>
      <c r="AP2265" s="118">
        <f t="shared" si="35"/>
        <v>3399</v>
      </c>
    </row>
    <row r="2266" spans="1:42" ht="12.75">
      <c r="A2266" s="106">
        <v>2018</v>
      </c>
      <c r="B2266" s="106">
        <v>-234164</v>
      </c>
      <c r="C2266" s="106">
        <v>0</v>
      </c>
      <c r="D2266" s="106">
        <v>234164</v>
      </c>
      <c r="E2266" s="106" t="s">
        <v>3425</v>
      </c>
      <c r="F2266" s="106" t="s">
        <v>1078</v>
      </c>
      <c r="G2266" s="106" t="s">
        <v>261</v>
      </c>
      <c r="H2266" s="106">
        <v>7</v>
      </c>
      <c r="I2266" s="106" t="s">
        <v>3641</v>
      </c>
      <c r="J2266" s="106">
        <v>17448</v>
      </c>
      <c r="K2266" s="106">
        <v>21592</v>
      </c>
      <c r="L2266" s="106">
        <v>20384</v>
      </c>
      <c r="M2266" s="106">
        <v>0.73</v>
      </c>
      <c r="N2266" s="106">
        <v>0.78</v>
      </c>
      <c r="O2266" s="106">
        <v>0.39</v>
      </c>
      <c r="P2266" s="106">
        <v>6390</v>
      </c>
      <c r="Q2266" s="106">
        <v>2898.4009546539378</v>
      </c>
      <c r="R2266" s="106">
        <v>0.24390671300793124</v>
      </c>
      <c r="S2266" s="106">
        <v>22143.283412887828</v>
      </c>
      <c r="T2266" s="106">
        <v>22644.889618138426</v>
      </c>
      <c r="U2266" s="106">
        <v>14304.707637231504</v>
      </c>
      <c r="V2266" s="106">
        <v>0.6281033456532702</v>
      </c>
      <c r="W2266" s="106">
        <v>58908.98748435545</v>
      </c>
      <c r="X2266" s="110">
        <v>0.41339275445431151</v>
      </c>
      <c r="Y2266" s="106">
        <v>679.2877358490565</v>
      </c>
      <c r="Z2266" s="106">
        <v>23.716981132075471</v>
      </c>
      <c r="AA2266" s="106">
        <v>76841.955128205125</v>
      </c>
      <c r="AB2266" s="106">
        <v>499.44149324000585</v>
      </c>
      <c r="AC2266" s="106">
        <v>1.3013724056494578</v>
      </c>
      <c r="AD2266" s="106">
        <v>19.463505926388024</v>
      </c>
      <c r="AE2266" s="106">
        <v>153.85576923076923</v>
      </c>
      <c r="AF2266" s="106">
        <v>1.8459654020097888E-2</v>
      </c>
      <c r="AG2266" s="106">
        <v>15530</v>
      </c>
      <c r="AH2266" s="106">
        <v>17024.89797136038</v>
      </c>
      <c r="AI2266" s="106">
        <v>19244.882458233889</v>
      </c>
      <c r="AJ2266" s="106">
        <v>23355.864558472553</v>
      </c>
      <c r="AK2266" s="104">
        <v>14304.707637231504</v>
      </c>
      <c r="AM2266" s="118">
        <v>1295</v>
      </c>
      <c r="AN2266" s="118">
        <v>48003</v>
      </c>
      <c r="AO2266" s="118">
        <v>204</v>
      </c>
      <c r="AP2266" s="118">
        <f t="shared" si="35"/>
        <v>1918</v>
      </c>
    </row>
    <row r="2267" spans="1:42" ht="12.75">
      <c r="A2267" s="106">
        <v>2018</v>
      </c>
      <c r="B2267" s="106">
        <v>-234173</v>
      </c>
      <c r="C2267" s="106">
        <v>0</v>
      </c>
      <c r="D2267" s="106">
        <v>234173</v>
      </c>
      <c r="E2267" s="106" t="s">
        <v>4238</v>
      </c>
      <c r="F2267" s="106" t="s">
        <v>2537</v>
      </c>
      <c r="G2267" s="106" t="s">
        <v>261</v>
      </c>
      <c r="H2267" s="106">
        <v>7</v>
      </c>
      <c r="I2267" s="106" t="s">
        <v>3641</v>
      </c>
      <c r="J2267" s="106">
        <v>36660</v>
      </c>
      <c r="K2267" s="106">
        <v>25357</v>
      </c>
      <c r="L2267" s="106">
        <v>22559</v>
      </c>
      <c r="M2267" s="106">
        <v>0.45</v>
      </c>
      <c r="N2267" s="106">
        <v>0.77</v>
      </c>
      <c r="O2267" s="106">
        <v>1</v>
      </c>
      <c r="P2267" s="106">
        <v>20406</v>
      </c>
      <c r="Q2267" s="106">
        <v>17387.148121899361</v>
      </c>
      <c r="R2267" s="106">
        <v>0.51939251487137406</v>
      </c>
      <c r="S2267" s="106">
        <v>25234.819277108432</v>
      </c>
      <c r="T2267" s="106">
        <v>30410.900779588945</v>
      </c>
      <c r="U2267" s="106">
        <v>25456.145287030475</v>
      </c>
      <c r="V2267" s="106">
        <v>0.63201961456148326</v>
      </c>
      <c r="W2267" s="106">
        <v>85720.768187422946</v>
      </c>
      <c r="X2267" s="110">
        <v>0.5400442617034098</v>
      </c>
      <c r="Y2267" s="106">
        <v>408.1258064516129</v>
      </c>
      <c r="Z2267" s="106">
        <v>13.654838709677421</v>
      </c>
      <c r="AA2267" s="106">
        <v>119728.73666666666</v>
      </c>
      <c r="AB2267" s="106">
        <v>851.69708107082727</v>
      </c>
      <c r="AC2267" s="106">
        <v>0.8352213744508733</v>
      </c>
      <c r="AD2267" s="106">
        <v>21.382751247327157</v>
      </c>
      <c r="AE2267" s="106">
        <v>140.57666666666665</v>
      </c>
      <c r="AF2267" s="106">
        <v>1.807924324889499E-2</v>
      </c>
      <c r="AG2267" s="106">
        <v>36010</v>
      </c>
      <c r="AH2267" s="106">
        <v>23570.177179305458</v>
      </c>
      <c r="AI2267" s="106">
        <v>25234.819277108432</v>
      </c>
      <c r="AJ2267" s="106">
        <v>27271.313253012049</v>
      </c>
      <c r="AK2267" s="104">
        <v>25456.145287030475</v>
      </c>
      <c r="AM2267" s="118">
        <v>1436</v>
      </c>
      <c r="AN2267" s="118">
        <v>42173</v>
      </c>
      <c r="AO2267" s="118">
        <v>298</v>
      </c>
      <c r="AP2267" s="118">
        <f t="shared" si="35"/>
        <v>650</v>
      </c>
    </row>
    <row r="2268" spans="1:42" ht="12.75">
      <c r="A2268" s="106">
        <v>2018</v>
      </c>
      <c r="B2268" s="106">
        <v>-233949</v>
      </c>
      <c r="C2268" s="106">
        <v>0</v>
      </c>
      <c r="D2268" s="106">
        <v>233949</v>
      </c>
      <c r="E2268" s="106" t="s">
        <v>3426</v>
      </c>
      <c r="F2268" s="106" t="s">
        <v>1497</v>
      </c>
      <c r="G2268" s="106" t="s">
        <v>261</v>
      </c>
      <c r="H2268" s="106">
        <v>4</v>
      </c>
      <c r="I2268" s="106" t="s">
        <v>24</v>
      </c>
      <c r="J2268" s="106">
        <v>5228</v>
      </c>
      <c r="K2268" s="106">
        <v>6927</v>
      </c>
      <c r="L2268" s="106">
        <v>6484</v>
      </c>
      <c r="M2268" s="106">
        <v>0.54</v>
      </c>
      <c r="N2268" s="106">
        <v>0.14000000000000001</v>
      </c>
      <c r="O2268" s="106">
        <v>0.23</v>
      </c>
      <c r="P2268" s="106">
        <v>2929</v>
      </c>
      <c r="Q2268" s="106">
        <v>34.936664143325764</v>
      </c>
      <c r="R2268" s="106">
        <v>6.4821075824609579E-3</v>
      </c>
      <c r="S2268" s="106">
        <v>10980.822861468585</v>
      </c>
      <c r="T2268" s="106">
        <v>10645.071915215745</v>
      </c>
      <c r="U2268" s="106">
        <v>9276.4563478170494</v>
      </c>
      <c r="V2268" s="106">
        <v>0.57724314974069468</v>
      </c>
      <c r="W2268" s="106">
        <v>69210.563049853372</v>
      </c>
      <c r="X2268" s="110">
        <v>0.55944073946070794</v>
      </c>
      <c r="Y2268" s="106">
        <v>787.42384105960264</v>
      </c>
      <c r="Z2268" s="106">
        <v>26.245033112582782</v>
      </c>
      <c r="AA2268" s="106">
        <v>35011.996672760921</v>
      </c>
      <c r="AB2268" s="106">
        <v>309.18660487631701</v>
      </c>
      <c r="AC2268" s="106">
        <v>2.8561638724762952</v>
      </c>
      <c r="AD2268" s="106">
        <v>27.733755942947703</v>
      </c>
      <c r="AE2268" s="106">
        <v>113.23904761904762</v>
      </c>
      <c r="AF2268" s="106">
        <v>0.32239988248671175</v>
      </c>
      <c r="AG2268" s="106">
        <v>4313</v>
      </c>
      <c r="AH2268" s="106">
        <v>10787.754731264195</v>
      </c>
      <c r="AI2268" s="106">
        <v>10874.193287913196</v>
      </c>
      <c r="AJ2268" s="106">
        <v>10996.620237194045</v>
      </c>
      <c r="AK2268" s="104">
        <v>10219.837496845825</v>
      </c>
      <c r="AL2268" s="119">
        <v>17700962</v>
      </c>
      <c r="AM2268" s="118">
        <v>7271</v>
      </c>
      <c r="AN2268" s="118">
        <v>118901</v>
      </c>
      <c r="AO2268" s="118">
        <v>704</v>
      </c>
      <c r="AP2268" s="118">
        <f t="shared" si="35"/>
        <v>915</v>
      </c>
    </row>
    <row r="2269" spans="1:42" ht="12.75">
      <c r="A2269" s="106">
        <v>2018</v>
      </c>
      <c r="B2269" s="106">
        <v>-240107</v>
      </c>
      <c r="C2269" s="106">
        <v>0</v>
      </c>
      <c r="D2269" s="106">
        <v>240107</v>
      </c>
      <c r="E2269" s="106" t="s">
        <v>3427</v>
      </c>
      <c r="F2269" s="106" t="s">
        <v>3357</v>
      </c>
      <c r="G2269" s="106" t="s">
        <v>139</v>
      </c>
      <c r="H2269" s="106">
        <v>6</v>
      </c>
      <c r="I2269" s="106" t="s">
        <v>3640</v>
      </c>
      <c r="J2269" s="106">
        <v>26920</v>
      </c>
      <c r="K2269" s="106">
        <v>20721</v>
      </c>
      <c r="L2269" s="106">
        <v>14094</v>
      </c>
      <c r="M2269" s="106">
        <v>0.25</v>
      </c>
      <c r="N2269" s="106">
        <v>0.74</v>
      </c>
      <c r="O2269" s="106">
        <v>1</v>
      </c>
      <c r="P2269" s="106">
        <v>15705</v>
      </c>
      <c r="Q2269" s="106">
        <v>6973.778295888088</v>
      </c>
      <c r="R2269" s="106">
        <v>0.33468131021823344</v>
      </c>
      <c r="S2269" s="106">
        <v>18806.147096227214</v>
      </c>
      <c r="T2269" s="106">
        <v>18204.234845273422</v>
      </c>
      <c r="U2269" s="106">
        <v>15177.903115638763</v>
      </c>
      <c r="V2269" s="106">
        <v>0.9133865735672595</v>
      </c>
      <c r="W2269" s="106">
        <v>62412.721030042921</v>
      </c>
      <c r="X2269" s="110">
        <v>0.56438754008437542</v>
      </c>
      <c r="Y2269" s="106">
        <v>330.71526586620928</v>
      </c>
      <c r="Z2269" s="106">
        <v>12.138936535162951</v>
      </c>
      <c r="AA2269" s="106">
        <v>33746.157822612477</v>
      </c>
      <c r="AB2269" s="106">
        <v>557.10643466977615</v>
      </c>
      <c r="AC2269" s="106">
        <v>2.9633003118652055</v>
      </c>
      <c r="AD2269" s="106">
        <v>48.205361199454792</v>
      </c>
      <c r="AE2269" s="106">
        <v>60.57398680490104</v>
      </c>
      <c r="AF2269" s="106">
        <v>4.9447934879968652E-2</v>
      </c>
      <c r="AG2269" s="106">
        <v>26230</v>
      </c>
      <c r="AH2269" s="106">
        <v>17304.341670199236</v>
      </c>
      <c r="AI2269" s="106">
        <v>18482.69266638406</v>
      </c>
      <c r="AJ2269" s="106">
        <v>20273.715981348028</v>
      </c>
      <c r="AK2269" s="104">
        <v>15510.615938957186</v>
      </c>
      <c r="AL2269" s="118"/>
      <c r="AM2269" s="118">
        <v>1773</v>
      </c>
      <c r="AN2269" s="118">
        <v>64269</v>
      </c>
      <c r="AO2269" s="118">
        <v>439</v>
      </c>
      <c r="AP2269" s="118">
        <f t="shared" si="35"/>
        <v>690</v>
      </c>
    </row>
    <row r="2270" spans="1:42" ht="12.75">
      <c r="A2270" s="106">
        <v>2018</v>
      </c>
      <c r="B2270" s="106">
        <v>-222053</v>
      </c>
      <c r="C2270" s="106">
        <v>0</v>
      </c>
      <c r="D2270" s="106">
        <v>222053</v>
      </c>
      <c r="E2270" s="106" t="s">
        <v>3428</v>
      </c>
      <c r="F2270" s="106" t="s">
        <v>3429</v>
      </c>
      <c r="G2270" s="106" t="s">
        <v>255</v>
      </c>
      <c r="H2270" s="106">
        <v>4</v>
      </c>
      <c r="I2270" s="106" t="s">
        <v>24</v>
      </c>
      <c r="J2270" s="106">
        <v>4133</v>
      </c>
      <c r="K2270" s="106">
        <v>5731</v>
      </c>
      <c r="L2270" s="106">
        <v>5583</v>
      </c>
      <c r="M2270" s="106">
        <v>0.5</v>
      </c>
      <c r="N2270" s="106">
        <v>7.0000000000000007E-2</v>
      </c>
      <c r="O2270" s="106">
        <v>0.05</v>
      </c>
      <c r="P2270" s="106">
        <v>1453</v>
      </c>
      <c r="Q2270" s="106">
        <v>280.85159547526592</v>
      </c>
      <c r="R2270" s="106">
        <v>5.353084791844414E-2</v>
      </c>
      <c r="S2270" s="106">
        <v>10573.597670099613</v>
      </c>
      <c r="T2270" s="106">
        <v>10344.158028026339</v>
      </c>
      <c r="U2270" s="106">
        <v>8528.2014238621632</v>
      </c>
      <c r="V2270" s="106">
        <v>0.5822664773395434</v>
      </c>
      <c r="W2270" s="106">
        <v>63197.825158684369</v>
      </c>
      <c r="X2270" s="110">
        <v>0.59585770803268923</v>
      </c>
      <c r="Y2270" s="106">
        <v>646.11636363636364</v>
      </c>
      <c r="Z2270" s="106">
        <v>21.538181818181819</v>
      </c>
      <c r="AA2270" s="106">
        <v>33474.179611355597</v>
      </c>
      <c r="AB2270" s="106">
        <v>284.28617999310899</v>
      </c>
      <c r="AC2270" s="106">
        <v>2.9873771713310804</v>
      </c>
      <c r="AD2270" s="106">
        <v>24.063147823313667</v>
      </c>
      <c r="AE2270" s="106">
        <v>117.74817760106031</v>
      </c>
      <c r="AF2270" s="106">
        <v>0.10322367924110826</v>
      </c>
      <c r="AG2270" s="106">
        <v>3840</v>
      </c>
      <c r="AH2270" s="106">
        <v>10855.496032416006</v>
      </c>
      <c r="AI2270" s="106">
        <v>10943.144690190782</v>
      </c>
      <c r="AJ2270" s="106">
        <v>10633.845855140977</v>
      </c>
      <c r="AK2270" s="104">
        <v>10326.140807023468</v>
      </c>
      <c r="AL2270" s="118">
        <v>20974890</v>
      </c>
      <c r="AM2270" s="118">
        <v>8838</v>
      </c>
      <c r="AN2270" s="118">
        <v>177682</v>
      </c>
      <c r="AO2270" s="118">
        <v>1155</v>
      </c>
      <c r="AP2270" s="118">
        <f t="shared" si="35"/>
        <v>293</v>
      </c>
    </row>
    <row r="2271" spans="1:42" ht="12.75">
      <c r="A2271" s="106">
        <v>2018</v>
      </c>
      <c r="B2271" s="106">
        <v>-218919</v>
      </c>
      <c r="C2271" s="106">
        <v>0</v>
      </c>
      <c r="D2271" s="106">
        <v>218919</v>
      </c>
      <c r="E2271" s="106" t="s">
        <v>3430</v>
      </c>
      <c r="F2271" s="106" t="s">
        <v>1038</v>
      </c>
      <c r="G2271" s="106" t="s">
        <v>79</v>
      </c>
      <c r="H2271" s="106">
        <v>7</v>
      </c>
      <c r="I2271" s="106" t="s">
        <v>3641</v>
      </c>
      <c r="J2271" s="106">
        <v>12630</v>
      </c>
      <c r="K2271" s="106">
        <v>17905</v>
      </c>
      <c r="L2271" s="106">
        <v>17234</v>
      </c>
      <c r="M2271" s="106">
        <v>0.84</v>
      </c>
      <c r="N2271" s="106">
        <v>0.84</v>
      </c>
      <c r="O2271" s="106">
        <v>0.14000000000000001</v>
      </c>
      <c r="P2271" s="106">
        <v>3071</v>
      </c>
      <c r="Q2271" s="107">
        <v>1503.0099403578529</v>
      </c>
      <c r="R2271" s="106">
        <v>0.12363048252607067</v>
      </c>
      <c r="S2271" s="106">
        <v>27315.153081510933</v>
      </c>
      <c r="T2271" s="106">
        <v>26536.332007952285</v>
      </c>
      <c r="U2271" s="106">
        <v>22712.942345924454</v>
      </c>
      <c r="V2271" s="106">
        <v>0.46908349606682415</v>
      </c>
      <c r="W2271" s="106">
        <v>40608.245231607631</v>
      </c>
      <c r="X2271" s="110">
        <v>0.37217753520717872</v>
      </c>
      <c r="Y2271" s="106">
        <v>476.43157894736839</v>
      </c>
      <c r="Z2271" s="106">
        <v>15.884210526315789</v>
      </c>
      <c r="AA2271" s="106">
        <v>175763.23076923078</v>
      </c>
      <c r="AB2271" s="106">
        <v>757.24862464373302</v>
      </c>
      <c r="AC2271" s="106">
        <v>0.56894721132712622</v>
      </c>
      <c r="AD2271" s="106">
        <v>13.888888888888889</v>
      </c>
      <c r="AE2271" s="106">
        <v>232.1076923076923</v>
      </c>
      <c r="AF2271" s="106">
        <v>0.10336527877492131</v>
      </c>
      <c r="AG2271" s="106">
        <v>11630</v>
      </c>
      <c r="AH2271" s="106">
        <v>24964.00198807157</v>
      </c>
      <c r="AI2271" s="106">
        <v>28328.345924453279</v>
      </c>
      <c r="AJ2271" s="106">
        <v>28351.89463220676</v>
      </c>
      <c r="AK2271" s="104">
        <v>22712.942345924454</v>
      </c>
      <c r="AM2271" s="118">
        <v>475</v>
      </c>
      <c r="AN2271" s="118">
        <v>15087</v>
      </c>
      <c r="AO2271" s="118">
        <v>65</v>
      </c>
      <c r="AP2271" s="118">
        <f t="shared" si="35"/>
        <v>1000</v>
      </c>
    </row>
    <row r="2272" spans="1:42" ht="12.75">
      <c r="A2272" s="106">
        <v>2018</v>
      </c>
      <c r="B2272" s="106">
        <v>-152673</v>
      </c>
      <c r="C2272" s="106">
        <v>0</v>
      </c>
      <c r="D2272" s="106">
        <v>152673</v>
      </c>
      <c r="E2272" s="106" t="s">
        <v>3431</v>
      </c>
      <c r="F2272" s="106" t="s">
        <v>3432</v>
      </c>
      <c r="G2272" s="106" t="s">
        <v>161</v>
      </c>
      <c r="H2272" s="106">
        <v>7</v>
      </c>
      <c r="I2272" s="106" t="s">
        <v>3641</v>
      </c>
      <c r="J2272" s="106">
        <v>42250</v>
      </c>
      <c r="K2272" s="106">
        <v>22101</v>
      </c>
      <c r="L2272" s="106">
        <v>14729</v>
      </c>
      <c r="M2272" s="106">
        <v>0.3</v>
      </c>
      <c r="N2272" s="106">
        <v>0.65</v>
      </c>
      <c r="O2272" s="106">
        <v>1</v>
      </c>
      <c r="P2272" s="106">
        <v>29307</v>
      </c>
      <c r="Q2272" s="106">
        <v>25426.65632183908</v>
      </c>
      <c r="R2272" s="106">
        <v>0.63224366250581088</v>
      </c>
      <c r="S2272" s="106">
        <v>58628.125287356321</v>
      </c>
      <c r="T2272" s="106">
        <v>60151.868965517242</v>
      </c>
      <c r="U2272" s="106">
        <v>43106.501822741186</v>
      </c>
      <c r="V2272" s="106">
        <v>0.34310113393079572</v>
      </c>
      <c r="W2272" s="106">
        <v>96198.06</v>
      </c>
      <c r="X2272" s="110">
        <v>0.49019250622457033</v>
      </c>
      <c r="Y2272" s="106">
        <v>307.86956521739131</v>
      </c>
      <c r="Z2272" s="106">
        <v>9.4565217391304355</v>
      </c>
      <c r="AA2272" s="106">
        <v>188455.5607325871</v>
      </c>
      <c r="AB2272" s="106">
        <v>1324.0593343378348</v>
      </c>
      <c r="AC2272" s="106">
        <v>0.53062907568908024</v>
      </c>
      <c r="AD2272" s="106">
        <v>23.032407407407408</v>
      </c>
      <c r="AE2272" s="106">
        <v>142.33165829145727</v>
      </c>
      <c r="AF2272" s="106">
        <v>5.1791935685214237E-2</v>
      </c>
      <c r="AG2272" s="106">
        <v>41600</v>
      </c>
      <c r="AH2272" s="106">
        <v>23633.636781609195</v>
      </c>
      <c r="AI2272" s="106">
        <v>58640.92183908046</v>
      </c>
      <c r="AJ2272" s="106">
        <v>86600.944827586209</v>
      </c>
      <c r="AK2272" s="104">
        <v>52168.289655172412</v>
      </c>
      <c r="AM2272" s="118">
        <v>864</v>
      </c>
      <c r="AN2272" s="118">
        <v>28324</v>
      </c>
      <c r="AO2272" s="118">
        <v>199</v>
      </c>
      <c r="AP2272" s="118">
        <f t="shared" si="35"/>
        <v>650</v>
      </c>
    </row>
    <row r="2273" spans="1:42" ht="12.75">
      <c r="A2273" s="106">
        <v>2018</v>
      </c>
      <c r="B2273" s="106">
        <v>-403487</v>
      </c>
      <c r="C2273" s="106">
        <v>0</v>
      </c>
      <c r="D2273" s="106">
        <v>403487</v>
      </c>
      <c r="E2273" s="106" t="s">
        <v>3433</v>
      </c>
      <c r="F2273" s="106" t="s">
        <v>3434</v>
      </c>
      <c r="G2273" s="106" t="s">
        <v>243</v>
      </c>
      <c r="H2273" s="106">
        <v>4</v>
      </c>
      <c r="I2273" s="106" t="s">
        <v>24</v>
      </c>
      <c r="J2273" s="106">
        <v>3810</v>
      </c>
      <c r="K2273" s="106">
        <v>1566</v>
      </c>
      <c r="L2273" s="106">
        <v>665</v>
      </c>
      <c r="M2273" s="106">
        <v>0.44</v>
      </c>
      <c r="N2273" s="106">
        <v>0.19</v>
      </c>
      <c r="O2273" s="106">
        <v>0.83</v>
      </c>
      <c r="P2273" s="106">
        <v>2719</v>
      </c>
      <c r="Q2273" s="106">
        <v>1319.805421686747</v>
      </c>
      <c r="R2273" s="106">
        <v>0.49335520641690517</v>
      </c>
      <c r="S2273" s="106">
        <v>8578.7626506024098</v>
      </c>
      <c r="T2273" s="106">
        <v>8067.5927710843371</v>
      </c>
      <c r="U2273" s="106">
        <v>4968.2247761313465</v>
      </c>
      <c r="V2273" s="106">
        <v>0.27280513462819839</v>
      </c>
      <c r="W2273" s="106">
        <v>82380.530612244896</v>
      </c>
      <c r="X2273" s="110">
        <v>0.6028352017337848</v>
      </c>
      <c r="Y2273" s="106">
        <v>1131.8636363636363</v>
      </c>
      <c r="Z2273" s="106">
        <v>37.727272727272727</v>
      </c>
      <c r="AA2273" s="106">
        <v>30773.332568574755</v>
      </c>
      <c r="AB2273" s="106">
        <v>165.60084190149058</v>
      </c>
      <c r="AC2273" s="106">
        <v>3.2495668051928326</v>
      </c>
      <c r="AD2273" s="106">
        <v>17.470664928292045</v>
      </c>
      <c r="AE2273" s="106">
        <v>185.82835820895522</v>
      </c>
      <c r="AF2273" s="106"/>
      <c r="AG2273" s="106">
        <v>2656</v>
      </c>
      <c r="AH2273" s="106">
        <v>8272.7415662650601</v>
      </c>
      <c r="AI2273" s="106">
        <v>8338.12048192771</v>
      </c>
      <c r="AJ2273" s="106">
        <v>8626.8180722891575</v>
      </c>
      <c r="AK2273" s="104">
        <v>5307.9801204819278</v>
      </c>
      <c r="AL2273" s="119">
        <v>10289266</v>
      </c>
      <c r="AM2273" s="118">
        <v>3662</v>
      </c>
      <c r="AN2273" s="118">
        <v>49802</v>
      </c>
      <c r="AO2273" s="118">
        <v>175</v>
      </c>
      <c r="AP2273" s="118">
        <f t="shared" si="35"/>
        <v>1154</v>
      </c>
    </row>
    <row r="2274" spans="1:42" ht="12.75">
      <c r="A2274" s="106">
        <v>2018</v>
      </c>
      <c r="B2274" s="106">
        <v>-197197</v>
      </c>
      <c r="C2274" s="106">
        <v>0</v>
      </c>
      <c r="D2274" s="106">
        <v>197197</v>
      </c>
      <c r="E2274" s="106" t="s">
        <v>3435</v>
      </c>
      <c r="F2274" s="106" t="s">
        <v>848</v>
      </c>
      <c r="G2274" s="106" t="s">
        <v>69</v>
      </c>
      <c r="H2274" s="106">
        <v>6</v>
      </c>
      <c r="I2274" s="106" t="s">
        <v>3640</v>
      </c>
      <c r="J2274" s="106">
        <v>45380</v>
      </c>
      <c r="K2274" s="106">
        <v>29961</v>
      </c>
      <c r="L2274" s="106">
        <v>22309</v>
      </c>
      <c r="M2274" s="106">
        <v>0.24</v>
      </c>
      <c r="N2274" s="106">
        <v>0.65</v>
      </c>
      <c r="O2274" s="106">
        <v>1</v>
      </c>
      <c r="P2274" s="106">
        <v>25977</v>
      </c>
      <c r="Q2274" s="106">
        <v>17497.810681719497</v>
      </c>
      <c r="R2274" s="106">
        <v>0.44617433467473461</v>
      </c>
      <c r="S2274" s="106">
        <v>32877.938775510207</v>
      </c>
      <c r="T2274" s="106">
        <v>33068.70994355189</v>
      </c>
      <c r="U2274" s="106">
        <v>27613.474164133739</v>
      </c>
      <c r="V2274" s="106">
        <v>0.78655873083035366</v>
      </c>
      <c r="W2274" s="106">
        <v>82411.222982216146</v>
      </c>
      <c r="X2274" s="110">
        <v>0.52735283641257003</v>
      </c>
      <c r="Y2274" s="106">
        <v>358.59964093357269</v>
      </c>
      <c r="Z2274" s="106">
        <v>12.403949730700178</v>
      </c>
      <c r="AA2274" s="106">
        <v>96647.159574468082</v>
      </c>
      <c r="AB2274" s="106">
        <v>955.14915890657858</v>
      </c>
      <c r="AC2274" s="106">
        <v>1.0346915567958157</v>
      </c>
      <c r="AD2274" s="106">
        <v>31.573896353166987</v>
      </c>
      <c r="AE2274" s="106">
        <v>101.1854103343465</v>
      </c>
      <c r="AF2274" s="106">
        <v>5.5035210560403725E-2</v>
      </c>
      <c r="AG2274" s="106">
        <v>44800</v>
      </c>
      <c r="AH2274" s="106">
        <v>30730.092053842814</v>
      </c>
      <c r="AI2274" s="106">
        <v>32877.938775510207</v>
      </c>
      <c r="AJ2274" s="106">
        <v>35547.125922709507</v>
      </c>
      <c r="AK2274" s="104">
        <v>27613.474164133739</v>
      </c>
      <c r="AL2274" s="118">
        <v>167272</v>
      </c>
      <c r="AM2274" s="118">
        <v>1794</v>
      </c>
      <c r="AN2274" s="118">
        <v>66580</v>
      </c>
      <c r="AO2274" s="118">
        <v>449</v>
      </c>
      <c r="AP2274" s="118">
        <f t="shared" si="35"/>
        <v>580</v>
      </c>
    </row>
    <row r="2275" spans="1:42" ht="12.75">
      <c r="A2275" s="106">
        <v>2018</v>
      </c>
      <c r="B2275" s="106">
        <v>-199847</v>
      </c>
      <c r="C2275" s="106">
        <v>0</v>
      </c>
      <c r="D2275" s="106">
        <v>199847</v>
      </c>
      <c r="E2275" s="106" t="s">
        <v>3436</v>
      </c>
      <c r="F2275" s="106" t="s">
        <v>1262</v>
      </c>
      <c r="G2275" s="106" t="s">
        <v>90</v>
      </c>
      <c r="H2275" s="106">
        <v>5</v>
      </c>
      <c r="I2275" s="106" t="s">
        <v>3639</v>
      </c>
      <c r="J2275" s="106">
        <v>51400</v>
      </c>
      <c r="K2275" s="106">
        <v>27354</v>
      </c>
      <c r="L2275" s="106">
        <v>8349</v>
      </c>
      <c r="M2275" s="106">
        <v>0.08</v>
      </c>
      <c r="N2275" s="106">
        <v>0.23</v>
      </c>
      <c r="O2275" s="106">
        <v>0.38</v>
      </c>
      <c r="P2275" s="106">
        <v>40124</v>
      </c>
      <c r="Q2275" s="106">
        <v>14305.700958920326</v>
      </c>
      <c r="R2275" s="106">
        <v>0.31712255298965186</v>
      </c>
      <c r="S2275" s="106">
        <v>167111.51888244346</v>
      </c>
      <c r="T2275" s="106">
        <v>169406.17970877234</v>
      </c>
      <c r="U2275" s="106">
        <v>88456.860859154825</v>
      </c>
      <c r="V2275" s="106">
        <v>0.34825171192822418</v>
      </c>
      <c r="W2275" s="106">
        <v>140478.34425443504</v>
      </c>
      <c r="X2275" s="110">
        <v>0.6142480576167002</v>
      </c>
      <c r="Y2275" s="106">
        <v>98.343910405972935</v>
      </c>
      <c r="Z2275" s="106">
        <v>3.9416705552963136</v>
      </c>
      <c r="AA2275" s="106">
        <v>312633.93459300452</v>
      </c>
      <c r="AB2275" s="106">
        <v>3545.3929218712165</v>
      </c>
      <c r="AC2275" s="106">
        <v>0.31986290973237685</v>
      </c>
      <c r="AD2275" s="106">
        <v>30.535326434138238</v>
      </c>
      <c r="AE2275" s="106">
        <v>88.180334728033472</v>
      </c>
      <c r="AF2275" s="106">
        <v>6.0904158612902611E-2</v>
      </c>
      <c r="AG2275" s="106">
        <v>50524</v>
      </c>
      <c r="AH2275" s="106">
        <v>153531.2018468095</v>
      </c>
      <c r="AI2275" s="106">
        <v>167317.99005564104</v>
      </c>
      <c r="AJ2275" s="106">
        <v>178645.90979045816</v>
      </c>
      <c r="AK2275" s="104">
        <v>157873.56457914051</v>
      </c>
      <c r="AL2275" s="118"/>
      <c r="AM2275" s="118">
        <v>5102</v>
      </c>
      <c r="AN2275" s="118">
        <v>210751</v>
      </c>
      <c r="AO2275" s="118">
        <v>1194</v>
      </c>
      <c r="AP2275" s="118">
        <f t="shared" si="35"/>
        <v>876</v>
      </c>
    </row>
    <row r="2276" spans="1:42" ht="12.75">
      <c r="A2276" s="106">
        <v>2018</v>
      </c>
      <c r="B2276" s="106">
        <v>-199856</v>
      </c>
      <c r="C2276" s="106">
        <v>0</v>
      </c>
      <c r="D2276" s="106">
        <v>199856</v>
      </c>
      <c r="E2276" s="106" t="s">
        <v>3437</v>
      </c>
      <c r="F2276" s="106" t="s">
        <v>1949</v>
      </c>
      <c r="G2276" s="106" t="s">
        <v>90</v>
      </c>
      <c r="H2276" s="106">
        <v>4</v>
      </c>
      <c r="I2276" s="106" t="s">
        <v>24</v>
      </c>
      <c r="J2276" s="106">
        <v>2768</v>
      </c>
      <c r="K2276" s="106">
        <v>6922</v>
      </c>
      <c r="L2276" s="106">
        <v>6070</v>
      </c>
      <c r="M2276" s="106">
        <v>0.39</v>
      </c>
      <c r="N2276" s="106">
        <v>0.22</v>
      </c>
      <c r="O2276" s="106">
        <v>0.02</v>
      </c>
      <c r="P2276" s="106">
        <v>859</v>
      </c>
      <c r="Q2276" s="108">
        <v>36.205274552253492</v>
      </c>
      <c r="R2276" s="106">
        <v>1.1952572537314415E-2</v>
      </c>
      <c r="S2276" s="106">
        <v>11268.961949747425</v>
      </c>
      <c r="T2276" s="106">
        <v>13191.098274617858</v>
      </c>
      <c r="U2276" s="106">
        <v>10438.780292593321</v>
      </c>
      <c r="V2276" s="106">
        <v>0.28670712904926954</v>
      </c>
      <c r="W2276" s="106">
        <v>77977.163894023412</v>
      </c>
      <c r="X2276" s="110">
        <v>0.62941132041063652</v>
      </c>
      <c r="Y2276" s="106">
        <v>659.87012987012986</v>
      </c>
      <c r="Z2276" s="106">
        <v>21.995670995670995</v>
      </c>
      <c r="AA2276" s="106">
        <v>17498.991311998241</v>
      </c>
      <c r="AB2276" s="106">
        <v>347.95934308644405</v>
      </c>
      <c r="AC2276" s="106">
        <v>5.7146151007821047</v>
      </c>
      <c r="AD2276" s="106">
        <v>71.750966621952188</v>
      </c>
      <c r="AE2276" s="106">
        <v>50.29033322335863</v>
      </c>
      <c r="AF2276" s="106">
        <v>3.9396938488077494E-2</v>
      </c>
      <c r="AG2276" s="106">
        <v>2432</v>
      </c>
      <c r="AH2276" s="106">
        <v>10032.265302105885</v>
      </c>
      <c r="AI2276" s="106">
        <v>10161.724332480482</v>
      </c>
      <c r="AJ2276" s="106">
        <v>11269.998163091255</v>
      </c>
      <c r="AK2276" s="104">
        <v>11779.812569704127</v>
      </c>
      <c r="AL2276" s="118">
        <v>96789375</v>
      </c>
      <c r="AM2276" s="118">
        <v>22494</v>
      </c>
      <c r="AN2276" s="118">
        <v>457290</v>
      </c>
      <c r="AO2276" s="118">
        <v>2941</v>
      </c>
      <c r="AP2276" s="118">
        <f t="shared" si="35"/>
        <v>336</v>
      </c>
    </row>
    <row r="2277" spans="1:42" ht="12.75">
      <c r="A2277" s="106">
        <v>2018</v>
      </c>
      <c r="B2277" s="106">
        <v>-236887</v>
      </c>
      <c r="C2277" s="106">
        <v>0</v>
      </c>
      <c r="D2277" s="106">
        <v>236887</v>
      </c>
      <c r="E2277" s="106" t="s">
        <v>3438</v>
      </c>
      <c r="F2277" s="106" t="s">
        <v>3439</v>
      </c>
      <c r="G2277" s="106" t="s">
        <v>182</v>
      </c>
      <c r="H2277" s="106">
        <v>4</v>
      </c>
      <c r="I2277" s="106" t="s">
        <v>24</v>
      </c>
      <c r="J2277" s="106">
        <v>4455</v>
      </c>
      <c r="K2277" s="106">
        <v>6511</v>
      </c>
      <c r="L2277" s="106">
        <v>4427</v>
      </c>
      <c r="M2277" s="106">
        <v>0.51</v>
      </c>
      <c r="N2277" s="106">
        <v>0.27</v>
      </c>
      <c r="O2277" s="106">
        <v>0.46</v>
      </c>
      <c r="P2277" s="106">
        <v>1436</v>
      </c>
      <c r="Q2277" s="106">
        <v>242.60880398671097</v>
      </c>
      <c r="R2277" s="106">
        <v>6.7958913033362808E-2</v>
      </c>
      <c r="S2277" s="106">
        <v>13838.133444075305</v>
      </c>
      <c r="T2277" s="106">
        <v>14846.561738648948</v>
      </c>
      <c r="U2277" s="106">
        <v>11457.05177187154</v>
      </c>
      <c r="V2277" s="106">
        <v>0.29041718734304345</v>
      </c>
      <c r="W2277" s="106">
        <v>80866.356477561378</v>
      </c>
      <c r="X2277" s="110">
        <v>0.59363963389176555</v>
      </c>
      <c r="Y2277" s="106">
        <v>930.66412213740466</v>
      </c>
      <c r="Z2277" s="106">
        <v>20.679389312977101</v>
      </c>
      <c r="AA2277" s="106">
        <v>26026.96289308176</v>
      </c>
      <c r="AB2277" s="106">
        <v>254.5760907010507</v>
      </c>
      <c r="AC2277" s="106">
        <v>3.8421693845262697</v>
      </c>
      <c r="AD2277" s="106">
        <v>53</v>
      </c>
      <c r="AE2277" s="106">
        <v>102.23647798742138</v>
      </c>
      <c r="AF2277" s="106">
        <v>-6.072163732354656E-2</v>
      </c>
      <c r="AG2277" s="106">
        <v>4455</v>
      </c>
      <c r="AH2277" s="106">
        <v>12943.379291251384</v>
      </c>
      <c r="AI2277" s="106">
        <v>12982.306478405315</v>
      </c>
      <c r="AJ2277" s="106">
        <v>13847.338593576966</v>
      </c>
      <c r="AK2277" s="104">
        <v>13238.202380952382</v>
      </c>
      <c r="AL2277" s="118">
        <v>18048183</v>
      </c>
      <c r="AM2277" s="118">
        <v>4253</v>
      </c>
      <c r="AN2277" s="118">
        <v>162556</v>
      </c>
      <c r="AO2277" s="118">
        <v>760</v>
      </c>
      <c r="AP2277" s="118">
        <f t="shared" si="35"/>
        <v>0</v>
      </c>
    </row>
    <row r="2278" spans="1:42" ht="12.75">
      <c r="A2278" s="106">
        <v>2018</v>
      </c>
      <c r="B2278" s="106">
        <v>-236896</v>
      </c>
      <c r="C2278" s="106">
        <v>0</v>
      </c>
      <c r="D2278" s="106">
        <v>236896</v>
      </c>
      <c r="E2278" s="106" t="s">
        <v>3440</v>
      </c>
      <c r="F2278" s="106" t="s">
        <v>3441</v>
      </c>
      <c r="G2278" s="106" t="s">
        <v>182</v>
      </c>
      <c r="H2278" s="106">
        <v>6</v>
      </c>
      <c r="I2278" s="106" t="s">
        <v>3640</v>
      </c>
      <c r="J2278" s="106">
        <v>27495</v>
      </c>
      <c r="K2278" s="106">
        <v>22715</v>
      </c>
      <c r="L2278" s="106">
        <v>15146</v>
      </c>
      <c r="M2278" s="106">
        <v>0.27</v>
      </c>
      <c r="N2278" s="106">
        <v>0.62</v>
      </c>
      <c r="O2278" s="106">
        <v>1</v>
      </c>
      <c r="P2278" s="106">
        <v>12472</v>
      </c>
      <c r="Q2278" s="106">
        <v>9070.1639619473972</v>
      </c>
      <c r="R2278" s="106">
        <v>0.33750470518292564</v>
      </c>
      <c r="S2278" s="106">
        <v>28739.94404029099</v>
      </c>
      <c r="T2278" s="106">
        <v>27372.939003917181</v>
      </c>
      <c r="U2278" s="106">
        <v>21459.105421296663</v>
      </c>
      <c r="V2278" s="106">
        <v>0.82967210958478144</v>
      </c>
      <c r="W2278" s="106">
        <v>111904.44444444444</v>
      </c>
      <c r="X2278" s="110">
        <v>0.6382716525386809</v>
      </c>
      <c r="Y2278" s="106">
        <v>647.317808219178</v>
      </c>
      <c r="Z2278" s="106">
        <v>14.687671232876712</v>
      </c>
      <c r="AA2278" s="106">
        <v>87952.801348296198</v>
      </c>
      <c r="AB2278" s="106">
        <v>486.90810198277154</v>
      </c>
      <c r="AC2278" s="106">
        <v>1.136973450157619</v>
      </c>
      <c r="AD2278" s="106">
        <v>24.772727272727273</v>
      </c>
      <c r="AE2278" s="106">
        <v>180.63532110091742</v>
      </c>
      <c r="AF2278" s="106">
        <v>4.704605367733565E-2</v>
      </c>
      <c r="AG2278" s="106">
        <v>26595</v>
      </c>
      <c r="AH2278" s="106">
        <v>23126.887520984892</v>
      </c>
      <c r="AI2278" s="106">
        <v>28739.94404029099</v>
      </c>
      <c r="AJ2278" s="106">
        <v>29987.486289871293</v>
      </c>
      <c r="AK2278" s="104">
        <v>22644.289871292669</v>
      </c>
      <c r="AL2278" s="118"/>
      <c r="AM2278" s="118">
        <v>1649</v>
      </c>
      <c r="AN2278" s="118">
        <v>78757</v>
      </c>
      <c r="AO2278" s="118">
        <v>345</v>
      </c>
      <c r="AP2278" s="118">
        <f t="shared" si="35"/>
        <v>900</v>
      </c>
    </row>
    <row r="2279" spans="1:42" ht="12.75">
      <c r="A2279" s="106">
        <v>2018</v>
      </c>
      <c r="B2279" s="106">
        <v>-206437</v>
      </c>
      <c r="C2279" s="106">
        <v>0</v>
      </c>
      <c r="D2279" s="106">
        <v>206437</v>
      </c>
      <c r="E2279" s="106" t="s">
        <v>3442</v>
      </c>
      <c r="F2279" s="106" t="s">
        <v>2934</v>
      </c>
      <c r="G2279" s="106" t="s">
        <v>82</v>
      </c>
      <c r="H2279" s="106">
        <v>6</v>
      </c>
      <c r="I2279" s="106" t="s">
        <v>3640</v>
      </c>
      <c r="J2279" s="106">
        <v>29150</v>
      </c>
      <c r="K2279" s="106">
        <v>19609</v>
      </c>
      <c r="L2279" s="106">
        <v>15880</v>
      </c>
      <c r="M2279" s="106">
        <v>0.37</v>
      </c>
      <c r="N2279" s="106">
        <v>0.79</v>
      </c>
      <c r="O2279" s="106">
        <v>1</v>
      </c>
      <c r="P2279" s="106">
        <v>19041</v>
      </c>
      <c r="Q2279" s="106">
        <v>11404.030833650551</v>
      </c>
      <c r="R2279" s="106">
        <v>0.48083374056331096</v>
      </c>
      <c r="S2279" s="106">
        <v>19453.950894556529</v>
      </c>
      <c r="T2279" s="106">
        <v>19042.851161020175</v>
      </c>
      <c r="U2279" s="106">
        <v>16127.286638751428</v>
      </c>
      <c r="V2279" s="106">
        <v>0.76349922917656743</v>
      </c>
      <c r="W2279" s="106">
        <v>72072.441463414638</v>
      </c>
      <c r="X2279" s="110">
        <v>0.59069194014181148</v>
      </c>
      <c r="Y2279" s="106">
        <v>421.703187250996</v>
      </c>
      <c r="Z2279" s="106">
        <v>15.699203187250996</v>
      </c>
      <c r="AA2279" s="106">
        <v>64288.895295902883</v>
      </c>
      <c r="AB2279" s="106">
        <v>600.38803939630134</v>
      </c>
      <c r="AC2279" s="106">
        <v>1.5554785867719363</v>
      </c>
      <c r="AD2279" s="106">
        <v>28.11433447098976</v>
      </c>
      <c r="AE2279" s="106">
        <v>107.07890743550834</v>
      </c>
      <c r="AF2279" s="106">
        <v>3.505764603732877E-2</v>
      </c>
      <c r="AG2279" s="106">
        <v>27650</v>
      </c>
      <c r="AH2279" s="106">
        <v>18189.870955462506</v>
      </c>
      <c r="AI2279" s="106">
        <v>19453.950894556529</v>
      </c>
      <c r="AJ2279" s="106">
        <v>20248.763989341453</v>
      </c>
      <c r="AK2279" s="104">
        <v>16210.100494861059</v>
      </c>
      <c r="AL2279" s="118"/>
      <c r="AM2279" s="118">
        <v>2009</v>
      </c>
      <c r="AN2279" s="118">
        <v>70565</v>
      </c>
      <c r="AO2279" s="118">
        <v>475</v>
      </c>
      <c r="AP2279" s="118">
        <f t="shared" si="35"/>
        <v>1500</v>
      </c>
    </row>
    <row r="2280" spans="1:42" ht="12.75">
      <c r="A2280" s="106">
        <v>2018</v>
      </c>
      <c r="B2280" s="106">
        <v>-222062</v>
      </c>
      <c r="C2280" s="106">
        <v>0</v>
      </c>
      <c r="D2280" s="106">
        <v>222062</v>
      </c>
      <c r="E2280" s="106" t="s">
        <v>3443</v>
      </c>
      <c r="F2280" s="106" t="s">
        <v>833</v>
      </c>
      <c r="G2280" s="106" t="s">
        <v>255</v>
      </c>
      <c r="H2280" s="106">
        <v>4</v>
      </c>
      <c r="I2280" s="106" t="s">
        <v>24</v>
      </c>
      <c r="J2280" s="106">
        <v>4128</v>
      </c>
      <c r="K2280" s="106">
        <v>4073</v>
      </c>
      <c r="L2280" s="106">
        <v>3136</v>
      </c>
      <c r="M2280" s="106">
        <v>0.63</v>
      </c>
      <c r="N2280" s="106">
        <v>0</v>
      </c>
      <c r="O2280" s="106">
        <v>0.14000000000000001</v>
      </c>
      <c r="P2280" s="106">
        <v>2889</v>
      </c>
      <c r="Q2280" s="106">
        <v>248.68961169944529</v>
      </c>
      <c r="R2280" s="106">
        <v>4.3006703147472382E-2</v>
      </c>
      <c r="S2280" s="106">
        <v>15244.099596570852</v>
      </c>
      <c r="T2280" s="106">
        <v>15931.475037821483</v>
      </c>
      <c r="U2280" s="106">
        <v>11063.865274542961</v>
      </c>
      <c r="V2280" s="106">
        <v>0.50017676130671396</v>
      </c>
      <c r="W2280" s="106">
        <v>63439.040733197558</v>
      </c>
      <c r="X2280" s="110">
        <v>0.49298011544969372</v>
      </c>
      <c r="Y2280" s="106">
        <v>511.34097421203438</v>
      </c>
      <c r="Z2280" s="106">
        <v>17.045845272206304</v>
      </c>
      <c r="AA2280" s="106">
        <v>22583.267976756244</v>
      </c>
      <c r="AB2280" s="106">
        <v>368.82030796185137</v>
      </c>
      <c r="AC2280" s="106">
        <v>4.4280570953205132</v>
      </c>
      <c r="AD2280" s="106">
        <v>45.955534531693473</v>
      </c>
      <c r="AE2280" s="106">
        <v>61.231085949562534</v>
      </c>
      <c r="AF2280" s="106">
        <v>2.5520570995151783E-2</v>
      </c>
      <c r="AG2280" s="106">
        <v>3840</v>
      </c>
      <c r="AH2280" s="106">
        <v>15687.122289460414</v>
      </c>
      <c r="AI2280" s="106">
        <v>15790.214573877962</v>
      </c>
      <c r="AJ2280" s="106">
        <v>15306.475289964699</v>
      </c>
      <c r="AK2280" s="104">
        <v>15168.375189107413</v>
      </c>
      <c r="AL2280" s="118">
        <v>23637686</v>
      </c>
      <c r="AM2280" s="118">
        <v>6075</v>
      </c>
      <c r="AN2280" s="118">
        <v>118972</v>
      </c>
      <c r="AO2280" s="118">
        <v>859</v>
      </c>
      <c r="AP2280" s="118">
        <f t="shared" si="35"/>
        <v>288</v>
      </c>
    </row>
    <row r="2281" spans="1:42" ht="12.75">
      <c r="A2281" s="106">
        <v>2018</v>
      </c>
      <c r="B2281" s="106">
        <v>3012</v>
      </c>
      <c r="C2281" s="106">
        <v>1</v>
      </c>
      <c r="D2281" s="106">
        <v>210304</v>
      </c>
      <c r="E2281" s="106" t="s">
        <v>3892</v>
      </c>
      <c r="F2281" s="106" t="s">
        <v>1578</v>
      </c>
      <c r="G2281" s="106" t="s">
        <v>405</v>
      </c>
      <c r="H2281" s="106">
        <v>7</v>
      </c>
      <c r="I2281" s="106" t="s">
        <v>3641</v>
      </c>
      <c r="J2281" s="106">
        <v>24500</v>
      </c>
      <c r="K2281" s="106">
        <v>23676</v>
      </c>
      <c r="L2281" s="106">
        <v>22697</v>
      </c>
      <c r="M2281" s="106">
        <v>0.57999999999999996</v>
      </c>
      <c r="N2281" s="106">
        <v>0.67</v>
      </c>
      <c r="O2281" s="106">
        <v>0.79</v>
      </c>
      <c r="P2281" s="106">
        <v>9054</v>
      </c>
      <c r="Q2281" s="106">
        <v>4328.0993150684935</v>
      </c>
      <c r="R2281" s="106">
        <v>0.24813063423454909</v>
      </c>
      <c r="S2281" s="106">
        <v>21176.140410958906</v>
      </c>
      <c r="T2281" s="106">
        <v>22404.004566210046</v>
      </c>
      <c r="U2281" s="106">
        <v>19401.992139136593</v>
      </c>
      <c r="V2281" s="106">
        <v>0.67594739413088323</v>
      </c>
      <c r="W2281" s="106">
        <v>62174.511930585686</v>
      </c>
      <c r="X2281" s="110">
        <v>0.48681314515486368</v>
      </c>
      <c r="Y2281" s="106">
        <v>416.96756756756753</v>
      </c>
      <c r="Z2281" s="106">
        <v>14.205405405405404</v>
      </c>
      <c r="AA2281" s="106">
        <v>52457.23800581375</v>
      </c>
      <c r="AB2281" s="106">
        <v>660.9942485856825</v>
      </c>
      <c r="AC2281" s="106">
        <v>1.906314625045969</v>
      </c>
      <c r="AD2281" s="106">
        <v>35.80110497237569</v>
      </c>
      <c r="AE2281" s="106">
        <v>79.361111111111114</v>
      </c>
      <c r="AF2281" s="106">
        <v>-1.8656807016713898E-3</v>
      </c>
      <c r="AG2281" s="106">
        <v>23840</v>
      </c>
      <c r="AH2281" s="106">
        <v>16550.817351598173</v>
      </c>
      <c r="AI2281" s="106">
        <v>21002.899543378997</v>
      </c>
      <c r="AJ2281" s="106">
        <v>21924.746575342466</v>
      </c>
      <c r="AK2281" s="104">
        <v>19699.132420091326</v>
      </c>
      <c r="AL2281" s="118"/>
      <c r="AM2281" s="118">
        <v>815</v>
      </c>
      <c r="AN2281" s="118">
        <v>25713</v>
      </c>
      <c r="AO2281" s="118">
        <v>256</v>
      </c>
      <c r="AP2281" s="118">
        <f t="shared" si="35"/>
        <v>660</v>
      </c>
    </row>
    <row r="2282" spans="1:42" ht="12.75">
      <c r="A2282" s="106">
        <v>2018</v>
      </c>
      <c r="B2282" s="106">
        <v>-138275</v>
      </c>
      <c r="C2282" s="106">
        <v>0</v>
      </c>
      <c r="D2282" s="106">
        <v>138275</v>
      </c>
      <c r="E2282" s="106" t="s">
        <v>3444</v>
      </c>
      <c r="F2282" s="106" t="s">
        <v>3445</v>
      </c>
      <c r="G2282" s="106" t="s">
        <v>258</v>
      </c>
      <c r="H2282" s="106">
        <v>7</v>
      </c>
      <c r="I2282" s="106" t="s">
        <v>3641</v>
      </c>
      <c r="J2282" s="106">
        <v>21216</v>
      </c>
      <c r="K2282" s="106">
        <v>17744</v>
      </c>
      <c r="L2282" s="106">
        <v>15573</v>
      </c>
      <c r="M2282" s="106">
        <v>0.62</v>
      </c>
      <c r="N2282" s="106">
        <v>0.94</v>
      </c>
      <c r="O2282" s="106">
        <v>0.98</v>
      </c>
      <c r="P2282" s="106">
        <v>8781</v>
      </c>
      <c r="Q2282" s="106">
        <v>5594.3153488372091</v>
      </c>
      <c r="R2282" s="106">
        <v>0.31978626567614399</v>
      </c>
      <c r="S2282" s="106">
        <v>19933.616744186045</v>
      </c>
      <c r="T2282" s="106">
        <v>17258.373023255815</v>
      </c>
      <c r="U2282" s="106">
        <v>13281.373023255814</v>
      </c>
      <c r="V2282" s="106">
        <v>0.89596193332771146</v>
      </c>
      <c r="W2282" s="106">
        <v>53419.682656826568</v>
      </c>
      <c r="X2282" s="110">
        <v>0.52020080472162866</v>
      </c>
      <c r="Y2282" s="106">
        <v>450.48571428571427</v>
      </c>
      <c r="Z2282" s="106">
        <v>15.357142857142858</v>
      </c>
      <c r="AA2282" s="106">
        <v>40446.107648725214</v>
      </c>
      <c r="AB2282" s="106">
        <v>452.76450814993342</v>
      </c>
      <c r="AC2282" s="106">
        <v>2.4724257985094846</v>
      </c>
      <c r="AD2282" s="106">
        <v>32.594644506001849</v>
      </c>
      <c r="AE2282" s="106">
        <v>89.331444759206803</v>
      </c>
      <c r="AF2282" s="106">
        <v>0.36281781424627252</v>
      </c>
      <c r="AG2282" s="106">
        <v>20716</v>
      </c>
      <c r="AH2282" s="106">
        <v>15429.456744186047</v>
      </c>
      <c r="AI2282" s="106">
        <v>19933.616744186045</v>
      </c>
      <c r="AJ2282" s="106">
        <v>19985.013023255815</v>
      </c>
      <c r="AK2282" s="104">
        <v>13281.373023255814</v>
      </c>
      <c r="AL2282" s="118"/>
      <c r="AM2282" s="118">
        <v>1002</v>
      </c>
      <c r="AN2282" s="118">
        <v>31534</v>
      </c>
      <c r="AO2282" s="118">
        <v>291</v>
      </c>
      <c r="AP2282" s="118">
        <f t="shared" si="35"/>
        <v>500</v>
      </c>
    </row>
    <row r="2283" spans="1:42" ht="12.75">
      <c r="A2283" s="106">
        <v>2018</v>
      </c>
      <c r="B2283" s="106">
        <v>-245625</v>
      </c>
      <c r="C2283" s="106">
        <v>0</v>
      </c>
      <c r="D2283" s="106">
        <v>245625</v>
      </c>
      <c r="E2283" s="106" t="s">
        <v>3446</v>
      </c>
      <c r="F2283" s="106" t="s">
        <v>155</v>
      </c>
      <c r="G2283" s="106" t="s">
        <v>234</v>
      </c>
      <c r="H2283" s="106">
        <v>4</v>
      </c>
      <c r="I2283" s="106" t="s">
        <v>24</v>
      </c>
      <c r="J2283" s="106">
        <v>4590</v>
      </c>
      <c r="K2283" s="106">
        <v>6740</v>
      </c>
      <c r="L2283" s="106">
        <v>6437</v>
      </c>
      <c r="M2283" s="106">
        <v>0.43</v>
      </c>
      <c r="N2283" s="106">
        <v>0.13</v>
      </c>
      <c r="O2283" s="106">
        <v>0</v>
      </c>
      <c r="P2283" s="106">
        <v>500</v>
      </c>
      <c r="Q2283" s="106">
        <v>106.78357570573139</v>
      </c>
      <c r="R2283" s="106">
        <v>2.6708225632836032E-2</v>
      </c>
      <c r="S2283" s="106">
        <v>14612.561163387511</v>
      </c>
      <c r="T2283" s="106">
        <v>14529.926432848588</v>
      </c>
      <c r="U2283" s="106">
        <v>12352.04140480298</v>
      </c>
      <c r="V2283" s="106">
        <v>0.31503857695197812</v>
      </c>
      <c r="W2283" s="106">
        <v>142190.87452471483</v>
      </c>
      <c r="X2283" s="110">
        <v>0.73388547538592364</v>
      </c>
      <c r="Y2283" s="106">
        <v>670.01273885350327</v>
      </c>
      <c r="Z2283" s="106">
        <v>22.337579617834397</v>
      </c>
      <c r="AA2283" s="106">
        <v>55536.678470056475</v>
      </c>
      <c r="AB2283" s="106">
        <v>411.80516775652188</v>
      </c>
      <c r="AC2283" s="106">
        <v>1.8006118254608379</v>
      </c>
      <c r="AD2283" s="106">
        <v>17.287234042553195</v>
      </c>
      <c r="AE2283" s="106">
        <v>134.86153846153846</v>
      </c>
      <c r="AF2283" s="106">
        <v>8.6311962694687293E-3</v>
      </c>
      <c r="AG2283" s="106">
        <v>4050</v>
      </c>
      <c r="AH2283" s="106">
        <v>14195.358426005132</v>
      </c>
      <c r="AI2283" s="106">
        <v>14262.98374679213</v>
      </c>
      <c r="AJ2283" s="106">
        <v>14653.444824636441</v>
      </c>
      <c r="AK2283" s="104">
        <v>14384.015397775876</v>
      </c>
      <c r="AL2283" s="118">
        <v>4614852</v>
      </c>
      <c r="AM2283" s="118">
        <v>3348</v>
      </c>
      <c r="AN2283" s="118">
        <v>35064</v>
      </c>
      <c r="AO2283" s="118">
        <v>258</v>
      </c>
      <c r="AP2283" s="118">
        <f t="shared" si="35"/>
        <v>540</v>
      </c>
    </row>
    <row r="2284" spans="1:42" ht="12.75">
      <c r="A2284" s="106">
        <v>2018</v>
      </c>
      <c r="B2284" s="106">
        <v>-199865</v>
      </c>
      <c r="C2284" s="106">
        <v>0</v>
      </c>
      <c r="D2284" s="106">
        <v>199865</v>
      </c>
      <c r="E2284" s="106" t="s">
        <v>3447</v>
      </c>
      <c r="F2284" s="106" t="s">
        <v>3448</v>
      </c>
      <c r="G2284" s="106" t="s">
        <v>90</v>
      </c>
      <c r="H2284" s="106">
        <v>7</v>
      </c>
      <c r="I2284" s="106" t="s">
        <v>3641</v>
      </c>
      <c r="J2284" s="106">
        <v>35244</v>
      </c>
      <c r="K2284" s="106">
        <v>27527</v>
      </c>
      <c r="L2284" s="106">
        <v>22337</v>
      </c>
      <c r="M2284" s="106">
        <v>0.38</v>
      </c>
      <c r="N2284" s="106">
        <v>0.65</v>
      </c>
      <c r="O2284" s="106">
        <v>0.99</v>
      </c>
      <c r="P2284" s="106">
        <v>19491</v>
      </c>
      <c r="Q2284" s="106">
        <v>13725.08695652174</v>
      </c>
      <c r="R2284" s="106">
        <v>0.4595861336677316</v>
      </c>
      <c r="S2284" s="106">
        <v>39353.155072463771</v>
      </c>
      <c r="T2284" s="106">
        <v>38374.852173913045</v>
      </c>
      <c r="U2284" s="106">
        <v>29319.263995041681</v>
      </c>
      <c r="V2284" s="106">
        <v>0.55045472966037667</v>
      </c>
      <c r="W2284" s="106">
        <v>59469.657391304354</v>
      </c>
      <c r="X2284" s="110">
        <v>0.43047330060054428</v>
      </c>
      <c r="Y2284" s="106">
        <v>306.86802030456852</v>
      </c>
      <c r="Z2284" s="106">
        <v>10.507614213197968</v>
      </c>
      <c r="AA2284" s="106">
        <v>122607.83125199249</v>
      </c>
      <c r="AB2284" s="106">
        <v>1003.9348993389291</v>
      </c>
      <c r="AC2284" s="106">
        <v>0.81560858697902228</v>
      </c>
      <c r="AD2284" s="106">
        <v>25.190839694656486</v>
      </c>
      <c r="AE2284" s="106">
        <v>122.12727272727273</v>
      </c>
      <c r="AF2284" s="106">
        <v>-1.7721214564869162E-3</v>
      </c>
      <c r="AG2284" s="106">
        <v>34500</v>
      </c>
      <c r="AH2284" s="106">
        <v>33719.520289855071</v>
      </c>
      <c r="AI2284" s="106">
        <v>39730.327536231882</v>
      </c>
      <c r="AJ2284" s="106">
        <v>38161.950724637682</v>
      </c>
      <c r="AK2284" s="104">
        <v>31468.553623188407</v>
      </c>
      <c r="AL2284" s="118"/>
      <c r="AM2284" s="118">
        <v>605</v>
      </c>
      <c r="AN2284" s="118">
        <v>20151</v>
      </c>
      <c r="AO2284" s="118">
        <v>137</v>
      </c>
      <c r="AP2284" s="118">
        <f t="shared" si="35"/>
        <v>744</v>
      </c>
    </row>
    <row r="2285" spans="1:42" ht="12.75">
      <c r="A2285" s="106">
        <v>2018</v>
      </c>
      <c r="B2285" s="106">
        <v>-154527</v>
      </c>
      <c r="C2285" s="106">
        <v>0</v>
      </c>
      <c r="D2285" s="106">
        <v>154527</v>
      </c>
      <c r="E2285" s="106" t="s">
        <v>3449</v>
      </c>
      <c r="F2285" s="106" t="s">
        <v>3450</v>
      </c>
      <c r="G2285" s="106" t="s">
        <v>447</v>
      </c>
      <c r="H2285" s="106">
        <v>7</v>
      </c>
      <c r="I2285" s="106" t="s">
        <v>3641</v>
      </c>
      <c r="J2285" s="106">
        <v>39730</v>
      </c>
      <c r="K2285" s="106">
        <v>22599</v>
      </c>
      <c r="L2285" s="106">
        <v>16774</v>
      </c>
      <c r="M2285" s="106">
        <v>0.33</v>
      </c>
      <c r="N2285" s="106">
        <v>0.73</v>
      </c>
      <c r="O2285" s="106">
        <v>0.96</v>
      </c>
      <c r="P2285" s="106">
        <v>25732</v>
      </c>
      <c r="Q2285" s="106">
        <v>21131.601916932908</v>
      </c>
      <c r="R2285" s="106">
        <v>0.57588001828692648</v>
      </c>
      <c r="S2285" s="106">
        <v>30000.72587859425</v>
      </c>
      <c r="T2285" s="106">
        <v>32115.533546325878</v>
      </c>
      <c r="U2285" s="106">
        <v>24436.568621902697</v>
      </c>
      <c r="V2285" s="106">
        <v>0.63686725906697539</v>
      </c>
      <c r="W2285" s="106">
        <v>69211.818428184284</v>
      </c>
      <c r="X2285" s="110">
        <v>0.50813269821954721</v>
      </c>
      <c r="Y2285" s="106">
        <v>405.81268011527374</v>
      </c>
      <c r="Z2285" s="106">
        <v>13.530259365994235</v>
      </c>
      <c r="AA2285" s="106">
        <v>105063.8183881256</v>
      </c>
      <c r="AB2285" s="106">
        <v>814.74317504160126</v>
      </c>
      <c r="AC2285" s="106">
        <v>0.95180245239689554</v>
      </c>
      <c r="AD2285" s="106">
        <v>24.347826086956523</v>
      </c>
      <c r="AE2285" s="106">
        <v>128.9532967032967</v>
      </c>
      <c r="AF2285" s="106">
        <v>1.9362671040014309E-2</v>
      </c>
      <c r="AG2285" s="106">
        <v>38710</v>
      </c>
      <c r="AH2285" s="106">
        <v>27291.440255591053</v>
      </c>
      <c r="AI2285" s="106">
        <v>30106.877955271564</v>
      </c>
      <c r="AJ2285" s="106">
        <v>33637.169329073484</v>
      </c>
      <c r="AK2285" s="104">
        <v>24872.2089456869</v>
      </c>
      <c r="AL2285" s="118"/>
      <c r="AM2285" s="118">
        <v>1529</v>
      </c>
      <c r="AN2285" s="118">
        <v>46939</v>
      </c>
      <c r="AO2285" s="118">
        <v>364</v>
      </c>
      <c r="AP2285" s="118">
        <f t="shared" si="35"/>
        <v>1020</v>
      </c>
    </row>
    <row r="2286" spans="1:42" ht="12.75">
      <c r="A2286" s="106">
        <v>2018</v>
      </c>
      <c r="B2286" s="106">
        <v>-156082</v>
      </c>
      <c r="C2286" s="106">
        <v>0</v>
      </c>
      <c r="D2286" s="106">
        <v>156082</v>
      </c>
      <c r="E2286" s="106" t="s">
        <v>3451</v>
      </c>
      <c r="F2286" s="106" t="s">
        <v>3452</v>
      </c>
      <c r="G2286" s="106" t="s">
        <v>129</v>
      </c>
      <c r="H2286" s="106">
        <v>2</v>
      </c>
      <c r="I2286" s="106" t="s">
        <v>25</v>
      </c>
      <c r="J2286" s="106">
        <v>7978</v>
      </c>
      <c r="K2286" s="106">
        <v>12551</v>
      </c>
      <c r="L2286" s="106">
        <v>10531</v>
      </c>
      <c r="M2286" s="106">
        <v>0.37</v>
      </c>
      <c r="N2286" s="106">
        <v>0.56999999999999995</v>
      </c>
      <c r="O2286" s="106">
        <v>0.67</v>
      </c>
      <c r="P2286" s="106">
        <v>5156</v>
      </c>
      <c r="Q2286" s="106">
        <v>2888.9706170421155</v>
      </c>
      <c r="R2286" s="106">
        <v>0.26664824549654642</v>
      </c>
      <c r="S2286" s="106">
        <v>19438.415083251715</v>
      </c>
      <c r="T2286" s="106">
        <v>20058.718119490695</v>
      </c>
      <c r="U2286" s="106">
        <v>16431.855573703288</v>
      </c>
      <c r="V2286" s="106">
        <v>0.4835374552883836</v>
      </c>
      <c r="W2286" s="106">
        <v>77829.708149337617</v>
      </c>
      <c r="X2286" s="110">
        <v>0.63110112293626952</v>
      </c>
      <c r="Y2286" s="106">
        <v>390.25514018691587</v>
      </c>
      <c r="Z2286" s="106">
        <v>14.313084112149532</v>
      </c>
      <c r="AA2286" s="106">
        <v>58374.824428500549</v>
      </c>
      <c r="AB2286" s="106">
        <v>602.65838095678089</v>
      </c>
      <c r="AC2286" s="106">
        <v>1.7130672508057541</v>
      </c>
      <c r="AD2286" s="106">
        <v>26.859813084112151</v>
      </c>
      <c r="AE2286" s="106">
        <v>96.862212943632571</v>
      </c>
      <c r="AF2286" s="106">
        <v>5.9889226631852858E-2</v>
      </c>
      <c r="AG2286" s="106">
        <v>7868</v>
      </c>
      <c r="AH2286" s="106">
        <v>18237.594319294811</v>
      </c>
      <c r="AI2286" s="106">
        <v>19198.608814887364</v>
      </c>
      <c r="AJ2286" s="106">
        <v>20583.05386875612</v>
      </c>
      <c r="AK2286" s="104">
        <v>17915.137120470128</v>
      </c>
      <c r="AL2286" s="119">
        <v>37658702</v>
      </c>
      <c r="AM2286" s="118">
        <v>5873</v>
      </c>
      <c r="AN2286" s="118">
        <v>139191</v>
      </c>
      <c r="AO2286" s="118">
        <v>1068</v>
      </c>
      <c r="AP2286" s="118">
        <f t="shared" si="35"/>
        <v>110</v>
      </c>
    </row>
    <row r="2287" spans="1:42" ht="12.75">
      <c r="A2287" s="106">
        <v>2018</v>
      </c>
      <c r="B2287" s="106">
        <v>-216667</v>
      </c>
      <c r="C2287" s="106">
        <v>0</v>
      </c>
      <c r="D2287" s="106">
        <v>216667</v>
      </c>
      <c r="E2287" s="106" t="s">
        <v>3453</v>
      </c>
      <c r="F2287" s="106" t="s">
        <v>155</v>
      </c>
      <c r="G2287" s="106" t="s">
        <v>104</v>
      </c>
      <c r="H2287" s="106">
        <v>7</v>
      </c>
      <c r="I2287" s="106" t="s">
        <v>3641</v>
      </c>
      <c r="J2287" s="106">
        <v>46628</v>
      </c>
      <c r="K2287" s="106">
        <v>28518</v>
      </c>
      <c r="L2287" s="106">
        <v>22129</v>
      </c>
      <c r="M2287" s="106">
        <v>0.31</v>
      </c>
      <c r="N2287" s="106">
        <v>0.92</v>
      </c>
      <c r="O2287" s="106">
        <v>0.99</v>
      </c>
      <c r="P2287" s="106">
        <v>27903</v>
      </c>
      <c r="Q2287" s="106">
        <v>27086.125255275696</v>
      </c>
      <c r="R2287" s="106">
        <v>0.61957833002978391</v>
      </c>
      <c r="S2287" s="106">
        <v>37994.035398230088</v>
      </c>
      <c r="T2287" s="106">
        <v>39245.941456773318</v>
      </c>
      <c r="U2287" s="106">
        <v>32103.198634247306</v>
      </c>
      <c r="V2287" s="106">
        <v>0.51804514086024989</v>
      </c>
      <c r="W2287" s="106">
        <v>81313.214902807769</v>
      </c>
      <c r="X2287" s="110">
        <v>0.43534575765666056</v>
      </c>
      <c r="Y2287" s="106">
        <v>342.28756476683941</v>
      </c>
      <c r="Z2287" s="106">
        <v>11.417098445595856</v>
      </c>
      <c r="AA2287" s="106">
        <v>158253.68722721239</v>
      </c>
      <c r="AB2287" s="106">
        <v>1070.8112620900818</v>
      </c>
      <c r="AC2287" s="106">
        <v>0.63189680918097801</v>
      </c>
      <c r="AD2287" s="106">
        <v>21.209964412811388</v>
      </c>
      <c r="AE2287" s="106">
        <v>147.78859060402684</v>
      </c>
      <c r="AF2287" s="106">
        <v>3.6112795812258215E-2</v>
      </c>
      <c r="AG2287" s="106">
        <v>46048</v>
      </c>
      <c r="AH2287" s="106">
        <v>29540.41729067393</v>
      </c>
      <c r="AI2287" s="106">
        <v>34853.409121851597</v>
      </c>
      <c r="AJ2287" s="106">
        <v>45474.699795779445</v>
      </c>
      <c r="AK2287" s="104">
        <v>32437.175629680056</v>
      </c>
      <c r="AL2287" s="118"/>
      <c r="AM2287" s="118">
        <v>1405</v>
      </c>
      <c r="AN2287" s="118">
        <v>44041</v>
      </c>
      <c r="AO2287" s="118">
        <v>295</v>
      </c>
      <c r="AP2287" s="118">
        <f t="shared" si="35"/>
        <v>580</v>
      </c>
    </row>
    <row r="2288" spans="1:42" ht="12.75">
      <c r="A2288" s="106">
        <v>2018</v>
      </c>
      <c r="B2288" s="106">
        <v>-162210</v>
      </c>
      <c r="C2288" s="106">
        <v>0</v>
      </c>
      <c r="D2288" s="106">
        <v>162210</v>
      </c>
      <c r="E2288" s="106" t="s">
        <v>3454</v>
      </c>
      <c r="F2288" s="106" t="s">
        <v>3455</v>
      </c>
      <c r="G2288" s="106" t="s">
        <v>124</v>
      </c>
      <c r="H2288" s="106">
        <v>6</v>
      </c>
      <c r="I2288" s="106" t="s">
        <v>3640</v>
      </c>
      <c r="J2288" s="106">
        <v>23400</v>
      </c>
      <c r="K2288" s="106">
        <v>16862</v>
      </c>
      <c r="L2288" s="106">
        <v>13800</v>
      </c>
      <c r="M2288" s="106">
        <v>0.59</v>
      </c>
      <c r="N2288" s="106">
        <v>0.68</v>
      </c>
      <c r="O2288" s="106">
        <v>0.94</v>
      </c>
      <c r="P2288" s="106">
        <v>10426</v>
      </c>
      <c r="Q2288" s="106">
        <v>5161.5253699788582</v>
      </c>
      <c r="R2288" s="106">
        <v>0.23907515165212836</v>
      </c>
      <c r="S2288" s="106">
        <v>33717.637420718813</v>
      </c>
      <c r="T2288" s="106">
        <v>36116.50845665962</v>
      </c>
      <c r="U2288" s="106">
        <v>25337.019156651873</v>
      </c>
      <c r="V2288" s="106">
        <v>0.64838039255886049</v>
      </c>
      <c r="W2288" s="106">
        <v>91219.137440758292</v>
      </c>
      <c r="X2288" s="110">
        <v>0.56334120924186604</v>
      </c>
      <c r="Y2288" s="106">
        <v>275.14</v>
      </c>
      <c r="Z2288" s="106">
        <v>9.4600000000000009</v>
      </c>
      <c r="AA2288" s="106">
        <v>110966.75982496608</v>
      </c>
      <c r="AB2288" s="106">
        <v>871.14996446146233</v>
      </c>
      <c r="AC2288" s="106">
        <v>0.90117076643253757</v>
      </c>
      <c r="AD2288" s="106">
        <v>25.381903642773207</v>
      </c>
      <c r="AE2288" s="106">
        <v>127.37962962962963</v>
      </c>
      <c r="AF2288" s="106">
        <v>9.2455518628927924E-2</v>
      </c>
      <c r="AG2288" s="106">
        <v>21800</v>
      </c>
      <c r="AH2288" s="106">
        <v>26463.09619450317</v>
      </c>
      <c r="AI2288" s="106">
        <v>33138.580338266387</v>
      </c>
      <c r="AJ2288" s="106">
        <v>33721.802325581397</v>
      </c>
      <c r="AK2288" s="104">
        <v>32551.261099365751</v>
      </c>
      <c r="AL2288" s="118"/>
      <c r="AM2288" s="118">
        <v>873</v>
      </c>
      <c r="AN2288" s="118">
        <v>27514</v>
      </c>
      <c r="AO2288" s="118">
        <v>147</v>
      </c>
      <c r="AP2288" s="118">
        <f t="shared" si="35"/>
        <v>1600</v>
      </c>
    </row>
    <row r="2289" spans="1:42" ht="12.75">
      <c r="A2289" s="106">
        <v>2018</v>
      </c>
      <c r="B2289" s="106">
        <v>-234207</v>
      </c>
      <c r="C2289" s="106">
        <v>0</v>
      </c>
      <c r="D2289" s="106">
        <v>234207</v>
      </c>
      <c r="E2289" s="106" t="s">
        <v>3464</v>
      </c>
      <c r="F2289" s="106" t="s">
        <v>413</v>
      </c>
      <c r="G2289" s="106" t="s">
        <v>261</v>
      </c>
      <c r="H2289" s="106">
        <v>7</v>
      </c>
      <c r="I2289" s="106" t="s">
        <v>3641</v>
      </c>
      <c r="J2289" s="106">
        <v>50170</v>
      </c>
      <c r="K2289" s="106">
        <v>21918</v>
      </c>
      <c r="L2289" s="106">
        <v>706</v>
      </c>
      <c r="M2289" s="106">
        <v>0.11</v>
      </c>
      <c r="N2289" s="106">
        <v>0.26</v>
      </c>
      <c r="O2289" s="106">
        <v>0.52</v>
      </c>
      <c r="P2289" s="106">
        <v>46265</v>
      </c>
      <c r="Q2289" s="106">
        <v>24494.722349701697</v>
      </c>
      <c r="R2289" s="106">
        <v>0.49298493539120875</v>
      </c>
      <c r="S2289" s="106">
        <v>55419.917393299678</v>
      </c>
      <c r="T2289" s="106">
        <v>76441.486920605777</v>
      </c>
      <c r="U2289" s="106">
        <v>60083.74343511078</v>
      </c>
      <c r="V2289" s="106">
        <v>0.41927865467299186</v>
      </c>
      <c r="W2289" s="106">
        <v>110622.01303403331</v>
      </c>
      <c r="X2289" s="110">
        <v>0.61144531296903326</v>
      </c>
      <c r="Y2289" s="106">
        <v>198.48888888888888</v>
      </c>
      <c r="Z2289" s="106">
        <v>8.0703703703703695</v>
      </c>
      <c r="AA2289" s="106">
        <v>224566.85582351009</v>
      </c>
      <c r="AB2289" s="106">
        <v>2442.9481442212714</v>
      </c>
      <c r="AC2289" s="106">
        <v>0.44530168814667492</v>
      </c>
      <c r="AD2289" s="106">
        <v>26.284941388638412</v>
      </c>
      <c r="AE2289" s="106">
        <v>91.924528301886795</v>
      </c>
      <c r="AF2289" s="106">
        <v>3.4002141050687294E-2</v>
      </c>
      <c r="AG2289" s="106">
        <v>49170</v>
      </c>
      <c r="AH2289" s="106">
        <v>37034.419458467186</v>
      </c>
      <c r="AI2289" s="106">
        <v>53537.861404313902</v>
      </c>
      <c r="AJ2289" s="106">
        <v>103830.65626434144</v>
      </c>
      <c r="AK2289" s="104">
        <v>63850.390087195963</v>
      </c>
      <c r="AL2289" s="118"/>
      <c r="AM2289" s="118">
        <v>1827</v>
      </c>
      <c r="AN2289" s="118">
        <v>53592</v>
      </c>
      <c r="AO2289" s="118">
        <v>470</v>
      </c>
      <c r="AP2289" s="118">
        <f t="shared" si="35"/>
        <v>1000</v>
      </c>
    </row>
    <row r="2290" spans="1:42" ht="12.75">
      <c r="A2290" s="106">
        <v>2018</v>
      </c>
      <c r="B2290" s="106">
        <v>-164216</v>
      </c>
      <c r="C2290" s="106">
        <v>0</v>
      </c>
      <c r="D2290" s="106">
        <v>164216</v>
      </c>
      <c r="E2290" s="106" t="s">
        <v>3456</v>
      </c>
      <c r="F2290" s="106" t="s">
        <v>3457</v>
      </c>
      <c r="G2290" s="106" t="s">
        <v>124</v>
      </c>
      <c r="H2290" s="106">
        <v>7</v>
      </c>
      <c r="I2290" s="106" t="s">
        <v>3641</v>
      </c>
      <c r="J2290" s="106">
        <v>44820</v>
      </c>
      <c r="K2290" s="106">
        <v>29457</v>
      </c>
      <c r="L2290" s="106">
        <v>12619</v>
      </c>
      <c r="M2290" s="106">
        <v>0.26</v>
      </c>
      <c r="N2290" s="106">
        <v>0.72</v>
      </c>
      <c r="O2290" s="106">
        <v>0.96</v>
      </c>
      <c r="P2290" s="106">
        <v>27564</v>
      </c>
      <c r="Q2290" s="106">
        <v>21080.343603482921</v>
      </c>
      <c r="R2290" s="106">
        <v>0.49222369694752194</v>
      </c>
      <c r="S2290" s="106">
        <v>49481.099799062293</v>
      </c>
      <c r="T2290" s="106">
        <v>47998.666443402544</v>
      </c>
      <c r="U2290" s="106">
        <v>39761.112525117212</v>
      </c>
      <c r="V2290" s="106">
        <v>0.54692662934857394</v>
      </c>
      <c r="W2290" s="106">
        <v>76080.047840531552</v>
      </c>
      <c r="X2290" s="110">
        <v>0.53259494860100842</v>
      </c>
      <c r="Y2290" s="106">
        <v>356.44696969696969</v>
      </c>
      <c r="Z2290" s="106">
        <v>11.310606060606061</v>
      </c>
      <c r="AA2290" s="106">
        <v>186091.97805642633</v>
      </c>
      <c r="AB2290" s="106">
        <v>1261.6807506747996</v>
      </c>
      <c r="AC2290" s="106">
        <v>0.53736867673940392</v>
      </c>
      <c r="AD2290" s="106">
        <v>21.74505794137696</v>
      </c>
      <c r="AE2290" s="106">
        <v>147.49529780564262</v>
      </c>
      <c r="AF2290" s="106">
        <v>6.7107654073276776E-2</v>
      </c>
      <c r="AG2290" s="106">
        <v>43702</v>
      </c>
      <c r="AH2290" s="106">
        <v>35446.735432016074</v>
      </c>
      <c r="AI2290" s="106">
        <v>49481.099799062293</v>
      </c>
      <c r="AJ2290" s="106">
        <v>49758.77361018084</v>
      </c>
      <c r="AK2290" s="104">
        <v>39761.112525117212</v>
      </c>
      <c r="AM2290" s="118">
        <v>1484</v>
      </c>
      <c r="AN2290" s="118">
        <v>47051</v>
      </c>
      <c r="AO2290" s="118">
        <v>319</v>
      </c>
      <c r="AP2290" s="118">
        <f t="shared" si="35"/>
        <v>1118</v>
      </c>
    </row>
    <row r="2291" spans="1:42" ht="12.75">
      <c r="A2291" s="106">
        <v>2018</v>
      </c>
      <c r="B2291" s="106">
        <v>-161581</v>
      </c>
      <c r="C2291" s="106">
        <v>0</v>
      </c>
      <c r="D2291" s="106">
        <v>161581</v>
      </c>
      <c r="E2291" s="106" t="s">
        <v>3458</v>
      </c>
      <c r="F2291" s="106" t="s">
        <v>3459</v>
      </c>
      <c r="G2291" s="106" t="s">
        <v>301</v>
      </c>
      <c r="H2291" s="106">
        <v>4</v>
      </c>
      <c r="I2291" s="106" t="s">
        <v>24</v>
      </c>
      <c r="J2291" s="106">
        <v>3636</v>
      </c>
      <c r="K2291" s="106">
        <v>6090</v>
      </c>
      <c r="L2291" s="106">
        <v>5175</v>
      </c>
      <c r="M2291" s="106">
        <v>0.77</v>
      </c>
      <c r="N2291" s="106">
        <v>0.39</v>
      </c>
      <c r="O2291" s="106">
        <v>0.24</v>
      </c>
      <c r="P2291" s="106">
        <v>975</v>
      </c>
      <c r="Q2291" s="106">
        <v>110.70522388059702</v>
      </c>
      <c r="R2291" s="106">
        <v>2.4345652632364972E-2</v>
      </c>
      <c r="S2291" s="106">
        <v>30178.731343283584</v>
      </c>
      <c r="T2291" s="106">
        <v>28036.955223880595</v>
      </c>
      <c r="U2291" s="106">
        <v>25455.799462665909</v>
      </c>
      <c r="V2291" s="106">
        <v>0.17428336495840221</v>
      </c>
      <c r="W2291" s="106">
        <v>73354.399038461546</v>
      </c>
      <c r="X2291" s="110">
        <v>0.67686584763393309</v>
      </c>
      <c r="Y2291" s="106">
        <v>251.28125</v>
      </c>
      <c r="Z2291" s="106">
        <v>8.375</v>
      </c>
      <c r="AA2291" s="106">
        <v>52077.513404537887</v>
      </c>
      <c r="AB2291" s="106">
        <v>848.42112374013971</v>
      </c>
      <c r="AC2291" s="106">
        <v>1.9202145698317132</v>
      </c>
      <c r="AD2291" s="106">
        <v>50</v>
      </c>
      <c r="AE2291" s="106">
        <v>61.381679389312978</v>
      </c>
      <c r="AF2291" s="106">
        <v>4.5371071764746612E-2</v>
      </c>
      <c r="AG2291" s="106">
        <v>2760</v>
      </c>
      <c r="AH2291" s="106">
        <v>30665.4776119403</v>
      </c>
      <c r="AI2291" s="106">
        <v>30805.873134328358</v>
      </c>
      <c r="AJ2291" s="106">
        <v>30313.444029850747</v>
      </c>
      <c r="AK2291" s="104">
        <v>25596.910447761195</v>
      </c>
      <c r="AL2291" s="118">
        <v>5279396</v>
      </c>
      <c r="AM2291" s="118">
        <v>372</v>
      </c>
      <c r="AN2291" s="118">
        <v>8041</v>
      </c>
      <c r="AO2291" s="118">
        <v>47</v>
      </c>
      <c r="AP2291" s="118">
        <f t="shared" si="35"/>
        <v>876</v>
      </c>
    </row>
    <row r="2292" spans="1:42" ht="12.75">
      <c r="A2292" s="106">
        <v>2018</v>
      </c>
      <c r="B2292" s="106">
        <v>-206446</v>
      </c>
      <c r="C2292" s="106">
        <v>0</v>
      </c>
      <c r="D2292" s="106">
        <v>206446</v>
      </c>
      <c r="E2292" s="106" t="s">
        <v>3460</v>
      </c>
      <c r="F2292" s="106" t="s">
        <v>711</v>
      </c>
      <c r="G2292" s="106" t="s">
        <v>82</v>
      </c>
      <c r="H2292" s="106">
        <v>4</v>
      </c>
      <c r="I2292" s="106" t="s">
        <v>24</v>
      </c>
      <c r="J2292" s="106">
        <v>4500</v>
      </c>
      <c r="K2292" s="106">
        <v>6703</v>
      </c>
      <c r="L2292" s="106">
        <v>5807</v>
      </c>
      <c r="M2292" s="106">
        <v>0.63</v>
      </c>
      <c r="N2292" s="106">
        <v>0.43</v>
      </c>
      <c r="O2292" s="106">
        <v>0.13</v>
      </c>
      <c r="P2292" s="106">
        <v>1810</v>
      </c>
      <c r="Q2292" s="106"/>
      <c r="R2292" s="106"/>
      <c r="S2292" s="106">
        <v>11465.401384083045</v>
      </c>
      <c r="T2292" s="106">
        <v>7824.0216262975782</v>
      </c>
      <c r="U2292" s="106">
        <v>9141.2050173010375</v>
      </c>
      <c r="V2292" s="106">
        <v>0.4803448547032132</v>
      </c>
      <c r="W2292" s="106">
        <v>21696.007159904537</v>
      </c>
      <c r="X2292" s="110">
        <v>0.33503077924442837</v>
      </c>
      <c r="Y2292" s="106">
        <v>435.48953974895403</v>
      </c>
      <c r="Z2292" s="106">
        <v>14.510460251046027</v>
      </c>
      <c r="AA2292" s="106">
        <v>27735.51968503937</v>
      </c>
      <c r="AB2292" s="106">
        <v>304.58387617455469</v>
      </c>
      <c r="AC2292" s="106">
        <v>3.6054849930913799</v>
      </c>
      <c r="AD2292" s="106">
        <v>34.954128440366972</v>
      </c>
      <c r="AE2292" s="106">
        <v>91.060367454068242</v>
      </c>
      <c r="AF2292" s="106">
        <v>0.50854789440178183</v>
      </c>
      <c r="AG2292" s="106">
        <v>4170</v>
      </c>
      <c r="AH2292" s="106">
        <v>10960.192906574395</v>
      </c>
      <c r="AI2292" s="106">
        <v>10960.192906574395</v>
      </c>
      <c r="AJ2292" s="106">
        <v>11533.909169550174</v>
      </c>
      <c r="AK2292" s="104">
        <v>9883.084775086505</v>
      </c>
      <c r="AL2292" s="118">
        <v>5320400</v>
      </c>
      <c r="AM2292" s="118">
        <v>1821</v>
      </c>
      <c r="AN2292" s="118">
        <v>34694</v>
      </c>
      <c r="AO2292" s="118">
        <v>241</v>
      </c>
      <c r="AP2292" s="118">
        <f t="shared" si="35"/>
        <v>330</v>
      </c>
    </row>
    <row r="2293" spans="1:42" ht="12.75">
      <c r="A2293" s="106">
        <v>2018</v>
      </c>
      <c r="B2293" s="106">
        <v>-236939</v>
      </c>
      <c r="C2293" s="106">
        <v>0</v>
      </c>
      <c r="D2293" s="106">
        <v>236939</v>
      </c>
      <c r="E2293" s="106" t="s">
        <v>3461</v>
      </c>
      <c r="F2293" s="106" t="s">
        <v>3462</v>
      </c>
      <c r="G2293" s="106" t="s">
        <v>182</v>
      </c>
      <c r="H2293" s="106">
        <v>1</v>
      </c>
      <c r="I2293" s="106" t="s">
        <v>23</v>
      </c>
      <c r="J2293" s="106">
        <v>11391</v>
      </c>
      <c r="K2293" s="106">
        <v>17297</v>
      </c>
      <c r="L2293" s="106">
        <v>9000</v>
      </c>
      <c r="M2293" s="106">
        <v>0.3</v>
      </c>
      <c r="N2293" s="106">
        <v>0.44</v>
      </c>
      <c r="O2293" s="106">
        <v>0.72</v>
      </c>
      <c r="P2293" s="106">
        <v>5333</v>
      </c>
      <c r="Q2293" s="106">
        <v>3667.3926674484378</v>
      </c>
      <c r="R2293" s="106">
        <v>0.25336082645331021</v>
      </c>
      <c r="S2293" s="106">
        <v>37339.678519693727</v>
      </c>
      <c r="T2293" s="106">
        <v>39837.878492101816</v>
      </c>
      <c r="U2293" s="106">
        <v>15725.820214602441</v>
      </c>
      <c r="V2293" s="106">
        <v>0.68725104854244579</v>
      </c>
      <c r="W2293" s="106">
        <v>110964.94949656384</v>
      </c>
      <c r="X2293" s="110">
        <v>0.60110125898809907</v>
      </c>
      <c r="Y2293" s="106">
        <v>402.9162687585266</v>
      </c>
      <c r="Z2293" s="106">
        <v>14.833219645293315</v>
      </c>
      <c r="AA2293" s="106">
        <v>59438.721327360603</v>
      </c>
      <c r="AB2293" s="106">
        <v>578.94049814451751</v>
      </c>
      <c r="AC2293" s="106">
        <v>1.6824049671130523</v>
      </c>
      <c r="AD2293" s="106">
        <v>27.68914236211377</v>
      </c>
      <c r="AE2293" s="106">
        <v>102.66810063876939</v>
      </c>
      <c r="AF2293" s="106">
        <v>-3.5401396770063267E-3</v>
      </c>
      <c r="AG2293" s="106">
        <v>9530</v>
      </c>
      <c r="AH2293" s="106">
        <v>35942.552183210319</v>
      </c>
      <c r="AI2293" s="106">
        <v>37166.732220459402</v>
      </c>
      <c r="AJ2293" s="106">
        <v>39006.038490722218</v>
      </c>
      <c r="AK2293" s="104">
        <v>30376.045975029316</v>
      </c>
      <c r="AL2293" s="118">
        <v>232903044</v>
      </c>
      <c r="AM2293" s="118">
        <v>25277</v>
      </c>
      <c r="AN2293" s="118">
        <v>787567</v>
      </c>
      <c r="AO2293" s="118">
        <v>5518</v>
      </c>
      <c r="AP2293" s="118">
        <f t="shared" si="35"/>
        <v>1861</v>
      </c>
    </row>
    <row r="2294" spans="1:42" ht="12.75">
      <c r="A2294" s="106">
        <v>2018</v>
      </c>
      <c r="B2294" s="106">
        <v>-179867</v>
      </c>
      <c r="C2294" s="106">
        <v>0</v>
      </c>
      <c r="D2294" s="106">
        <v>179867</v>
      </c>
      <c r="E2294" s="106" t="s">
        <v>3463</v>
      </c>
      <c r="F2294" s="106" t="s">
        <v>1259</v>
      </c>
      <c r="G2294" s="106" t="s">
        <v>264</v>
      </c>
      <c r="H2294" s="106">
        <v>5</v>
      </c>
      <c r="I2294" s="106" t="s">
        <v>3639</v>
      </c>
      <c r="J2294" s="106">
        <v>51533</v>
      </c>
      <c r="K2294" s="106">
        <v>27931</v>
      </c>
      <c r="L2294" s="106">
        <v>5724</v>
      </c>
      <c r="M2294" s="106">
        <v>0.13</v>
      </c>
      <c r="N2294" s="106">
        <v>0.19</v>
      </c>
      <c r="O2294" s="106">
        <v>0.42</v>
      </c>
      <c r="P2294" s="106">
        <v>42801</v>
      </c>
      <c r="Q2294" s="106">
        <v>21431.050523207294</v>
      </c>
      <c r="R2294" s="106">
        <v>0.50588767503811682</v>
      </c>
      <c r="S2294" s="106">
        <v>213078.51319252743</v>
      </c>
      <c r="T2294" s="106">
        <v>201132.95242986456</v>
      </c>
      <c r="U2294" s="106">
        <v>151965.18812927135</v>
      </c>
      <c r="V2294" s="106">
        <v>0.13774344359809981</v>
      </c>
      <c r="W2294" s="106">
        <v>122789.31896129348</v>
      </c>
      <c r="X2294" s="110">
        <v>0.55993109585298406</v>
      </c>
      <c r="Y2294" s="106">
        <v>88.703230849400725</v>
      </c>
      <c r="Z2294" s="106">
        <v>4.05862428348098</v>
      </c>
      <c r="AA2294" s="106">
        <v>484577.63264885562</v>
      </c>
      <c r="AB2294" s="106">
        <v>6953.1808129104129</v>
      </c>
      <c r="AC2294" s="106">
        <v>0.20636528238698959</v>
      </c>
      <c r="AD2294" s="106">
        <v>34.793447293447294</v>
      </c>
      <c r="AE2294" s="106">
        <v>69.691504605936544</v>
      </c>
      <c r="AF2294" s="106">
        <v>0.10670427124398306</v>
      </c>
      <c r="AG2294" s="106">
        <v>50650</v>
      </c>
      <c r="AH2294" s="106">
        <v>170618.70841625473</v>
      </c>
      <c r="AI2294" s="106">
        <v>207563.45952365667</v>
      </c>
      <c r="AJ2294" s="106">
        <v>266347.88470180397</v>
      </c>
      <c r="AK2294" s="104">
        <v>193612.05623675932</v>
      </c>
      <c r="AL2294" s="118"/>
      <c r="AM2294" s="118">
        <v>7675</v>
      </c>
      <c r="AN2294" s="118">
        <v>340443</v>
      </c>
      <c r="AO2294" s="118">
        <v>1828</v>
      </c>
      <c r="AP2294" s="118">
        <f t="shared" si="35"/>
        <v>883</v>
      </c>
    </row>
    <row r="2295" spans="1:42" ht="12.75">
      <c r="A2295" s="106">
        <v>2018</v>
      </c>
      <c r="B2295" s="106">
        <v>-172617</v>
      </c>
      <c r="C2295" s="106">
        <v>0</v>
      </c>
      <c r="D2295" s="106">
        <v>172617</v>
      </c>
      <c r="E2295" s="106" t="s">
        <v>3465</v>
      </c>
      <c r="F2295" s="106" t="s">
        <v>923</v>
      </c>
      <c r="G2295" s="106" t="s">
        <v>74</v>
      </c>
      <c r="H2295" s="106">
        <v>4</v>
      </c>
      <c r="I2295" s="106" t="s">
        <v>24</v>
      </c>
      <c r="J2295" s="106">
        <v>2448</v>
      </c>
      <c r="K2295" s="106">
        <v>2038</v>
      </c>
      <c r="L2295" s="106">
        <v>394</v>
      </c>
      <c r="M2295" s="106">
        <v>0.38</v>
      </c>
      <c r="N2295" s="106">
        <v>0.22</v>
      </c>
      <c r="O2295" s="106">
        <v>0.16</v>
      </c>
      <c r="P2295" s="106">
        <v>2996</v>
      </c>
      <c r="Q2295" s="106">
        <v>148.37759234261873</v>
      </c>
      <c r="R2295" s="106">
        <v>3.6063725230532674E-2</v>
      </c>
      <c r="S2295" s="106">
        <v>15551.678610872499</v>
      </c>
      <c r="T2295" s="106">
        <v>15785.707326052276</v>
      </c>
      <c r="U2295" s="106">
        <v>13433.609528393292</v>
      </c>
      <c r="V2295" s="106">
        <v>0.29522514019542245</v>
      </c>
      <c r="W2295" s="106">
        <v>96287.595951732204</v>
      </c>
      <c r="X2295" s="110">
        <v>0.64098051668807055</v>
      </c>
      <c r="Y2295" s="106">
        <v>714.14897760467375</v>
      </c>
      <c r="Z2295" s="106">
        <v>23.804284323271663</v>
      </c>
      <c r="AA2295" s="106">
        <v>30132.255449181652</v>
      </c>
      <c r="AB2295" s="106">
        <v>447.77416299642476</v>
      </c>
      <c r="AC2295" s="106">
        <v>3.3187027824269903</v>
      </c>
      <c r="AD2295" s="106">
        <v>57.88718929254302</v>
      </c>
      <c r="AE2295" s="106">
        <v>67.293421414808705</v>
      </c>
      <c r="AF2295" s="106">
        <v>-1.9495382892242497E-2</v>
      </c>
      <c r="AG2295" s="106">
        <v>2280</v>
      </c>
      <c r="AH2295" s="106">
        <v>14421.618358080746</v>
      </c>
      <c r="AI2295" s="106">
        <v>14427.860350963309</v>
      </c>
      <c r="AJ2295" s="106">
        <v>15604.25144189471</v>
      </c>
      <c r="AK2295" s="104">
        <v>14993.776905141734</v>
      </c>
      <c r="AL2295" s="118">
        <v>70321134</v>
      </c>
      <c r="AM2295" s="118">
        <v>12335</v>
      </c>
      <c r="AN2295" s="118">
        <v>244477</v>
      </c>
      <c r="AO2295" s="118">
        <v>1315</v>
      </c>
      <c r="AP2295" s="118">
        <f t="shared" si="35"/>
        <v>168</v>
      </c>
    </row>
    <row r="2296" spans="1:42" ht="12.75">
      <c r="A2296" s="106">
        <v>2018</v>
      </c>
      <c r="B2296" s="106">
        <v>-149727</v>
      </c>
      <c r="C2296" s="106">
        <v>0</v>
      </c>
      <c r="D2296" s="106">
        <v>149727</v>
      </c>
      <c r="E2296" s="106" t="s">
        <v>3466</v>
      </c>
      <c r="F2296" s="106" t="s">
        <v>3467</v>
      </c>
      <c r="G2296" s="106" t="s">
        <v>243</v>
      </c>
      <c r="H2296" s="106">
        <v>4</v>
      </c>
      <c r="I2296" s="106" t="s">
        <v>24</v>
      </c>
      <c r="J2296" s="106">
        <v>3216</v>
      </c>
      <c r="K2296" s="106">
        <v>4706</v>
      </c>
      <c r="L2296" s="106">
        <v>3633</v>
      </c>
      <c r="M2296" s="106">
        <v>0.37</v>
      </c>
      <c r="N2296" s="106">
        <v>0.15</v>
      </c>
      <c r="O2296" s="106">
        <v>0.13</v>
      </c>
      <c r="P2296" s="106">
        <v>2863</v>
      </c>
      <c r="Q2296" s="106">
        <v>146.08952350393068</v>
      </c>
      <c r="R2296" s="106">
        <v>3.7081671296160738E-2</v>
      </c>
      <c r="S2296" s="106">
        <v>18904.005454837155</v>
      </c>
      <c r="T2296" s="106">
        <v>17473.850794160116</v>
      </c>
      <c r="U2296" s="106">
        <v>14627.777187389029</v>
      </c>
      <c r="V2296" s="106">
        <v>0.25934082591667162</v>
      </c>
      <c r="W2296" s="106">
        <v>77138.465875370923</v>
      </c>
      <c r="X2296" s="110">
        <v>0.47735903182488665</v>
      </c>
      <c r="Y2296" s="106">
        <v>817.72740524781329</v>
      </c>
      <c r="Z2296" s="106">
        <v>27.258017492711367</v>
      </c>
      <c r="AA2296" s="106">
        <v>47412.862823190757</v>
      </c>
      <c r="AB2296" s="106">
        <v>487.60039579754647</v>
      </c>
      <c r="AC2296" s="106">
        <v>2.1091322912289456</v>
      </c>
      <c r="AD2296" s="106">
        <v>37.906564163217034</v>
      </c>
      <c r="AE2296" s="106">
        <v>97.237129485179409</v>
      </c>
      <c r="AF2296" s="106">
        <v>5.6136608851272495E-2</v>
      </c>
      <c r="AG2296" s="106">
        <v>3024</v>
      </c>
      <c r="AH2296" s="106">
        <v>18684.964864431255</v>
      </c>
      <c r="AI2296" s="106">
        <v>18684.964864431255</v>
      </c>
      <c r="AJ2296" s="106">
        <v>18990.776030803787</v>
      </c>
      <c r="AK2296" s="104">
        <v>16454.150649767369</v>
      </c>
      <c r="AL2296" s="118">
        <v>81964538</v>
      </c>
      <c r="AM2296" s="118">
        <v>9518</v>
      </c>
      <c r="AN2296" s="118">
        <v>186987</v>
      </c>
      <c r="AO2296" s="118">
        <v>1134</v>
      </c>
      <c r="AP2296" s="118">
        <f t="shared" si="35"/>
        <v>192</v>
      </c>
    </row>
    <row r="2297" spans="1:42" ht="12.75">
      <c r="A2297" s="106">
        <v>2018</v>
      </c>
      <c r="B2297" s="106">
        <v>-240125</v>
      </c>
      <c r="C2297" s="106">
        <v>0</v>
      </c>
      <c r="D2297" s="106">
        <v>240125</v>
      </c>
      <c r="E2297" s="106" t="s">
        <v>3468</v>
      </c>
      <c r="F2297" s="106" t="s">
        <v>3469</v>
      </c>
      <c r="G2297" s="106" t="s">
        <v>139</v>
      </c>
      <c r="H2297" s="106">
        <v>4</v>
      </c>
      <c r="I2297" s="106" t="s">
        <v>24</v>
      </c>
      <c r="J2297" s="106">
        <v>4211</v>
      </c>
      <c r="K2297" s="106">
        <v>9620</v>
      </c>
      <c r="L2297" s="106">
        <v>7843</v>
      </c>
      <c r="M2297" s="106">
        <v>0.35</v>
      </c>
      <c r="N2297" s="106">
        <v>0.33</v>
      </c>
      <c r="O2297" s="106">
        <v>0.16</v>
      </c>
      <c r="P2297" s="106">
        <v>792</v>
      </c>
      <c r="Q2297" s="106">
        <v>25.181249999999999</v>
      </c>
      <c r="R2297" s="106">
        <v>5.9461374055633596E-3</v>
      </c>
      <c r="S2297" s="106">
        <v>28124.732102272726</v>
      </c>
      <c r="T2297" s="106">
        <v>23892.386647727271</v>
      </c>
      <c r="U2297" s="106">
        <v>19037.691477272729</v>
      </c>
      <c r="V2297" s="106">
        <v>0.22112506658068889</v>
      </c>
      <c r="W2297" s="106">
        <v>93424.910969011326</v>
      </c>
      <c r="X2297" s="110">
        <v>0.75279481442839324</v>
      </c>
      <c r="Y2297" s="106">
        <v>275.21807124239797</v>
      </c>
      <c r="Z2297" s="106">
        <v>9.1746307558644666</v>
      </c>
      <c r="AA2297" s="106">
        <v>35683</v>
      </c>
      <c r="AB2297" s="106">
        <v>634.63779452988865</v>
      </c>
      <c r="AC2297" s="106">
        <v>2.8024549505366698</v>
      </c>
      <c r="AD2297" s="106">
        <v>51.835495445763179</v>
      </c>
      <c r="AE2297" s="106">
        <v>56.225772097976574</v>
      </c>
      <c r="AF2297" s="106">
        <v>0.139265936626432</v>
      </c>
      <c r="AG2297" s="106">
        <v>3966</v>
      </c>
      <c r="AH2297" s="106">
        <v>27745.423863636363</v>
      </c>
      <c r="AI2297" s="106">
        <v>27947.211931818183</v>
      </c>
      <c r="AJ2297" s="106">
        <v>28264.58806818182</v>
      </c>
      <c r="AK2297" s="104">
        <v>19544.430681818183</v>
      </c>
      <c r="AL2297" s="119">
        <v>67538706</v>
      </c>
      <c r="AM2297" s="118">
        <v>7696</v>
      </c>
      <c r="AN2297" s="118">
        <v>105592</v>
      </c>
      <c r="AO2297" s="118">
        <v>644</v>
      </c>
      <c r="AP2297" s="118">
        <f t="shared" si="35"/>
        <v>245</v>
      </c>
    </row>
    <row r="2298" spans="1:42" ht="12.75">
      <c r="A2298" s="106">
        <v>2018</v>
      </c>
      <c r="B2298" s="106">
        <v>-229780</v>
      </c>
      <c r="C2298" s="106">
        <v>0</v>
      </c>
      <c r="D2298" s="106">
        <v>229780</v>
      </c>
      <c r="E2298" s="106" t="s">
        <v>3470</v>
      </c>
      <c r="F2298" s="106" t="s">
        <v>3471</v>
      </c>
      <c r="G2298" s="106" t="s">
        <v>60</v>
      </c>
      <c r="H2298" s="106">
        <v>6</v>
      </c>
      <c r="I2298" s="106" t="s">
        <v>3640</v>
      </c>
      <c r="J2298" s="106">
        <v>15800</v>
      </c>
      <c r="K2298" s="106">
        <v>21593</v>
      </c>
      <c r="L2298" s="106">
        <v>19310</v>
      </c>
      <c r="M2298" s="106">
        <v>0.54</v>
      </c>
      <c r="N2298" s="106">
        <v>0.75</v>
      </c>
      <c r="O2298" s="106">
        <v>0.85</v>
      </c>
      <c r="P2298" s="106">
        <v>4719</v>
      </c>
      <c r="Q2298" s="106">
        <v>1695.1994032819493</v>
      </c>
      <c r="R2298" s="106">
        <v>0.14228560521924438</v>
      </c>
      <c r="S2298" s="106">
        <v>13494.961213326704</v>
      </c>
      <c r="T2298" s="106">
        <v>14967.657881650919</v>
      </c>
      <c r="U2298" s="106">
        <v>13416.648319386693</v>
      </c>
      <c r="V2298" s="106">
        <v>0.76165533425753362</v>
      </c>
      <c r="W2298" s="106">
        <v>57738.909090909088</v>
      </c>
      <c r="X2298" s="110">
        <v>0.56971690327827673</v>
      </c>
      <c r="Y2298" s="106">
        <v>453.48947368421057</v>
      </c>
      <c r="Z2298" s="106">
        <v>15.876315789473685</v>
      </c>
      <c r="AA2298" s="106">
        <v>34769.174961709592</v>
      </c>
      <c r="AB2298" s="106">
        <v>469.70648254389891</v>
      </c>
      <c r="AC2298" s="106">
        <v>2.8761108110884845</v>
      </c>
      <c r="AD2298" s="106">
        <v>61.102362204724415</v>
      </c>
      <c r="AE2298" s="106">
        <v>74.023195876288653</v>
      </c>
      <c r="AF2298" s="106">
        <v>1.2104735093107651E-3</v>
      </c>
      <c r="AG2298" s="106">
        <v>14520</v>
      </c>
      <c r="AH2298" s="106">
        <v>12641.53729487817</v>
      </c>
      <c r="AI2298" s="106">
        <v>13684.099453008454</v>
      </c>
      <c r="AJ2298" s="106">
        <v>15006.209845847838</v>
      </c>
      <c r="AK2298" s="104">
        <v>13538.940576827448</v>
      </c>
      <c r="AL2298" s="118"/>
      <c r="AM2298" s="118">
        <v>3561</v>
      </c>
      <c r="AN2298" s="118">
        <v>114884</v>
      </c>
      <c r="AO2298" s="118">
        <v>1118</v>
      </c>
      <c r="AP2298" s="118">
        <f t="shared" si="35"/>
        <v>1280</v>
      </c>
    </row>
    <row r="2299" spans="1:42" ht="12.75">
      <c r="A2299" s="106">
        <v>2018</v>
      </c>
      <c r="B2299" s="106">
        <v>-199892</v>
      </c>
      <c r="C2299" s="106">
        <v>0</v>
      </c>
      <c r="D2299" s="106">
        <v>199892</v>
      </c>
      <c r="E2299" s="106" t="s">
        <v>3472</v>
      </c>
      <c r="F2299" s="106" t="s">
        <v>3473</v>
      </c>
      <c r="G2299" s="106" t="s">
        <v>90</v>
      </c>
      <c r="H2299" s="106">
        <v>4</v>
      </c>
      <c r="I2299" s="106" t="s">
        <v>24</v>
      </c>
      <c r="J2299" s="106">
        <v>2524</v>
      </c>
      <c r="K2299" s="106">
        <v>5701</v>
      </c>
      <c r="L2299" s="106">
        <v>2432</v>
      </c>
      <c r="M2299" s="106">
        <v>0.55000000000000004</v>
      </c>
      <c r="N2299" s="106">
        <v>0.02</v>
      </c>
      <c r="O2299" s="106">
        <v>0.18</v>
      </c>
      <c r="P2299" s="106">
        <v>698</v>
      </c>
      <c r="Q2299" s="106">
        <v>179.42570609905854</v>
      </c>
      <c r="R2299" s="106">
        <v>8.1510670804274862E-2</v>
      </c>
      <c r="S2299" s="106">
        <v>13249.164142447809</v>
      </c>
      <c r="T2299" s="106">
        <v>14957.037249283667</v>
      </c>
      <c r="U2299" s="106">
        <v>11669.663267911305</v>
      </c>
      <c r="V2299" s="106">
        <v>0.17325508398528891</v>
      </c>
      <c r="W2299" s="106">
        <v>52947.961569910054</v>
      </c>
      <c r="X2299" s="110">
        <v>0.59072507360555304</v>
      </c>
      <c r="Y2299" s="106">
        <v>456.22406639004151</v>
      </c>
      <c r="Z2299" s="106">
        <v>15.20539419087137</v>
      </c>
      <c r="AA2299" s="106">
        <v>19446.78537756297</v>
      </c>
      <c r="AB2299" s="106">
        <v>388.93570755125944</v>
      </c>
      <c r="AC2299" s="106">
        <v>5.1422380644657366</v>
      </c>
      <c r="AD2299" s="106">
        <v>72.074729596853487</v>
      </c>
      <c r="AE2299" s="106">
        <v>50</v>
      </c>
      <c r="AF2299" s="106">
        <v>-5.5012275593339113E-2</v>
      </c>
      <c r="AG2299" s="106">
        <v>2432</v>
      </c>
      <c r="AH2299" s="106">
        <v>11747.224723700368</v>
      </c>
      <c r="AI2299" s="106">
        <v>11924.967662709783</v>
      </c>
      <c r="AJ2299" s="106">
        <v>13278.898076135898</v>
      </c>
      <c r="AK2299" s="104">
        <v>13325.791240278346</v>
      </c>
      <c r="AL2299" s="118">
        <v>21226996</v>
      </c>
      <c r="AM2299" s="118">
        <v>3426</v>
      </c>
      <c r="AN2299" s="118">
        <v>73300</v>
      </c>
      <c r="AO2299" s="118">
        <v>643</v>
      </c>
      <c r="AP2299" s="118">
        <f t="shared" si="35"/>
        <v>92</v>
      </c>
    </row>
    <row r="2300" spans="1:42" ht="12.75">
      <c r="A2300" s="106">
        <v>2018</v>
      </c>
      <c r="B2300" s="106">
        <v>-172635</v>
      </c>
      <c r="C2300" s="106">
        <v>0</v>
      </c>
      <c r="D2300" s="106">
        <v>172635</v>
      </c>
      <c r="E2300" s="106" t="s">
        <v>3474</v>
      </c>
      <c r="F2300" s="106" t="s">
        <v>1901</v>
      </c>
      <c r="G2300" s="106" t="s">
        <v>74</v>
      </c>
      <c r="H2300" s="106">
        <v>4</v>
      </c>
      <c r="I2300" s="106" t="s">
        <v>24</v>
      </c>
      <c r="J2300" s="106">
        <v>2838</v>
      </c>
      <c r="K2300" s="106">
        <v>4939</v>
      </c>
      <c r="L2300" s="106">
        <v>4696</v>
      </c>
      <c r="M2300" s="106">
        <v>0.77</v>
      </c>
      <c r="N2300" s="106">
        <v>0.25</v>
      </c>
      <c r="O2300" s="106">
        <v>0.01</v>
      </c>
      <c r="P2300" s="106">
        <v>1485</v>
      </c>
      <c r="Q2300" s="106">
        <v>487.37300649734198</v>
      </c>
      <c r="R2300" s="106">
        <v>0.10876014639183125</v>
      </c>
      <c r="S2300" s="106">
        <v>21416.331955109272</v>
      </c>
      <c r="T2300" s="106">
        <v>21204.647814530421</v>
      </c>
      <c r="U2300" s="106">
        <v>18159.548281677864</v>
      </c>
      <c r="V2300" s="106">
        <v>0.21992836505534533</v>
      </c>
      <c r="W2300" s="106">
        <v>98448.062585034015</v>
      </c>
      <c r="X2300" s="110">
        <v>0.50390248462938603</v>
      </c>
      <c r="Y2300" s="106">
        <v>730.8129496402878</v>
      </c>
      <c r="Z2300" s="106">
        <v>24.359712230215827</v>
      </c>
      <c r="AA2300" s="106">
        <v>64318.232721507578</v>
      </c>
      <c r="AB2300" s="106">
        <v>605.30039949362833</v>
      </c>
      <c r="AC2300" s="106">
        <v>1.5547690875306137</v>
      </c>
      <c r="AD2300" s="106">
        <v>30.152972717237031</v>
      </c>
      <c r="AE2300" s="106">
        <v>106.25836820083683</v>
      </c>
      <c r="AF2300" s="106">
        <v>1.3287647975577924E-2</v>
      </c>
      <c r="AG2300" s="106">
        <v>2570</v>
      </c>
      <c r="AH2300" s="106">
        <v>19461.055375073833</v>
      </c>
      <c r="AI2300" s="106">
        <v>19491.419816893089</v>
      </c>
      <c r="AJ2300" s="106">
        <v>21675.646042528057</v>
      </c>
      <c r="AK2300" s="104">
        <v>21204.647814530421</v>
      </c>
      <c r="AL2300" s="118">
        <v>97146833</v>
      </c>
      <c r="AM2300" s="118">
        <v>14806</v>
      </c>
      <c r="AN2300" s="118">
        <v>203166</v>
      </c>
      <c r="AO2300" s="118">
        <v>1591</v>
      </c>
      <c r="AP2300" s="118">
        <f t="shared" si="35"/>
        <v>268</v>
      </c>
    </row>
    <row r="2301" spans="1:42" ht="12.75">
      <c r="A2301" s="106">
        <v>2018</v>
      </c>
      <c r="B2301" s="106">
        <v>-181783</v>
      </c>
      <c r="C2301" s="106">
        <v>0</v>
      </c>
      <c r="D2301" s="106">
        <v>181783</v>
      </c>
      <c r="E2301" s="106" t="s">
        <v>3475</v>
      </c>
      <c r="F2301" s="106" t="s">
        <v>3476</v>
      </c>
      <c r="G2301" s="106" t="s">
        <v>323</v>
      </c>
      <c r="H2301" s="106">
        <v>2</v>
      </c>
      <c r="I2301" s="106" t="s">
        <v>25</v>
      </c>
      <c r="J2301" s="106">
        <v>6824</v>
      </c>
      <c r="K2301" s="106">
        <v>13193</v>
      </c>
      <c r="L2301" s="106">
        <v>9992</v>
      </c>
      <c r="M2301" s="106">
        <v>0.37</v>
      </c>
      <c r="N2301" s="106">
        <v>0.66</v>
      </c>
      <c r="O2301" s="106">
        <v>0.42</v>
      </c>
      <c r="P2301" s="106">
        <v>2334</v>
      </c>
      <c r="Q2301" s="106">
        <v>1027.7811188811188</v>
      </c>
      <c r="R2301" s="106">
        <v>0.15879431765130048</v>
      </c>
      <c r="S2301" s="106">
        <v>17421.501748251747</v>
      </c>
      <c r="T2301" s="106">
        <v>17659.55174825175</v>
      </c>
      <c r="U2301" s="106">
        <v>14296.225928223128</v>
      </c>
      <c r="V2301" s="106">
        <v>0.38084343403353632</v>
      </c>
      <c r="W2301" s="106">
        <v>76235.804837364471</v>
      </c>
      <c r="X2301" s="110">
        <v>0.60326927811288877</v>
      </c>
      <c r="Y2301" s="106">
        <v>569.31136363636369</v>
      </c>
      <c r="Z2301" s="106">
        <v>19.5</v>
      </c>
      <c r="AA2301" s="106">
        <v>54589.060286673091</v>
      </c>
      <c r="AB2301" s="106">
        <v>489.67300392481519</v>
      </c>
      <c r="AC2301" s="106">
        <v>1.8318688666713163</v>
      </c>
      <c r="AD2301" s="106">
        <v>26.513274336283189</v>
      </c>
      <c r="AE2301" s="106">
        <v>111.48064085447263</v>
      </c>
      <c r="AF2301" s="106">
        <v>0.10923298529524603</v>
      </c>
      <c r="AG2301" s="106">
        <v>5160</v>
      </c>
      <c r="AH2301" s="106">
        <v>17092.713636363635</v>
      </c>
      <c r="AI2301" s="106">
        <v>17092.713636363635</v>
      </c>
      <c r="AJ2301" s="106">
        <v>17657.373776223776</v>
      </c>
      <c r="AK2301" s="104">
        <v>14961.187412587413</v>
      </c>
      <c r="AL2301" s="118">
        <v>21768589</v>
      </c>
      <c r="AM2301" s="118">
        <v>2757</v>
      </c>
      <c r="AN2301" s="118">
        <v>83499</v>
      </c>
      <c r="AO2301" s="118">
        <v>562</v>
      </c>
      <c r="AP2301" s="118">
        <f t="shared" si="35"/>
        <v>1664</v>
      </c>
    </row>
    <row r="2302" spans="1:42" ht="12.75">
      <c r="A2302" s="106">
        <v>2018</v>
      </c>
      <c r="B2302" s="106">
        <v>-172644</v>
      </c>
      <c r="C2302" s="106">
        <v>0</v>
      </c>
      <c r="D2302" s="106">
        <v>172644</v>
      </c>
      <c r="E2302" s="106" t="s">
        <v>3477</v>
      </c>
      <c r="F2302" s="106" t="s">
        <v>1901</v>
      </c>
      <c r="G2302" s="106" t="s">
        <v>74</v>
      </c>
      <c r="H2302" s="106">
        <v>1</v>
      </c>
      <c r="I2302" s="106" t="s">
        <v>23</v>
      </c>
      <c r="J2302" s="106">
        <v>13776</v>
      </c>
      <c r="K2302" s="106">
        <v>14366</v>
      </c>
      <c r="L2302" s="106">
        <v>11607</v>
      </c>
      <c r="M2302" s="106">
        <v>0.49</v>
      </c>
      <c r="N2302" s="106">
        <v>0.49</v>
      </c>
      <c r="O2302" s="106">
        <v>0.85</v>
      </c>
      <c r="P2302" s="106">
        <v>6562</v>
      </c>
      <c r="Q2302" s="106">
        <v>3535.4299520735135</v>
      </c>
      <c r="R2302" s="106">
        <v>0.22667858566824711</v>
      </c>
      <c r="S2302" s="106">
        <v>34773.319602328993</v>
      </c>
      <c r="T2302" s="106">
        <v>34647.364043252666</v>
      </c>
      <c r="U2302" s="106">
        <v>18950.441813752921</v>
      </c>
      <c r="V2302" s="106">
        <v>0.63646194198303063</v>
      </c>
      <c r="W2302" s="106">
        <v>101733.21201091901</v>
      </c>
      <c r="X2302" s="110">
        <v>0.63907300666939504</v>
      </c>
      <c r="Y2302" s="106">
        <v>204.73117884686008</v>
      </c>
      <c r="Z2302" s="106">
        <v>9.2717590892398096</v>
      </c>
      <c r="AA2302" s="106">
        <v>71398.568045339503</v>
      </c>
      <c r="AB2302" s="106">
        <v>858.21774739645878</v>
      </c>
      <c r="AC2302" s="106">
        <v>1.4005883134308523</v>
      </c>
      <c r="AD2302" s="106">
        <v>30.91722801513334</v>
      </c>
      <c r="AE2302" s="106">
        <v>83.194000895388754</v>
      </c>
      <c r="AF2302" s="106">
        <v>1.1471477576682602E-2</v>
      </c>
      <c r="AG2302" s="106">
        <v>12264</v>
      </c>
      <c r="AH2302" s="106">
        <v>33258.129678773716</v>
      </c>
      <c r="AI2302" s="106">
        <v>34356.319562720324</v>
      </c>
      <c r="AJ2302" s="106">
        <v>34906.681982017668</v>
      </c>
      <c r="AK2302" s="104">
        <v>33071.889729472809</v>
      </c>
      <c r="AL2302" s="119">
        <v>199170000</v>
      </c>
      <c r="AM2302" s="118">
        <v>17297</v>
      </c>
      <c r="AN2302" s="118">
        <v>557483</v>
      </c>
      <c r="AO2302" s="118">
        <v>3384</v>
      </c>
      <c r="AP2302" s="118">
        <f t="shared" si="35"/>
        <v>1512</v>
      </c>
    </row>
    <row r="2303" spans="1:42" ht="12.75">
      <c r="A2303" s="106">
        <v>2018</v>
      </c>
      <c r="B2303" s="106">
        <v>-216694</v>
      </c>
      <c r="C2303" s="106">
        <v>0</v>
      </c>
      <c r="D2303" s="106">
        <v>216694</v>
      </c>
      <c r="E2303" s="106" t="s">
        <v>3478</v>
      </c>
      <c r="F2303" s="106" t="s">
        <v>3479</v>
      </c>
      <c r="G2303" s="106" t="s">
        <v>104</v>
      </c>
      <c r="H2303" s="106">
        <v>6</v>
      </c>
      <c r="I2303" s="106" t="s">
        <v>3640</v>
      </c>
      <c r="J2303" s="106">
        <v>24010</v>
      </c>
      <c r="K2303" s="106">
        <v>19084</v>
      </c>
      <c r="L2303" s="106">
        <v>15185</v>
      </c>
      <c r="M2303" s="106">
        <v>0.39</v>
      </c>
      <c r="N2303" s="106">
        <v>0.82</v>
      </c>
      <c r="O2303" s="106">
        <v>1</v>
      </c>
      <c r="P2303" s="106">
        <v>12051</v>
      </c>
      <c r="Q2303" s="106">
        <v>8308.8137313432835</v>
      </c>
      <c r="R2303" s="106">
        <v>0.40508661229618526</v>
      </c>
      <c r="S2303" s="106">
        <v>21992.742686567166</v>
      </c>
      <c r="T2303" s="106">
        <v>24221.75343283582</v>
      </c>
      <c r="U2303" s="106">
        <v>20268.302686567164</v>
      </c>
      <c r="V2303" s="106">
        <v>0.60204297530145368</v>
      </c>
      <c r="W2303" s="106">
        <v>70210.395127118638</v>
      </c>
      <c r="X2303" s="110">
        <v>0.5445424819436393</v>
      </c>
      <c r="Y2303" s="106">
        <v>391.96438356164384</v>
      </c>
      <c r="Z2303" s="106">
        <v>13.767123287671234</v>
      </c>
      <c r="AA2303" s="106">
        <v>82803.431707317068</v>
      </c>
      <c r="AB2303" s="106">
        <v>711.89177797815012</v>
      </c>
      <c r="AC2303" s="106">
        <v>1.2076794154313211</v>
      </c>
      <c r="AD2303" s="106">
        <v>26.657997399219767</v>
      </c>
      <c r="AE2303" s="106">
        <v>116.31463414634146</v>
      </c>
      <c r="AF2303" s="106">
        <v>-1.8771923819731692E-2</v>
      </c>
      <c r="AG2303" s="106">
        <v>23160</v>
      </c>
      <c r="AH2303" s="106">
        <v>19615.807761194032</v>
      </c>
      <c r="AI2303" s="106">
        <v>22078.90985074627</v>
      </c>
      <c r="AJ2303" s="106">
        <v>23639.918208955223</v>
      </c>
      <c r="AK2303" s="104">
        <v>20268.302686567164</v>
      </c>
      <c r="AL2303" s="118"/>
      <c r="AM2303" s="118">
        <v>1376</v>
      </c>
      <c r="AN2303" s="118">
        <v>47689</v>
      </c>
      <c r="AO2303" s="118">
        <v>270</v>
      </c>
      <c r="AP2303" s="118">
        <f t="shared" si="35"/>
        <v>850</v>
      </c>
    </row>
    <row r="2304" spans="1:42" ht="12.75">
      <c r="A2304" s="106">
        <v>2018</v>
      </c>
      <c r="B2304" s="106">
        <v>-229799</v>
      </c>
      <c r="C2304" s="106">
        <v>0</v>
      </c>
      <c r="D2304" s="106">
        <v>229799</v>
      </c>
      <c r="E2304" s="106" t="s">
        <v>3480</v>
      </c>
      <c r="F2304" s="106" t="s">
        <v>2894</v>
      </c>
      <c r="G2304" s="106" t="s">
        <v>60</v>
      </c>
      <c r="H2304" s="106">
        <v>4</v>
      </c>
      <c r="I2304" s="106" t="s">
        <v>24</v>
      </c>
      <c r="J2304" s="106">
        <v>2440</v>
      </c>
      <c r="K2304" s="106">
        <v>6016</v>
      </c>
      <c r="L2304" s="106">
        <v>5543</v>
      </c>
      <c r="M2304" s="106">
        <v>0.37</v>
      </c>
      <c r="N2304" s="106">
        <v>0.22</v>
      </c>
      <c r="O2304" s="106">
        <v>0.15</v>
      </c>
      <c r="P2304" s="106">
        <v>3798</v>
      </c>
      <c r="Q2304" s="106">
        <v>408.15619735258724</v>
      </c>
      <c r="R2304" s="106">
        <v>0.13378700298839455</v>
      </c>
      <c r="S2304" s="106">
        <v>13426.496510228641</v>
      </c>
      <c r="T2304" s="106">
        <v>10567.666907340554</v>
      </c>
      <c r="U2304" s="106">
        <v>8891.114229720748</v>
      </c>
      <c r="V2304" s="106">
        <v>0.29722201621028976</v>
      </c>
      <c r="W2304" s="106">
        <v>62200.706896551725</v>
      </c>
      <c r="X2304" s="110">
        <v>0.57513687050680851</v>
      </c>
      <c r="Y2304" s="106">
        <v>602.17391304347825</v>
      </c>
      <c r="Z2304" s="106">
        <v>20.072463768115941</v>
      </c>
      <c r="AA2304" s="106">
        <v>36685.779170297625</v>
      </c>
      <c r="AB2304" s="106">
        <v>296.37047432402494</v>
      </c>
      <c r="AC2304" s="106">
        <v>2.7258518767120608</v>
      </c>
      <c r="AD2304" s="106">
        <v>27.649643053267436</v>
      </c>
      <c r="AE2304" s="106">
        <v>123.78351539225422</v>
      </c>
      <c r="AF2304" s="106">
        <v>0.21232626756962589</v>
      </c>
      <c r="AG2304" s="106">
        <v>2440</v>
      </c>
      <c r="AH2304" s="106">
        <v>12530.451504211793</v>
      </c>
      <c r="AI2304" s="106">
        <v>12542.971119133574</v>
      </c>
      <c r="AJ2304" s="106">
        <v>13454.080625752105</v>
      </c>
      <c r="AK2304" s="104">
        <v>9838.6522262334529</v>
      </c>
      <c r="AL2304" s="118">
        <v>25310233</v>
      </c>
      <c r="AM2304" s="118">
        <v>6357</v>
      </c>
      <c r="AN2304" s="118">
        <v>124650</v>
      </c>
      <c r="AO2304" s="118">
        <v>717</v>
      </c>
      <c r="AP2304" s="118">
        <f t="shared" si="35"/>
        <v>0</v>
      </c>
    </row>
    <row r="2305" spans="1:42" ht="12.75">
      <c r="A2305" s="106">
        <v>2018</v>
      </c>
      <c r="B2305" s="106">
        <v>-138293</v>
      </c>
      <c r="C2305" s="106">
        <v>0</v>
      </c>
      <c r="D2305" s="106">
        <v>138293</v>
      </c>
      <c r="E2305" s="106" t="s">
        <v>3481</v>
      </c>
      <c r="F2305" s="106" t="s">
        <v>3482</v>
      </c>
      <c r="G2305" s="106" t="s">
        <v>258</v>
      </c>
      <c r="H2305" s="106">
        <v>7</v>
      </c>
      <c r="I2305" s="106" t="s">
        <v>3641</v>
      </c>
      <c r="J2305" s="106">
        <v>25358</v>
      </c>
      <c r="K2305" s="106">
        <v>24323</v>
      </c>
      <c r="L2305" s="106">
        <v>20813</v>
      </c>
      <c r="M2305" s="106">
        <v>0.54</v>
      </c>
      <c r="N2305" s="106">
        <v>0.76</v>
      </c>
      <c r="O2305" s="106">
        <v>0.98</v>
      </c>
      <c r="P2305" s="106">
        <v>9622</v>
      </c>
      <c r="Q2305" s="107">
        <v>10437.248037676609</v>
      </c>
      <c r="R2305" s="106">
        <v>0.81094758324940519</v>
      </c>
      <c r="S2305" s="106">
        <v>20936.839874411304</v>
      </c>
      <c r="T2305" s="106">
        <v>19725.07535321821</v>
      </c>
      <c r="U2305" s="106">
        <v>16438.621664050235</v>
      </c>
      <c r="V2305" s="106">
        <v>0.14801647382079305</v>
      </c>
      <c r="W2305" s="106">
        <v>45910.599369085168</v>
      </c>
      <c r="X2305" s="110">
        <v>0.38609383477254405</v>
      </c>
      <c r="Y2305" s="106">
        <v>940.3</v>
      </c>
      <c r="Z2305" s="106">
        <v>31.85</v>
      </c>
      <c r="AA2305" s="106">
        <v>71721.931506849316</v>
      </c>
      <c r="AB2305" s="106">
        <v>556.81176220355201</v>
      </c>
      <c r="AC2305" s="106">
        <v>1.3942736607762742</v>
      </c>
      <c r="AD2305" s="106">
        <v>22.358346094946402</v>
      </c>
      <c r="AE2305" s="106">
        <v>128.8082191780822</v>
      </c>
      <c r="AF2305" s="106">
        <v>0.15046459643883592</v>
      </c>
      <c r="AG2305" s="106">
        <v>22770</v>
      </c>
      <c r="AH2305" s="106">
        <v>8671.4992150706439</v>
      </c>
      <c r="AI2305" s="106">
        <v>10985.871271585558</v>
      </c>
      <c r="AJ2305" s="106">
        <v>21369.95290423862</v>
      </c>
      <c r="AK2305" s="104">
        <v>16438.621664050235</v>
      </c>
      <c r="AL2305" s="118"/>
      <c r="AM2305" s="118">
        <v>626</v>
      </c>
      <c r="AN2305" s="118">
        <v>18806</v>
      </c>
      <c r="AO2305" s="118">
        <v>127</v>
      </c>
      <c r="AP2305" s="118">
        <f t="shared" si="35"/>
        <v>2588</v>
      </c>
    </row>
    <row r="2306" spans="1:42" ht="12.75">
      <c r="A2306" s="106">
        <v>2018</v>
      </c>
      <c r="B2306" s="106">
        <v>-230782</v>
      </c>
      <c r="C2306" s="106">
        <v>0</v>
      </c>
      <c r="D2306" s="106">
        <v>230782</v>
      </c>
      <c r="E2306" s="106" t="s">
        <v>3483</v>
      </c>
      <c r="F2306" s="106" t="s">
        <v>3484</v>
      </c>
      <c r="G2306" s="106" t="s">
        <v>458</v>
      </c>
      <c r="H2306" s="106">
        <v>2</v>
      </c>
      <c r="I2306" s="106" t="s">
        <v>25</v>
      </c>
      <c r="J2306" s="106">
        <v>5712</v>
      </c>
      <c r="K2306" s="106">
        <v>10951</v>
      </c>
      <c r="L2306" s="106">
        <v>9992</v>
      </c>
      <c r="M2306" s="106">
        <v>0.37</v>
      </c>
      <c r="N2306" s="106">
        <v>0.25</v>
      </c>
      <c r="O2306" s="106">
        <v>0.63</v>
      </c>
      <c r="P2306" s="106">
        <v>3550</v>
      </c>
      <c r="Q2306" s="106">
        <v>1285.5768735657916</v>
      </c>
      <c r="R2306" s="106">
        <v>0.19033491115718931</v>
      </c>
      <c r="S2306" s="106">
        <v>13439.486987183074</v>
      </c>
      <c r="T2306" s="106">
        <v>13561.050540101864</v>
      </c>
      <c r="U2306" s="106">
        <v>10743.951781569467</v>
      </c>
      <c r="V2306" s="106">
        <v>0.50900372511394332</v>
      </c>
      <c r="W2306" s="106">
        <v>91811.337236998806</v>
      </c>
      <c r="X2306" s="110">
        <v>0.63633857265652993</v>
      </c>
      <c r="Y2306" s="106">
        <v>749.26585251291692</v>
      </c>
      <c r="Z2306" s="106">
        <v>25.176608736496007</v>
      </c>
      <c r="AA2306" s="106">
        <v>35680.703806933394</v>
      </c>
      <c r="AB2306" s="106">
        <v>361.01507813435353</v>
      </c>
      <c r="AC2306" s="106">
        <v>2.8026352994911559</v>
      </c>
      <c r="AD2306" s="106">
        <v>29.536096623661816</v>
      </c>
      <c r="AE2306" s="106">
        <v>98.834386617100378</v>
      </c>
      <c r="AF2306" s="106">
        <v>4.8270499665633397E-2</v>
      </c>
      <c r="AG2306" s="106">
        <v>4773</v>
      </c>
      <c r="AH2306" s="106">
        <v>12105.986847260312</v>
      </c>
      <c r="AI2306" s="106">
        <v>12645.125930486371</v>
      </c>
      <c r="AJ2306" s="106">
        <v>14071.44008507304</v>
      </c>
      <c r="AK2306" s="104">
        <v>11932.553534448984</v>
      </c>
      <c r="AL2306" s="118">
        <v>84970900</v>
      </c>
      <c r="AM2306" s="118">
        <v>27111</v>
      </c>
      <c r="AN2306" s="118">
        <v>531729</v>
      </c>
      <c r="AO2306" s="118">
        <v>4887</v>
      </c>
      <c r="AP2306" s="118">
        <f t="shared" si="35"/>
        <v>939</v>
      </c>
    </row>
    <row r="2307" spans="1:42" ht="12.75">
      <c r="A2307" s="106">
        <v>2018</v>
      </c>
      <c r="B2307" s="106">
        <v>-179894</v>
      </c>
      <c r="C2307" s="106">
        <v>0</v>
      </c>
      <c r="D2307" s="106">
        <v>179894</v>
      </c>
      <c r="E2307" s="106" t="s">
        <v>3485</v>
      </c>
      <c r="F2307" s="106" t="s">
        <v>1259</v>
      </c>
      <c r="G2307" s="106" t="s">
        <v>264</v>
      </c>
      <c r="H2307" s="106">
        <v>6</v>
      </c>
      <c r="I2307" s="106" t="s">
        <v>3640</v>
      </c>
      <c r="J2307" s="106">
        <v>27100</v>
      </c>
      <c r="K2307" s="106">
        <v>22727</v>
      </c>
      <c r="L2307" s="106">
        <v>18413</v>
      </c>
      <c r="M2307" s="106">
        <v>0.41</v>
      </c>
      <c r="N2307" s="106">
        <v>0.68</v>
      </c>
      <c r="O2307" s="106">
        <v>0.97</v>
      </c>
      <c r="P2307" s="106">
        <v>16879</v>
      </c>
      <c r="Q2307" s="106">
        <v>4150.5657176060431</v>
      </c>
      <c r="R2307" s="106">
        <v>0.19885870607643394</v>
      </c>
      <c r="S2307" s="106">
        <v>19175.713190005812</v>
      </c>
      <c r="T2307" s="106">
        <v>21945.140848343985</v>
      </c>
      <c r="U2307" s="106">
        <v>20203.41081713144</v>
      </c>
      <c r="V2307" s="106">
        <v>0.82765074060889698</v>
      </c>
      <c r="W2307" s="106">
        <v>87809.108742579599</v>
      </c>
      <c r="X2307" s="110">
        <v>0.57442652002706429</v>
      </c>
      <c r="Y2307" s="106">
        <v>381.03760683760686</v>
      </c>
      <c r="Z2307" s="106">
        <v>14.709401709401709</v>
      </c>
      <c r="AA2307" s="106">
        <v>34804.874891174382</v>
      </c>
      <c r="AB2307" s="106">
        <v>779.9232418964682</v>
      </c>
      <c r="AC2307" s="106">
        <v>2.8731607371861987</v>
      </c>
      <c r="AD2307" s="106">
        <v>66.449381402155112</v>
      </c>
      <c r="AE2307" s="106">
        <v>44.626026026026025</v>
      </c>
      <c r="AF2307" s="106">
        <v>-5.7075207427785282E-2</v>
      </c>
      <c r="AG2307" s="106">
        <v>26900</v>
      </c>
      <c r="AH2307" s="106">
        <v>18832.21243463103</v>
      </c>
      <c r="AI2307" s="106">
        <v>19175.713190005812</v>
      </c>
      <c r="AJ2307" s="106">
        <v>20548.992911098198</v>
      </c>
      <c r="AK2307" s="104">
        <v>20502.370830912259</v>
      </c>
      <c r="AL2307" s="118"/>
      <c r="AM2307" s="118">
        <v>3074</v>
      </c>
      <c r="AN2307" s="118">
        <v>222907</v>
      </c>
      <c r="AO2307" s="118">
        <v>709</v>
      </c>
      <c r="AP2307" s="118">
        <f t="shared" si="35"/>
        <v>200</v>
      </c>
    </row>
    <row r="2308" spans="1:42">
      <c r="A2308" s="106">
        <v>2018</v>
      </c>
      <c r="B2308" s="106">
        <v>-220206</v>
      </c>
      <c r="C2308" s="106">
        <v>0</v>
      </c>
      <c r="D2308" s="106">
        <v>220206</v>
      </c>
      <c r="E2308" s="106" t="s">
        <v>3486</v>
      </c>
      <c r="F2308" s="106" t="s">
        <v>3429</v>
      </c>
      <c r="G2308" s="106" t="s">
        <v>255</v>
      </c>
      <c r="H2308" s="106">
        <v>7</v>
      </c>
      <c r="I2308" s="106" t="s">
        <v>3641</v>
      </c>
      <c r="J2308" s="106">
        <v>18498</v>
      </c>
      <c r="K2308" s="107">
        <v>22118</v>
      </c>
      <c r="L2308" s="107">
        <v>21277</v>
      </c>
      <c r="M2308" s="107">
        <v>0.4</v>
      </c>
      <c r="N2308" s="107">
        <v>0.5</v>
      </c>
      <c r="O2308" s="107">
        <v>0.89</v>
      </c>
      <c r="P2308" s="107">
        <v>7776</v>
      </c>
      <c r="Q2308" s="107">
        <v>5504.7631578947367</v>
      </c>
      <c r="R2308" s="107">
        <v>0.36250944481800096</v>
      </c>
      <c r="S2308" s="107">
        <v>33050.76315789474</v>
      </c>
      <c r="T2308" s="107">
        <v>29122.270676691729</v>
      </c>
      <c r="U2308" s="107">
        <v>19333.372180451126</v>
      </c>
      <c r="V2308" s="107">
        <v>0.50070906650369063</v>
      </c>
      <c r="W2308" s="107">
        <v>53190.947368421046</v>
      </c>
      <c r="X2308" s="111">
        <v>0.47836113332896146</v>
      </c>
      <c r="Y2308" s="107">
        <v>249.18947368421055</v>
      </c>
      <c r="Z2308" s="107">
        <v>8.4</v>
      </c>
      <c r="AA2308" s="107">
        <v>85711.28333333334</v>
      </c>
      <c r="AB2308" s="107">
        <v>651.71423140286402</v>
      </c>
      <c r="AC2308" s="107">
        <v>1.1667075338388937</v>
      </c>
      <c r="AD2308" s="107">
        <v>21.201413427561839</v>
      </c>
      <c r="AE2308" s="107">
        <v>131.51666666666668</v>
      </c>
      <c r="AF2308" s="106">
        <v>5.9483941752545171E-2</v>
      </c>
      <c r="AG2308" s="107">
        <v>18498</v>
      </c>
      <c r="AH2308" s="107">
        <v>16989.857142857141</v>
      </c>
      <c r="AI2308" s="107">
        <v>33050.76315789474</v>
      </c>
      <c r="AJ2308" s="107">
        <v>34155.804511278198</v>
      </c>
      <c r="AK2308" s="104">
        <v>19333.372180451126</v>
      </c>
      <c r="AM2308" s="118">
        <v>348</v>
      </c>
      <c r="AN2308" s="118">
        <v>7891</v>
      </c>
      <c r="AO2308" s="118">
        <v>56</v>
      </c>
      <c r="AP2308" s="118">
        <f t="shared" si="35"/>
        <v>0</v>
      </c>
    </row>
    <row r="2309" spans="1:42" ht="12.75">
      <c r="A2309" s="106">
        <v>2018</v>
      </c>
      <c r="B2309" s="106">
        <v>-168218</v>
      </c>
      <c r="C2309" s="106">
        <v>0</v>
      </c>
      <c r="D2309" s="106">
        <v>168218</v>
      </c>
      <c r="E2309" s="106" t="s">
        <v>3487</v>
      </c>
      <c r="F2309" s="106" t="s">
        <v>3488</v>
      </c>
      <c r="G2309" s="106" t="s">
        <v>150</v>
      </c>
      <c r="H2309" s="106">
        <v>7</v>
      </c>
      <c r="I2309" s="106" t="s">
        <v>3641</v>
      </c>
      <c r="J2309" s="106">
        <v>51148</v>
      </c>
      <c r="K2309" s="106">
        <v>20826</v>
      </c>
      <c r="L2309" s="106">
        <v>6425</v>
      </c>
      <c r="M2309" s="106">
        <v>0.21</v>
      </c>
      <c r="N2309" s="106">
        <v>0.26</v>
      </c>
      <c r="O2309" s="106">
        <v>0.56000000000000005</v>
      </c>
      <c r="P2309" s="106">
        <v>46248</v>
      </c>
      <c r="Q2309" s="106">
        <v>22968.727005150846</v>
      </c>
      <c r="R2309" s="106">
        <v>0.51208248572740989</v>
      </c>
      <c r="S2309" s="106">
        <v>64909.124356144224</v>
      </c>
      <c r="T2309" s="106">
        <v>88513.980868285507</v>
      </c>
      <c r="U2309" s="106">
        <v>73687.031286061858</v>
      </c>
      <c r="V2309" s="106">
        <v>0.29699719765447263</v>
      </c>
      <c r="W2309" s="106">
        <v>116769.36829558999</v>
      </c>
      <c r="X2309" s="110">
        <v>0.54296058292217586</v>
      </c>
      <c r="Y2309" s="106">
        <v>233.4246183206107</v>
      </c>
      <c r="Z2309" s="106">
        <v>7.7805343511450387</v>
      </c>
      <c r="AA2309" s="106">
        <v>340036.24963585078</v>
      </c>
      <c r="AB2309" s="106">
        <v>2456.1440103444334</v>
      </c>
      <c r="AC2309" s="106">
        <v>0.29408629258525026</v>
      </c>
      <c r="AD2309" s="106">
        <v>24.26864441697569</v>
      </c>
      <c r="AE2309" s="106">
        <v>138.44312393887947</v>
      </c>
      <c r="AF2309" s="106">
        <v>5.9528383898667672E-2</v>
      </c>
      <c r="AG2309" s="106">
        <v>50840</v>
      </c>
      <c r="AH2309" s="106">
        <v>40262.325239146434</v>
      </c>
      <c r="AI2309" s="106">
        <v>65211.184694628406</v>
      </c>
      <c r="AJ2309" s="106">
        <v>140593.81898454746</v>
      </c>
      <c r="AK2309" s="104">
        <v>79997.79249448124</v>
      </c>
      <c r="AM2309" s="118">
        <v>2508</v>
      </c>
      <c r="AN2309" s="118">
        <v>81543</v>
      </c>
      <c r="AO2309" s="118">
        <v>589</v>
      </c>
      <c r="AP2309" s="118">
        <f t="shared" si="35"/>
        <v>308</v>
      </c>
    </row>
    <row r="2310" spans="1:42" ht="12.75">
      <c r="A2310" s="106">
        <v>2018</v>
      </c>
      <c r="B2310" s="106">
        <v>-197230</v>
      </c>
      <c r="C2310" s="106">
        <v>0</v>
      </c>
      <c r="D2310" s="106">
        <v>197230</v>
      </c>
      <c r="E2310" s="106" t="s">
        <v>3489</v>
      </c>
      <c r="F2310" s="106" t="s">
        <v>248</v>
      </c>
      <c r="G2310" s="106" t="s">
        <v>69</v>
      </c>
      <c r="H2310" s="106">
        <v>7</v>
      </c>
      <c r="I2310" s="106" t="s">
        <v>3641</v>
      </c>
      <c r="J2310" s="106">
        <v>39600</v>
      </c>
      <c r="K2310" s="106">
        <v>20997</v>
      </c>
      <c r="L2310" s="106">
        <v>17378</v>
      </c>
      <c r="M2310" s="106">
        <v>0.63</v>
      </c>
      <c r="N2310" s="106">
        <v>0.87</v>
      </c>
      <c r="O2310" s="106">
        <v>1</v>
      </c>
      <c r="P2310" s="106">
        <v>28476</v>
      </c>
      <c r="Q2310" s="106">
        <v>28526.470982142859</v>
      </c>
      <c r="R2310" s="106">
        <v>0.70042966737115975</v>
      </c>
      <c r="S2310" s="106">
        <v>54887.520089285717</v>
      </c>
      <c r="T2310" s="106">
        <v>52300.457589285717</v>
      </c>
      <c r="U2310" s="106">
        <v>37867.799107142855</v>
      </c>
      <c r="V2310" s="106">
        <v>0.32219014529754419</v>
      </c>
      <c r="W2310" s="106">
        <v>60822.595330739299</v>
      </c>
      <c r="X2310" s="110">
        <v>0.44475752973514771</v>
      </c>
      <c r="Y2310" s="106">
        <v>286.04255319148939</v>
      </c>
      <c r="Z2310" s="106">
        <v>9.5319148936170208</v>
      </c>
      <c r="AA2310" s="106">
        <v>150130.74336283185</v>
      </c>
      <c r="AB2310" s="106">
        <v>1261.8844094019637</v>
      </c>
      <c r="AC2310" s="106">
        <v>0.6660860910967632</v>
      </c>
      <c r="AD2310" s="106">
        <v>23.347107438016529</v>
      </c>
      <c r="AE2310" s="106">
        <v>118.97345132743362</v>
      </c>
      <c r="AF2310" s="106">
        <v>2.797535489523106E-2</v>
      </c>
      <c r="AG2310" s="106">
        <v>38100</v>
      </c>
      <c r="AH2310" s="106">
        <v>38783.064732142855</v>
      </c>
      <c r="AI2310" s="106">
        <v>53256.100446428572</v>
      </c>
      <c r="AJ2310" s="106">
        <v>56274.754464285717</v>
      </c>
      <c r="AK2310" s="104">
        <v>37867.799107142855</v>
      </c>
      <c r="AM2310" s="118">
        <v>488</v>
      </c>
      <c r="AN2310" s="118">
        <v>13444</v>
      </c>
      <c r="AO2310" s="118">
        <v>113</v>
      </c>
      <c r="AP2310" s="118">
        <f t="shared" ref="AP2310:AP2422" si="36">J2310-AG2310</f>
        <v>1500</v>
      </c>
    </row>
    <row r="2311" spans="1:42" ht="12.75">
      <c r="A2311" s="106">
        <v>2018</v>
      </c>
      <c r="B2311" s="106">
        <v>-236975</v>
      </c>
      <c r="C2311" s="106">
        <v>0</v>
      </c>
      <c r="D2311" s="106">
        <v>236975</v>
      </c>
      <c r="E2311" s="106" t="s">
        <v>3490</v>
      </c>
      <c r="F2311" s="106" t="s">
        <v>3491</v>
      </c>
      <c r="G2311" s="106" t="s">
        <v>182</v>
      </c>
      <c r="H2311" s="106">
        <v>4</v>
      </c>
      <c r="I2311" s="106" t="s">
        <v>24</v>
      </c>
      <c r="J2311" s="106">
        <v>3779</v>
      </c>
      <c r="K2311" s="106">
        <v>7265</v>
      </c>
      <c r="L2311" s="106">
        <v>5832</v>
      </c>
      <c r="M2311" s="106">
        <v>0.5</v>
      </c>
      <c r="N2311" s="106">
        <v>0.05</v>
      </c>
      <c r="O2311" s="106">
        <v>0.22</v>
      </c>
      <c r="P2311" s="106">
        <v>1988</v>
      </c>
      <c r="Q2311" s="106">
        <v>368.78640132669983</v>
      </c>
      <c r="R2311" s="106">
        <v>0.15029638459857131</v>
      </c>
      <c r="S2311" s="106">
        <v>12092.561857379767</v>
      </c>
      <c r="T2311" s="106">
        <v>13209.449751243781</v>
      </c>
      <c r="U2311" s="106">
        <v>10555.874958540629</v>
      </c>
      <c r="V2311" s="106">
        <v>0.19751477747900353</v>
      </c>
      <c r="W2311" s="106">
        <v>93997.389810426554</v>
      </c>
      <c r="X2311" s="110">
        <v>0.66399520359451203</v>
      </c>
      <c r="Y2311" s="106">
        <v>1162.937142857143</v>
      </c>
      <c r="Z2311" s="106">
        <v>25.842857142857145</v>
      </c>
      <c r="AA2311" s="106">
        <v>25686.814366424536</v>
      </c>
      <c r="AB2311" s="106">
        <v>234.57327014357733</v>
      </c>
      <c r="AC2311" s="106">
        <v>3.8930479495624373</v>
      </c>
      <c r="AD2311" s="106">
        <v>42.753623188405797</v>
      </c>
      <c r="AE2311" s="106">
        <v>109.5044390637611</v>
      </c>
      <c r="AF2311" s="106">
        <v>-8.6683379219483325E-2</v>
      </c>
      <c r="AG2311" s="106">
        <v>3469</v>
      </c>
      <c r="AH2311" s="106">
        <v>11156.200663349917</v>
      </c>
      <c r="AI2311" s="106">
        <v>11156.200663349917</v>
      </c>
      <c r="AJ2311" s="106">
        <v>12092.608291873963</v>
      </c>
      <c r="AK2311" s="104">
        <v>12027.306467661692</v>
      </c>
      <c r="AL2311" s="119">
        <v>14485931</v>
      </c>
      <c r="AM2311" s="118">
        <v>3556</v>
      </c>
      <c r="AN2311" s="118">
        <v>135676</v>
      </c>
      <c r="AO2311" s="118">
        <v>804</v>
      </c>
      <c r="AP2311" s="118">
        <f t="shared" si="36"/>
        <v>310</v>
      </c>
    </row>
    <row r="2312" spans="1:42" ht="12.75">
      <c r="A2312" s="106">
        <v>2018</v>
      </c>
      <c r="B2312" s="106">
        <v>-168227</v>
      </c>
      <c r="C2312" s="106">
        <v>0</v>
      </c>
      <c r="D2312" s="106">
        <v>168227</v>
      </c>
      <c r="E2312" s="106" t="s">
        <v>3492</v>
      </c>
      <c r="F2312" s="106" t="s">
        <v>425</v>
      </c>
      <c r="G2312" s="106" t="s">
        <v>150</v>
      </c>
      <c r="H2312" s="106">
        <v>6</v>
      </c>
      <c r="I2312" s="106" t="s">
        <v>3640</v>
      </c>
      <c r="J2312" s="106">
        <v>34977</v>
      </c>
      <c r="K2312" s="106">
        <v>35661</v>
      </c>
      <c r="L2312" s="106">
        <v>28247</v>
      </c>
      <c r="M2312" s="106">
        <v>0.27</v>
      </c>
      <c r="N2312" s="106">
        <v>0.73</v>
      </c>
      <c r="O2312" s="106">
        <v>0.99</v>
      </c>
      <c r="P2312" s="106">
        <v>13260</v>
      </c>
      <c r="Q2312" s="106">
        <v>10032.460490463216</v>
      </c>
      <c r="R2312" s="106">
        <v>0.35229657810706994</v>
      </c>
      <c r="S2312" s="106">
        <v>28917.094529448754</v>
      </c>
      <c r="T2312" s="106">
        <v>26202.35464263257</v>
      </c>
      <c r="U2312" s="106">
        <v>20471.819953888073</v>
      </c>
      <c r="V2312" s="106">
        <v>0.90098751162230228</v>
      </c>
      <c r="W2312" s="106">
        <v>109516.93997734995</v>
      </c>
      <c r="X2312" s="110">
        <v>0.51570460346851155</v>
      </c>
      <c r="Y2312" s="106">
        <v>614.73554913294788</v>
      </c>
      <c r="Z2312" s="106">
        <v>20.683526011560691</v>
      </c>
      <c r="AA2312" s="106">
        <v>99057.863083164295</v>
      </c>
      <c r="AB2312" s="106">
        <v>688.79930747043352</v>
      </c>
      <c r="AC2312" s="106">
        <v>1.0095109755804517</v>
      </c>
      <c r="AD2312" s="106">
        <v>23.639415008391275</v>
      </c>
      <c r="AE2312" s="106">
        <v>143.81237322515213</v>
      </c>
      <c r="AF2312" s="106">
        <v>0.1303683275754618</v>
      </c>
      <c r="AG2312" s="106">
        <v>32954</v>
      </c>
      <c r="AH2312" s="106">
        <v>26043.600712638861</v>
      </c>
      <c r="AI2312" s="106">
        <v>28952.473485642422</v>
      </c>
      <c r="AJ2312" s="106">
        <v>32053.966673653322</v>
      </c>
      <c r="AK2312" s="104">
        <v>20471.819953888073</v>
      </c>
      <c r="AL2312" s="118">
        <v>435900</v>
      </c>
      <c r="AM2312" s="118">
        <v>4265</v>
      </c>
      <c r="AN2312" s="118">
        <v>141799</v>
      </c>
      <c r="AO2312" s="118">
        <v>849</v>
      </c>
      <c r="AP2312" s="118">
        <f t="shared" si="36"/>
        <v>2023</v>
      </c>
    </row>
    <row r="2313" spans="1:42" ht="12.75">
      <c r="A2313" s="106">
        <v>2018</v>
      </c>
      <c r="B2313" s="106">
        <v>-131098</v>
      </c>
      <c r="C2313" s="106">
        <v>0</v>
      </c>
      <c r="D2313" s="106">
        <v>131098</v>
      </c>
      <c r="E2313" s="106" t="s">
        <v>3493</v>
      </c>
      <c r="F2313" s="106" t="s">
        <v>1024</v>
      </c>
      <c r="G2313" s="106" t="s">
        <v>1025</v>
      </c>
      <c r="H2313" s="106">
        <v>7</v>
      </c>
      <c r="I2313" s="106" t="s">
        <v>3641</v>
      </c>
      <c r="J2313" s="106">
        <v>26406</v>
      </c>
      <c r="K2313" s="106">
        <v>22630</v>
      </c>
      <c r="L2313" s="106">
        <v>20325</v>
      </c>
      <c r="M2313" s="106">
        <v>0.63</v>
      </c>
      <c r="N2313" s="106">
        <v>0.87</v>
      </c>
      <c r="O2313" s="106">
        <v>0.93</v>
      </c>
      <c r="P2313" s="106">
        <v>14544</v>
      </c>
      <c r="Q2313" s="106">
        <v>12785.436849925705</v>
      </c>
      <c r="R2313" s="106">
        <v>0.4856680332231606</v>
      </c>
      <c r="S2313" s="106">
        <v>22014.237741456167</v>
      </c>
      <c r="T2313" s="106">
        <v>22388.290490341755</v>
      </c>
      <c r="U2313" s="106">
        <v>17910.030460624072</v>
      </c>
      <c r="V2313" s="106">
        <v>0.75600252392458078</v>
      </c>
      <c r="W2313" s="106">
        <v>52811.972222222219</v>
      </c>
      <c r="X2313" s="110">
        <v>0.50472972316011488</v>
      </c>
      <c r="Y2313" s="106">
        <v>221.63265306122446</v>
      </c>
      <c r="Z2313" s="106">
        <v>7.4916512059369191</v>
      </c>
      <c r="AA2313" s="106">
        <v>97995.5325203252</v>
      </c>
      <c r="AB2313" s="106">
        <v>605.39681064791557</v>
      </c>
      <c r="AC2313" s="106">
        <v>1.0204546822505307</v>
      </c>
      <c r="AD2313" s="106">
        <v>16.746085772634444</v>
      </c>
      <c r="AE2313" s="106">
        <v>161.869918699187</v>
      </c>
      <c r="AF2313" s="106">
        <v>-1.3598979420987908E-2</v>
      </c>
      <c r="AG2313" s="106">
        <v>26406</v>
      </c>
      <c r="AH2313" s="106">
        <v>19261.477711738484</v>
      </c>
      <c r="AI2313" s="106">
        <v>22014.237741456167</v>
      </c>
      <c r="AJ2313" s="106">
        <v>22150.179049034174</v>
      </c>
      <c r="AK2313" s="104">
        <v>17910.030460624072</v>
      </c>
      <c r="AL2313" s="118"/>
      <c r="AM2313" s="118">
        <v>1446</v>
      </c>
      <c r="AN2313" s="118">
        <v>39820</v>
      </c>
      <c r="AO2313" s="118">
        <v>210</v>
      </c>
      <c r="AP2313" s="118">
        <f t="shared" si="36"/>
        <v>0</v>
      </c>
    </row>
    <row r="2314" spans="1:42" ht="12.75">
      <c r="A2314" s="106">
        <v>2018</v>
      </c>
      <c r="B2314" s="106">
        <v>-141325</v>
      </c>
      <c r="C2314" s="106">
        <v>0</v>
      </c>
      <c r="D2314" s="106">
        <v>141325</v>
      </c>
      <c r="E2314" s="106" t="s">
        <v>3494</v>
      </c>
      <c r="F2314" s="106" t="s">
        <v>1944</v>
      </c>
      <c r="G2314" s="106" t="s">
        <v>63</v>
      </c>
      <c r="H2314" s="106">
        <v>7</v>
      </c>
      <c r="I2314" s="106" t="s">
        <v>3641</v>
      </c>
      <c r="J2314" s="106">
        <v>22370</v>
      </c>
      <c r="K2314" s="106">
        <v>12898</v>
      </c>
      <c r="L2314" s="106">
        <v>11215</v>
      </c>
      <c r="M2314" s="106">
        <v>0.44</v>
      </c>
      <c r="N2314" s="106">
        <v>0.53</v>
      </c>
      <c r="O2314" s="106">
        <v>1</v>
      </c>
      <c r="P2314" s="106">
        <v>14729</v>
      </c>
      <c r="Q2314" s="106">
        <v>8590.7689594356252</v>
      </c>
      <c r="R2314" s="106">
        <v>0.43072404058225172</v>
      </c>
      <c r="S2314" s="106">
        <v>24182.358024691359</v>
      </c>
      <c r="T2314" s="106">
        <v>32973.947089947091</v>
      </c>
      <c r="U2314" s="106">
        <v>26724.838322951811</v>
      </c>
      <c r="V2314" s="106">
        <v>0.42485495167350379</v>
      </c>
      <c r="W2314" s="106">
        <v>57462.745631067963</v>
      </c>
      <c r="X2314" s="110">
        <v>0.52761647964498504</v>
      </c>
      <c r="Y2314" s="106">
        <v>244.38349514563106</v>
      </c>
      <c r="Z2314" s="106">
        <v>8.257281553398057</v>
      </c>
      <c r="AA2314" s="106">
        <v>97761.182768475337</v>
      </c>
      <c r="AB2314" s="106">
        <v>902.98452589915246</v>
      </c>
      <c r="AC2314" s="106">
        <v>1.0229008811894877</v>
      </c>
      <c r="AD2314" s="106">
        <v>31.124497991967871</v>
      </c>
      <c r="AE2314" s="106">
        <v>108.26451612903226</v>
      </c>
      <c r="AF2314" s="106">
        <v>-1.9707425942112861E-2</v>
      </c>
      <c r="AG2314" s="106">
        <v>21370</v>
      </c>
      <c r="AH2314" s="106">
        <v>17065.589065255732</v>
      </c>
      <c r="AI2314" s="106">
        <v>24521.7442680776</v>
      </c>
      <c r="AJ2314" s="106">
        <v>30049.474426807759</v>
      </c>
      <c r="AK2314" s="104">
        <v>27868.134038800705</v>
      </c>
      <c r="AL2314" s="118"/>
      <c r="AM2314" s="118">
        <v>564</v>
      </c>
      <c r="AN2314" s="118">
        <v>16781</v>
      </c>
      <c r="AO2314" s="118">
        <v>123</v>
      </c>
      <c r="AP2314" s="118">
        <f t="shared" si="36"/>
        <v>1000</v>
      </c>
    </row>
    <row r="2315" spans="1:42" ht="12.75">
      <c r="A2315" s="106">
        <v>2018</v>
      </c>
      <c r="B2315" s="106">
        <v>-130697</v>
      </c>
      <c r="C2315" s="106">
        <v>0</v>
      </c>
      <c r="D2315" s="106">
        <v>130697</v>
      </c>
      <c r="E2315" s="106" t="s">
        <v>3495</v>
      </c>
      <c r="F2315" s="106" t="s">
        <v>1827</v>
      </c>
      <c r="G2315" s="106" t="s">
        <v>99</v>
      </c>
      <c r="H2315" s="106">
        <v>7</v>
      </c>
      <c r="I2315" s="106" t="s">
        <v>3641</v>
      </c>
      <c r="J2315" s="106">
        <v>52504</v>
      </c>
      <c r="K2315" s="106">
        <v>21236</v>
      </c>
      <c r="L2315" s="106">
        <v>5287</v>
      </c>
      <c r="M2315" s="106">
        <v>0.16</v>
      </c>
      <c r="N2315" s="106">
        <v>0.27</v>
      </c>
      <c r="O2315" s="106">
        <v>0.41</v>
      </c>
      <c r="P2315" s="106">
        <v>46323</v>
      </c>
      <c r="Q2315" s="106">
        <v>17999.422799422799</v>
      </c>
      <c r="R2315" s="106">
        <v>0.37813225655856475</v>
      </c>
      <c r="S2315" s="106">
        <v>58335.930735930735</v>
      </c>
      <c r="T2315" s="106">
        <v>63339.105339105336</v>
      </c>
      <c r="U2315" s="106">
        <v>45546.76060883281</v>
      </c>
      <c r="V2315" s="106">
        <v>0.64991324532753803</v>
      </c>
      <c r="W2315" s="106">
        <v>126337.8979801438</v>
      </c>
      <c r="X2315" s="110">
        <v>0.56049118330523529</v>
      </c>
      <c r="Y2315" s="106">
        <v>266.6272648835203</v>
      </c>
      <c r="Z2315" s="106">
        <v>8.9689387402933569</v>
      </c>
      <c r="AA2315" s="106">
        <v>190833.76724257035</v>
      </c>
      <c r="AB2315" s="106">
        <v>1532.1242780549446</v>
      </c>
      <c r="AC2315" s="106">
        <v>0.5240162757615594</v>
      </c>
      <c r="AD2315" s="106">
        <v>26.574550128534703</v>
      </c>
      <c r="AE2315" s="106">
        <v>124.55501813784764</v>
      </c>
      <c r="AF2315" s="106">
        <v>0.10241844119873136</v>
      </c>
      <c r="AG2315" s="106">
        <v>52174</v>
      </c>
      <c r="AH2315" s="106">
        <v>48705.339105339102</v>
      </c>
      <c r="AI2315" s="106">
        <v>58192.207792207795</v>
      </c>
      <c r="AJ2315" s="106">
        <v>94987.878787878784</v>
      </c>
      <c r="AK2315" s="104">
        <v>49452.525252525251</v>
      </c>
      <c r="AM2315" s="118">
        <v>2976</v>
      </c>
      <c r="AN2315" s="118">
        <v>103007</v>
      </c>
      <c r="AO2315" s="118">
        <v>745</v>
      </c>
      <c r="AP2315" s="118">
        <f t="shared" si="36"/>
        <v>330</v>
      </c>
    </row>
    <row r="2316" spans="1:42" ht="12.75">
      <c r="A2316" s="106">
        <v>2018</v>
      </c>
      <c r="B2316" s="106">
        <v>-216764</v>
      </c>
      <c r="C2316" s="106">
        <v>0</v>
      </c>
      <c r="D2316" s="106">
        <v>216764</v>
      </c>
      <c r="E2316" s="106" t="s">
        <v>3496</v>
      </c>
      <c r="F2316" s="106" t="s">
        <v>3497</v>
      </c>
      <c r="G2316" s="106" t="s">
        <v>104</v>
      </c>
      <c r="H2316" s="106">
        <v>2</v>
      </c>
      <c r="I2316" s="106" t="s">
        <v>25</v>
      </c>
      <c r="J2316" s="106">
        <v>10111</v>
      </c>
      <c r="K2316" s="106">
        <v>19091</v>
      </c>
      <c r="L2316" s="106">
        <v>16477</v>
      </c>
      <c r="M2316" s="106">
        <v>0.26</v>
      </c>
      <c r="N2316" s="106">
        <v>0.7</v>
      </c>
      <c r="O2316" s="106">
        <v>0.36</v>
      </c>
      <c r="P2316" s="106">
        <v>1831</v>
      </c>
      <c r="Q2316" s="106">
        <v>502.56456191257178</v>
      </c>
      <c r="R2316" s="106">
        <v>4.3579183488793707E-2</v>
      </c>
      <c r="S2316" s="106">
        <v>19041.773544439537</v>
      </c>
      <c r="T2316" s="106">
        <v>20880.155175676529</v>
      </c>
      <c r="U2316" s="106">
        <v>14346.781874058601</v>
      </c>
      <c r="V2316" s="106">
        <v>0.76878924105943625</v>
      </c>
      <c r="W2316" s="106">
        <v>126029.24497437919</v>
      </c>
      <c r="X2316" s="110">
        <v>0.643954764932264</v>
      </c>
      <c r="Y2316" s="106">
        <v>594.37051282051277</v>
      </c>
      <c r="Z2316" s="106">
        <v>20.324358974358976</v>
      </c>
      <c r="AA2316" s="106">
        <v>51052.644904478337</v>
      </c>
      <c r="AB2316" s="106">
        <v>490.58480971993856</v>
      </c>
      <c r="AC2316" s="106">
        <v>1.9587623753304895</v>
      </c>
      <c r="AD2316" s="106">
        <v>29.209284028324156</v>
      </c>
      <c r="AE2316" s="106">
        <v>104.0648709315376</v>
      </c>
      <c r="AF2316" s="106">
        <v>-0.13524528436237263</v>
      </c>
      <c r="AG2316" s="106">
        <v>7492</v>
      </c>
      <c r="AH2316" s="106">
        <v>18682.998170693245</v>
      </c>
      <c r="AI2316" s="106">
        <v>18966.305935785025</v>
      </c>
      <c r="AJ2316" s="106">
        <v>19461.229609537626</v>
      </c>
      <c r="AK2316" s="104">
        <v>15581.544187220084</v>
      </c>
      <c r="AL2316" s="119">
        <v>55282617</v>
      </c>
      <c r="AM2316" s="118">
        <v>14451</v>
      </c>
      <c r="AN2316" s="118">
        <v>463609</v>
      </c>
      <c r="AO2316" s="118">
        <v>3290</v>
      </c>
      <c r="AP2316" s="118">
        <f t="shared" si="36"/>
        <v>2619</v>
      </c>
    </row>
    <row r="2317" spans="1:42" ht="12.75">
      <c r="A2317" s="106">
        <v>2018</v>
      </c>
      <c r="B2317" s="106">
        <v>3005</v>
      </c>
      <c r="C2317" s="106">
        <v>1</v>
      </c>
      <c r="D2317" s="106">
        <v>139278</v>
      </c>
      <c r="E2317" s="106" t="s">
        <v>3893</v>
      </c>
      <c r="F2317" s="106" t="s">
        <v>312</v>
      </c>
      <c r="G2317" s="106" t="s">
        <v>63</v>
      </c>
      <c r="H2317" s="106">
        <v>4</v>
      </c>
      <c r="I2317" s="106" t="s">
        <v>24</v>
      </c>
      <c r="J2317" s="106">
        <v>2838</v>
      </c>
      <c r="K2317" s="106">
        <v>3535</v>
      </c>
      <c r="L2317" s="106">
        <v>2070</v>
      </c>
      <c r="M2317" s="106">
        <v>0.6</v>
      </c>
      <c r="N2317" s="106">
        <v>0.15</v>
      </c>
      <c r="O2317" s="106">
        <v>0.02</v>
      </c>
      <c r="P2317" s="106">
        <v>1075</v>
      </c>
      <c r="Q2317" s="106">
        <v>84.174639505607686</v>
      </c>
      <c r="R2317" s="106">
        <v>2.2705799496551736E-2</v>
      </c>
      <c r="S2317" s="106">
        <v>10927.295948729687</v>
      </c>
      <c r="T2317" s="106">
        <v>10862.662851911193</v>
      </c>
      <c r="U2317" s="106">
        <v>10108.495765621423</v>
      </c>
      <c r="V2317" s="106">
        <v>0.35841258827491645</v>
      </c>
      <c r="W2317" s="106">
        <v>52880.586635127147</v>
      </c>
      <c r="X2317" s="110">
        <v>0.62805875238685105</v>
      </c>
      <c r="Y2317" s="106">
        <v>447.8166287015946</v>
      </c>
      <c r="Z2317" s="106">
        <v>14.928246013667428</v>
      </c>
      <c r="AA2317" s="106">
        <v>17394.256794013392</v>
      </c>
      <c r="AB2317" s="106">
        <v>336.97299730659768</v>
      </c>
      <c r="AC2317" s="106">
        <v>5.7490240131683672</v>
      </c>
      <c r="AD2317" s="106">
        <v>74.54492072812684</v>
      </c>
      <c r="AE2317" s="106">
        <v>51.619141394249702</v>
      </c>
      <c r="AF2317" s="106">
        <v>6.6169843754168706E-2</v>
      </c>
      <c r="AG2317" s="106">
        <v>2136</v>
      </c>
      <c r="AH2317" s="106">
        <v>9373.2421606775006</v>
      </c>
      <c r="AI2317" s="106">
        <v>9681.6292057679111</v>
      </c>
      <c r="AJ2317" s="106">
        <v>10927.295948729687</v>
      </c>
      <c r="AK2317" s="104">
        <v>11405.293659876403</v>
      </c>
      <c r="AL2317" s="119">
        <v>19438515</v>
      </c>
      <c r="AM2317" s="118">
        <v>6682</v>
      </c>
      <c r="AN2317" s="118">
        <v>131061</v>
      </c>
      <c r="AO2317" s="118">
        <v>364</v>
      </c>
      <c r="AP2317" s="118">
        <f t="shared" si="36"/>
        <v>702</v>
      </c>
    </row>
    <row r="2318" spans="1:42" ht="12.75">
      <c r="A2318" s="106">
        <v>2018</v>
      </c>
      <c r="B2318" s="106">
        <v>-125462</v>
      </c>
      <c r="C2318" s="106">
        <v>0</v>
      </c>
      <c r="D2318" s="106">
        <v>125462</v>
      </c>
      <c r="E2318" s="106" t="s">
        <v>3498</v>
      </c>
      <c r="F2318" s="106" t="s">
        <v>3499</v>
      </c>
      <c r="G2318" s="106" t="s">
        <v>121</v>
      </c>
      <c r="H2318" s="106">
        <v>4</v>
      </c>
      <c r="I2318" s="106" t="s">
        <v>24</v>
      </c>
      <c r="J2318" s="106">
        <v>1380</v>
      </c>
      <c r="K2318" s="106">
        <v>8824</v>
      </c>
      <c r="L2318" s="106">
        <v>6642</v>
      </c>
      <c r="M2318" s="106">
        <v>0.64</v>
      </c>
      <c r="N2318" s="106">
        <v>0.09</v>
      </c>
      <c r="O2318" s="106">
        <v>0.13</v>
      </c>
      <c r="P2318" s="106">
        <v>1208</v>
      </c>
      <c r="Q2318" s="106"/>
      <c r="R2318" s="106"/>
      <c r="S2318" s="106">
        <v>15922.827371695179</v>
      </c>
      <c r="T2318" s="106">
        <v>18699.68895800933</v>
      </c>
      <c r="U2318" s="106">
        <v>12134.620842256343</v>
      </c>
      <c r="V2318" s="106">
        <v>3.6908692657912905E-2</v>
      </c>
      <c r="W2318" s="106">
        <v>120852.58365758754</v>
      </c>
      <c r="X2318" s="110">
        <v>0.57402551030309079</v>
      </c>
      <c r="Y2318" s="106">
        <v>1091.7547169811321</v>
      </c>
      <c r="Z2318" s="106">
        <v>36.39622641509434</v>
      </c>
      <c r="AA2318" s="106">
        <v>32197.639071131343</v>
      </c>
      <c r="AB2318" s="106">
        <v>404.53629443189061</v>
      </c>
      <c r="AC2318" s="106">
        <v>3.1058177830703371</v>
      </c>
      <c r="AD2318" s="106">
        <v>41.661891117478511</v>
      </c>
      <c r="AE2318" s="106">
        <v>79.591471801925721</v>
      </c>
      <c r="AF2318" s="106"/>
      <c r="AG2318" s="106">
        <v>1380</v>
      </c>
      <c r="AH2318" s="106">
        <v>16426.947122861588</v>
      </c>
      <c r="AI2318" s="106">
        <v>16426.947122861588</v>
      </c>
      <c r="AJ2318" s="106">
        <v>15936.061171591498</v>
      </c>
      <c r="AK2318" s="104">
        <v>12534.400207361326</v>
      </c>
      <c r="AL2318" s="119">
        <v>11454998</v>
      </c>
      <c r="AM2318" s="118">
        <v>3550</v>
      </c>
      <c r="AN2318" s="118">
        <v>57863</v>
      </c>
      <c r="AO2318" s="118">
        <v>350</v>
      </c>
      <c r="AP2318" s="118">
        <f t="shared" si="36"/>
        <v>0</v>
      </c>
    </row>
    <row r="2319" spans="1:42" ht="12.75">
      <c r="A2319" s="106">
        <v>2018</v>
      </c>
      <c r="B2319" s="106">
        <v>-448594</v>
      </c>
      <c r="C2319" s="106">
        <v>0</v>
      </c>
      <c r="D2319" s="106">
        <v>448594</v>
      </c>
      <c r="E2319" s="106" t="s">
        <v>3500</v>
      </c>
      <c r="F2319" s="106" t="s">
        <v>3501</v>
      </c>
      <c r="G2319" s="106" t="s">
        <v>121</v>
      </c>
      <c r="H2319" s="106">
        <v>4</v>
      </c>
      <c r="I2319" s="106" t="s">
        <v>24</v>
      </c>
      <c r="J2319" s="106">
        <v>1380</v>
      </c>
      <c r="K2319" s="106">
        <v>9015</v>
      </c>
      <c r="L2319" s="106">
        <v>6928</v>
      </c>
      <c r="M2319" s="106">
        <v>0.67</v>
      </c>
      <c r="N2319" s="106">
        <v>0.02</v>
      </c>
      <c r="O2319" s="106">
        <v>0.1</v>
      </c>
      <c r="P2319" s="106">
        <v>959</v>
      </c>
      <c r="Q2319" s="106"/>
      <c r="R2319" s="106"/>
      <c r="S2319" s="106">
        <v>15809.61281036344</v>
      </c>
      <c r="T2319" s="106">
        <v>17579.67722202231</v>
      </c>
      <c r="U2319" s="106">
        <v>12944.204399354767</v>
      </c>
      <c r="V2319" s="106">
        <v>3.9655182354799139E-2</v>
      </c>
      <c r="W2319" s="106">
        <v>150279.64395229984</v>
      </c>
      <c r="X2319" s="110">
        <v>0.6018905994509387</v>
      </c>
      <c r="Y2319" s="106">
        <v>1087.2913043478263</v>
      </c>
      <c r="Z2319" s="106">
        <v>36.247826086956529</v>
      </c>
      <c r="AA2319" s="106">
        <v>38972.853765771288</v>
      </c>
      <c r="AB2319" s="106">
        <v>431.53041694126483</v>
      </c>
      <c r="AC2319" s="106">
        <v>2.5658885695413733</v>
      </c>
      <c r="AD2319" s="106">
        <v>38.330564784053159</v>
      </c>
      <c r="AE2319" s="106">
        <v>90.313109425785484</v>
      </c>
      <c r="AF2319" s="106"/>
      <c r="AG2319" s="106">
        <v>1380</v>
      </c>
      <c r="AH2319" s="106">
        <v>16473.240734077008</v>
      </c>
      <c r="AI2319" s="106">
        <v>16473.240734077008</v>
      </c>
      <c r="AJ2319" s="106">
        <v>15846.178481468154</v>
      </c>
      <c r="AK2319" s="104">
        <v>13361.739114789492</v>
      </c>
      <c r="AL2319" s="118">
        <v>18913502</v>
      </c>
      <c r="AM2319" s="118">
        <v>4202</v>
      </c>
      <c r="AN2319" s="118">
        <v>83359</v>
      </c>
      <c r="AO2319" s="118">
        <v>646</v>
      </c>
      <c r="AP2319" s="118">
        <f t="shared" si="36"/>
        <v>0</v>
      </c>
    </row>
    <row r="2320" spans="1:42" ht="12.75">
      <c r="A2320" s="106">
        <v>2018</v>
      </c>
      <c r="B2320" s="106">
        <v>-157483</v>
      </c>
      <c r="C2320" s="106">
        <v>0</v>
      </c>
      <c r="D2320" s="106">
        <v>157483</v>
      </c>
      <c r="E2320" s="106" t="s">
        <v>4239</v>
      </c>
      <c r="F2320" s="106" t="s">
        <v>4240</v>
      </c>
      <c r="G2320" s="106" t="s">
        <v>118</v>
      </c>
      <c r="H2320" s="106">
        <v>4</v>
      </c>
      <c r="I2320" s="106" t="s">
        <v>24</v>
      </c>
      <c r="J2320" s="106">
        <v>4080</v>
      </c>
      <c r="K2320" s="106">
        <v>5440</v>
      </c>
      <c r="L2320" s="106">
        <v>3600</v>
      </c>
      <c r="M2320" s="106">
        <v>0.59</v>
      </c>
      <c r="N2320" s="106">
        <v>0.11</v>
      </c>
      <c r="O2320" s="106">
        <v>0.06</v>
      </c>
      <c r="P2320" s="106">
        <v>2891</v>
      </c>
      <c r="Q2320" s="106">
        <v>3057.9698924731183</v>
      </c>
      <c r="R2320" s="106">
        <v>0.59055988636977175</v>
      </c>
      <c r="S2320" s="106">
        <v>10772.296774193548</v>
      </c>
      <c r="T2320" s="106">
        <v>9800.4725038402466</v>
      </c>
      <c r="U2320" s="106">
        <v>7540.4342041675263</v>
      </c>
      <c r="V2320" s="106">
        <v>0.28116631902450528</v>
      </c>
      <c r="W2320" s="106">
        <v>52560.99817684594</v>
      </c>
      <c r="X2320" s="110">
        <v>0.60249156299495643</v>
      </c>
      <c r="Y2320" s="106">
        <v>553.74102079395084</v>
      </c>
      <c r="Z2320" s="106">
        <v>18.459357277882798</v>
      </c>
      <c r="AA2320" s="106">
        <v>6647.9180212798747</v>
      </c>
      <c r="AB2320" s="106">
        <v>251.3658258612015</v>
      </c>
      <c r="AC2320" s="106">
        <v>15.042303421898657</v>
      </c>
      <c r="AD2320" s="106">
        <v>107.04552044070745</v>
      </c>
      <c r="AE2320" s="106">
        <v>26.447183098591548</v>
      </c>
      <c r="AF2320" s="106"/>
      <c r="AG2320" s="106">
        <v>3888</v>
      </c>
      <c r="AH2320" s="106">
        <v>10111.490629800308</v>
      </c>
      <c r="AI2320" s="106">
        <v>10152.831950844855</v>
      </c>
      <c r="AJ2320" s="106">
        <v>10774.154224270353</v>
      </c>
      <c r="AK2320" s="104">
        <v>9128.7274961597541</v>
      </c>
      <c r="AL2320" s="119">
        <v>12103446</v>
      </c>
      <c r="AM2320" s="118">
        <v>6038</v>
      </c>
      <c r="AN2320" s="118">
        <v>97643</v>
      </c>
      <c r="AO2320" s="118">
        <v>633</v>
      </c>
      <c r="AP2320" s="118">
        <f t="shared" si="36"/>
        <v>192</v>
      </c>
    </row>
    <row r="2321" spans="1:42" ht="12.75">
      <c r="A2321" s="106">
        <v>2018</v>
      </c>
      <c r="B2321" s="106">
        <v>-237932</v>
      </c>
      <c r="C2321" s="106">
        <v>0</v>
      </c>
      <c r="D2321" s="106">
        <v>237932</v>
      </c>
      <c r="E2321" s="106" t="s">
        <v>3502</v>
      </c>
      <c r="F2321" s="106" t="s">
        <v>3503</v>
      </c>
      <c r="G2321" s="106" t="s">
        <v>110</v>
      </c>
      <c r="H2321" s="106">
        <v>3</v>
      </c>
      <c r="I2321" s="104" t="s">
        <v>26</v>
      </c>
      <c r="J2321" s="106">
        <v>7380</v>
      </c>
      <c r="K2321" s="106">
        <v>12913</v>
      </c>
      <c r="L2321" s="106">
        <v>10007</v>
      </c>
      <c r="M2321" s="106">
        <v>0.46</v>
      </c>
      <c r="N2321" s="106">
        <v>0.7</v>
      </c>
      <c r="O2321" s="106">
        <v>0.32</v>
      </c>
      <c r="P2321" s="106">
        <v>5073</v>
      </c>
      <c r="Q2321" s="106">
        <v>2174.6812500000001</v>
      </c>
      <c r="R2321" s="106">
        <v>0.23208451782710371</v>
      </c>
      <c r="S2321" s="106">
        <v>18082.685714285715</v>
      </c>
      <c r="T2321" s="106">
        <v>17641.973214285714</v>
      </c>
      <c r="U2321" s="106">
        <v>9439.9957942100682</v>
      </c>
      <c r="V2321" s="106">
        <v>0.76223881947207128</v>
      </c>
      <c r="W2321" s="106">
        <v>70430.031419284933</v>
      </c>
      <c r="X2321" s="110">
        <v>0.54833144474343598</v>
      </c>
      <c r="Y2321" s="106">
        <v>434.6548672566372</v>
      </c>
      <c r="Z2321" s="106">
        <v>14.867256637168143</v>
      </c>
      <c r="AA2321" s="106">
        <v>36146.308682103503</v>
      </c>
      <c r="AB2321" s="106">
        <v>322.89259985082077</v>
      </c>
      <c r="AC2321" s="106">
        <v>2.7665342228848742</v>
      </c>
      <c r="AD2321" s="106">
        <v>26.736745886654479</v>
      </c>
      <c r="AE2321" s="106">
        <v>111.94529914529915</v>
      </c>
      <c r="AF2321" s="106">
        <v>2.1038500631484783E-2</v>
      </c>
      <c r="AG2321" s="106">
        <v>7380</v>
      </c>
      <c r="AH2321" s="106">
        <v>18833.215625000001</v>
      </c>
      <c r="AI2321" s="106">
        <v>18833.215625000001</v>
      </c>
      <c r="AJ2321" s="106">
        <v>18158.912946428572</v>
      </c>
      <c r="AK2321" s="104">
        <v>10697.555357142857</v>
      </c>
      <c r="AL2321" s="119">
        <v>7592683</v>
      </c>
      <c r="AM2321" s="118">
        <v>2176</v>
      </c>
      <c r="AN2321" s="118">
        <v>65488</v>
      </c>
      <c r="AO2321" s="118">
        <v>471</v>
      </c>
      <c r="AP2321" s="118">
        <f t="shared" si="36"/>
        <v>0</v>
      </c>
    </row>
    <row r="2322" spans="1:42" ht="12.75">
      <c r="A2322" s="106">
        <v>2018</v>
      </c>
      <c r="B2322" s="106">
        <v>-125471</v>
      </c>
      <c r="C2322" s="106">
        <v>0</v>
      </c>
      <c r="D2322" s="106">
        <v>125471</v>
      </c>
      <c r="E2322" s="106" t="s">
        <v>4241</v>
      </c>
      <c r="F2322" s="106" t="s">
        <v>4242</v>
      </c>
      <c r="G2322" s="106" t="s">
        <v>121</v>
      </c>
      <c r="H2322" s="106">
        <v>4</v>
      </c>
      <c r="I2322" s="106" t="s">
        <v>24</v>
      </c>
      <c r="J2322" s="106">
        <v>1244</v>
      </c>
      <c r="K2322" s="106">
        <v>10157</v>
      </c>
      <c r="L2322" s="106">
        <v>7524</v>
      </c>
      <c r="M2322" s="106">
        <v>0.42</v>
      </c>
      <c r="N2322" s="106">
        <v>0.01</v>
      </c>
      <c r="O2322" s="106">
        <v>0</v>
      </c>
      <c r="P2322" s="106"/>
      <c r="Q2322" s="106"/>
      <c r="R2322" s="106"/>
      <c r="S2322" s="106">
        <v>12305.933235294118</v>
      </c>
      <c r="T2322" s="106">
        <v>13711.136176470589</v>
      </c>
      <c r="U2322" s="106">
        <v>11306.148618009325</v>
      </c>
      <c r="V2322" s="106">
        <v>0.16534998200982373</v>
      </c>
      <c r="W2322" s="106">
        <v>135694.72506504771</v>
      </c>
      <c r="X2322" s="110">
        <v>0.55935646385163562</v>
      </c>
      <c r="Y2322" s="106">
        <v>893.40437956204391</v>
      </c>
      <c r="Z2322" s="106">
        <v>29.78102189781022</v>
      </c>
      <c r="AA2322" s="106">
        <v>40764.480701200111</v>
      </c>
      <c r="AB2322" s="106">
        <v>376.88270538576336</v>
      </c>
      <c r="AC2322" s="106">
        <v>2.4531160039297641</v>
      </c>
      <c r="AD2322" s="106">
        <v>32.528458088996203</v>
      </c>
      <c r="AE2322" s="106">
        <v>108.16224814422057</v>
      </c>
      <c r="AF2322" s="106"/>
      <c r="AG2322" s="106">
        <v>1220</v>
      </c>
      <c r="AH2322" s="106">
        <v>11904.144117647058</v>
      </c>
      <c r="AI2322" s="106">
        <v>11904.144117647058</v>
      </c>
      <c r="AJ2322" s="106">
        <v>12412.641470588236</v>
      </c>
      <c r="AK2322" s="104">
        <v>13171.857647058823</v>
      </c>
      <c r="AL2322" s="119">
        <v>51745351</v>
      </c>
      <c r="AM2322" s="118">
        <v>11983</v>
      </c>
      <c r="AN2322" s="118">
        <v>203994</v>
      </c>
      <c r="AO2322" s="118">
        <v>1063</v>
      </c>
      <c r="AP2322" s="118">
        <f t="shared" si="36"/>
        <v>24</v>
      </c>
    </row>
    <row r="2323" spans="1:42" ht="12.75">
      <c r="A2323" s="106">
        <v>2018</v>
      </c>
      <c r="B2323" s="106">
        <v>-172671</v>
      </c>
      <c r="C2323" s="106">
        <v>0</v>
      </c>
      <c r="D2323" s="106">
        <v>172671</v>
      </c>
      <c r="E2323" s="106" t="s">
        <v>3504</v>
      </c>
      <c r="F2323" s="106" t="s">
        <v>3505</v>
      </c>
      <c r="G2323" s="106" t="s">
        <v>74</v>
      </c>
      <c r="H2323" s="106">
        <v>4</v>
      </c>
      <c r="I2323" s="106" t="s">
        <v>24</v>
      </c>
      <c r="J2323" s="106">
        <v>2930</v>
      </c>
      <c r="K2323" s="106">
        <v>3782</v>
      </c>
      <c r="L2323" s="106">
        <v>2051</v>
      </c>
      <c r="M2323" s="106">
        <v>0.61</v>
      </c>
      <c r="N2323" s="106">
        <v>7.0000000000000007E-2</v>
      </c>
      <c r="O2323" s="106">
        <v>0.39</v>
      </c>
      <c r="P2323" s="106">
        <v>1109</v>
      </c>
      <c r="Q2323" s="106">
        <v>552.26696165191743</v>
      </c>
      <c r="R2323" s="106">
        <v>0.13006921054679249</v>
      </c>
      <c r="S2323" s="106">
        <v>26710.067846607668</v>
      </c>
      <c r="T2323" s="106">
        <v>23972.097345132745</v>
      </c>
      <c r="U2323" s="106">
        <v>18581.555681860489</v>
      </c>
      <c r="V2323" s="106">
        <v>0.19878206132163406</v>
      </c>
      <c r="W2323" s="106">
        <v>79585.019607843133</v>
      </c>
      <c r="X2323" s="110">
        <v>0.49945431887933622</v>
      </c>
      <c r="Y2323" s="106">
        <v>476.50781249999994</v>
      </c>
      <c r="Z2323" s="106">
        <v>15.890624999999998</v>
      </c>
      <c r="AA2323" s="106">
        <v>55992.421121339605</v>
      </c>
      <c r="AB2323" s="106">
        <v>619.65937495949106</v>
      </c>
      <c r="AC2323" s="106">
        <v>1.7859559918527688</v>
      </c>
      <c r="AD2323" s="106">
        <v>38.593481989708408</v>
      </c>
      <c r="AE2323" s="106">
        <v>90.36</v>
      </c>
      <c r="AF2323" s="106">
        <v>6.4924885185290437E-2</v>
      </c>
      <c r="AG2323" s="106">
        <v>2584</v>
      </c>
      <c r="AH2323" s="106">
        <v>25182.119469026547</v>
      </c>
      <c r="AI2323" s="106">
        <v>25675.311209439529</v>
      </c>
      <c r="AJ2323" s="106">
        <v>27011.241887905606</v>
      </c>
      <c r="AK2323" s="104">
        <v>21717.030973451328</v>
      </c>
      <c r="AL2323" s="119">
        <v>12859574</v>
      </c>
      <c r="AM2323" s="118">
        <v>1120</v>
      </c>
      <c r="AN2323" s="118">
        <v>20331</v>
      </c>
      <c r="AO2323" s="118">
        <v>178</v>
      </c>
      <c r="AP2323" s="118">
        <f t="shared" si="36"/>
        <v>346</v>
      </c>
    </row>
    <row r="2324" spans="1:42" ht="12.75">
      <c r="A2324" s="106">
        <v>2018</v>
      </c>
      <c r="B2324" s="106">
        <v>-229814</v>
      </c>
      <c r="C2324" s="106">
        <v>0</v>
      </c>
      <c r="D2324" s="106">
        <v>229814</v>
      </c>
      <c r="E2324" s="106" t="s">
        <v>3506</v>
      </c>
      <c r="F2324" s="106" t="s">
        <v>3507</v>
      </c>
      <c r="G2324" s="106" t="s">
        <v>60</v>
      </c>
      <c r="H2324" s="106">
        <v>2</v>
      </c>
      <c r="I2324" s="106" t="s">
        <v>25</v>
      </c>
      <c r="J2324" s="106">
        <v>7586</v>
      </c>
      <c r="K2324" s="106">
        <v>13325</v>
      </c>
      <c r="L2324" s="106">
        <v>9314</v>
      </c>
      <c r="M2324" s="106">
        <v>0.38</v>
      </c>
      <c r="N2324" s="106">
        <v>0.51</v>
      </c>
      <c r="O2324" s="106">
        <v>0.38</v>
      </c>
      <c r="P2324" s="106">
        <v>2472</v>
      </c>
      <c r="Q2324" s="106">
        <v>1888.8445393992711</v>
      </c>
      <c r="R2324" s="106">
        <v>0.19984994435941952</v>
      </c>
      <c r="S2324" s="106">
        <v>20906.742616564032</v>
      </c>
      <c r="T2324" s="106">
        <v>22646.000628377529</v>
      </c>
      <c r="U2324" s="106">
        <v>9906.9907315479377</v>
      </c>
      <c r="V2324" s="106">
        <v>0.76334675960246989</v>
      </c>
      <c r="W2324" s="106">
        <v>84071.307963907413</v>
      </c>
      <c r="X2324" s="110">
        <v>0.39641995855949369</v>
      </c>
      <c r="Y2324" s="106">
        <v>619.72398190045249</v>
      </c>
      <c r="Z2324" s="106">
        <v>21.602714932126698</v>
      </c>
      <c r="AA2324" s="106">
        <v>33205.528749337383</v>
      </c>
      <c r="AB2324" s="106">
        <v>345.34389963825794</v>
      </c>
      <c r="AC2324" s="106">
        <v>3.011546684134506</v>
      </c>
      <c r="AD2324" s="106">
        <v>30.839179007534423</v>
      </c>
      <c r="AE2324" s="106">
        <v>96.152064026958726</v>
      </c>
      <c r="AF2324" s="106">
        <v>2.7126027684404631E-2</v>
      </c>
      <c r="AG2324" s="106">
        <v>5115</v>
      </c>
      <c r="AH2324" s="106">
        <v>18776.186251099662</v>
      </c>
      <c r="AI2324" s="106">
        <v>20304.05290938796</v>
      </c>
      <c r="AJ2324" s="106">
        <v>21877.011813497549</v>
      </c>
      <c r="AK2324" s="104">
        <v>12992.224456453438</v>
      </c>
      <c r="AL2324" s="118">
        <v>41448927</v>
      </c>
      <c r="AM2324" s="118">
        <v>7394</v>
      </c>
      <c r="AN2324" s="118">
        <v>228265</v>
      </c>
      <c r="AO2324" s="118">
        <v>1607</v>
      </c>
      <c r="AP2324" s="118">
        <f t="shared" si="36"/>
        <v>2471</v>
      </c>
    </row>
    <row r="2325" spans="1:42" ht="12.75">
      <c r="A2325" s="106">
        <v>2018</v>
      </c>
      <c r="B2325" s="106">
        <v>1622</v>
      </c>
      <c r="C2325" s="106">
        <v>1</v>
      </c>
      <c r="D2325" s="106">
        <v>125499</v>
      </c>
      <c r="E2325" s="106" t="s">
        <v>3894</v>
      </c>
      <c r="F2325" s="106" t="s">
        <v>3508</v>
      </c>
      <c r="G2325" s="106" t="s">
        <v>121</v>
      </c>
      <c r="H2325" s="106">
        <v>4</v>
      </c>
      <c r="I2325" s="106" t="s">
        <v>24</v>
      </c>
      <c r="J2325" s="106">
        <v>1183</v>
      </c>
      <c r="K2325" s="106">
        <v>10462</v>
      </c>
      <c r="L2325" s="106">
        <v>5811</v>
      </c>
      <c r="M2325" s="106">
        <v>0.24</v>
      </c>
      <c r="N2325" s="106">
        <v>0.01</v>
      </c>
      <c r="O2325" s="106">
        <v>0.33</v>
      </c>
      <c r="P2325" s="106">
        <v>1758</v>
      </c>
      <c r="Q2325" s="106"/>
      <c r="R2325" s="106"/>
      <c r="S2325" s="106">
        <v>23524.5902556787</v>
      </c>
      <c r="T2325" s="106">
        <v>21065.188192691759</v>
      </c>
      <c r="U2325" s="106">
        <v>19031.321908161088</v>
      </c>
      <c r="V2325" s="106">
        <v>0.1063889164399722</v>
      </c>
      <c r="W2325" s="106">
        <v>181167.70121130551</v>
      </c>
      <c r="X2325" s="110">
        <v>0.70120156030935721</v>
      </c>
      <c r="Y2325" s="106">
        <v>655.55875299760191</v>
      </c>
      <c r="Z2325" s="106">
        <v>21.853717026378895</v>
      </c>
      <c r="AA2325" s="106">
        <v>91666.192679213535</v>
      </c>
      <c r="AB2325" s="106">
        <v>634.4284501078107</v>
      </c>
      <c r="AC2325" s="106">
        <v>1.090914731780676</v>
      </c>
      <c r="AD2325" s="106">
        <v>25.657716300515325</v>
      </c>
      <c r="AE2325" s="106">
        <v>144.48625792811839</v>
      </c>
      <c r="AF2325" s="106">
        <v>9.2494972193566283E-2</v>
      </c>
      <c r="AG2325" s="106">
        <v>1104</v>
      </c>
      <c r="AH2325" s="106">
        <v>23742.539119938549</v>
      </c>
      <c r="AI2325" s="106">
        <v>23742.539119938549</v>
      </c>
      <c r="AJ2325" s="106">
        <v>21976.212663228354</v>
      </c>
      <c r="AK2325" s="104">
        <v>20225.447273126301</v>
      </c>
      <c r="AL2325" s="118">
        <v>149089754</v>
      </c>
      <c r="AM2325" s="118">
        <v>15199</v>
      </c>
      <c r="AN2325" s="118">
        <v>273368</v>
      </c>
      <c r="AO2325" s="118">
        <v>1362</v>
      </c>
      <c r="AP2325" s="118">
        <f t="shared" si="36"/>
        <v>79</v>
      </c>
    </row>
    <row r="2326" spans="1:42" ht="12.75">
      <c r="A2326" s="106">
        <v>2018</v>
      </c>
      <c r="B2326" s="106">
        <v>-238014</v>
      </c>
      <c r="C2326" s="106">
        <v>0</v>
      </c>
      <c r="D2326" s="106">
        <v>238014</v>
      </c>
      <c r="E2326" s="106" t="s">
        <v>3509</v>
      </c>
      <c r="F2326" s="106" t="s">
        <v>3510</v>
      </c>
      <c r="G2326" s="106" t="s">
        <v>110</v>
      </c>
      <c r="H2326" s="106">
        <v>4</v>
      </c>
      <c r="I2326" s="106" t="s">
        <v>24</v>
      </c>
      <c r="J2326" s="106">
        <v>4036</v>
      </c>
      <c r="K2326" s="106">
        <v>4051</v>
      </c>
      <c r="L2326" s="106">
        <v>3124</v>
      </c>
      <c r="M2326" s="106">
        <v>0.69</v>
      </c>
      <c r="N2326" s="106">
        <v>0.26</v>
      </c>
      <c r="O2326" s="106">
        <v>0.12</v>
      </c>
      <c r="P2326" s="106">
        <v>1053</v>
      </c>
      <c r="Q2326" s="106"/>
      <c r="R2326" s="106"/>
      <c r="S2326" s="106">
        <v>11749.127182044887</v>
      </c>
      <c r="T2326" s="106">
        <v>12366.581878636742</v>
      </c>
      <c r="U2326" s="106">
        <v>8225.4287886934544</v>
      </c>
      <c r="V2326" s="106">
        <v>0.49028109532962721</v>
      </c>
      <c r="W2326" s="106">
        <v>57557.026490066222</v>
      </c>
      <c r="X2326" s="110">
        <v>0.5841979006786181</v>
      </c>
      <c r="Y2326" s="106">
        <v>460.57021276595748</v>
      </c>
      <c r="Z2326" s="106">
        <v>15.357446808510639</v>
      </c>
      <c r="AA2326" s="106">
        <v>26387.175554128604</v>
      </c>
      <c r="AB2326" s="106">
        <v>274.27215568485576</v>
      </c>
      <c r="AC2326" s="106">
        <v>3.7897197369558469</v>
      </c>
      <c r="AD2326" s="106">
        <v>35.714285714285715</v>
      </c>
      <c r="AE2326" s="106">
        <v>96.207999999999998</v>
      </c>
      <c r="AF2326" s="106">
        <v>-9.6119368365332296E-3</v>
      </c>
      <c r="AG2326" s="106">
        <v>3240</v>
      </c>
      <c r="AH2326" s="106">
        <v>11031.938487115545</v>
      </c>
      <c r="AI2326" s="106">
        <v>11258.278470490441</v>
      </c>
      <c r="AJ2326" s="106">
        <v>11958.089775561097</v>
      </c>
      <c r="AK2326" s="104">
        <v>9628.4605153782213</v>
      </c>
      <c r="AL2326" s="119">
        <v>6583128</v>
      </c>
      <c r="AM2326" s="118">
        <v>1650</v>
      </c>
      <c r="AN2326" s="118">
        <v>36078</v>
      </c>
      <c r="AO2326" s="118">
        <v>257</v>
      </c>
      <c r="AP2326" s="118">
        <f t="shared" si="36"/>
        <v>796</v>
      </c>
    </row>
    <row r="2327" spans="1:42" ht="12.75">
      <c r="A2327" s="106">
        <v>2018</v>
      </c>
      <c r="B2327" s="106">
        <v>1809</v>
      </c>
      <c r="C2327" s="106">
        <v>1</v>
      </c>
      <c r="D2327" s="106">
        <v>237899</v>
      </c>
      <c r="E2327" s="106" t="s">
        <v>3895</v>
      </c>
      <c r="F2327" s="106" t="s">
        <v>3511</v>
      </c>
      <c r="G2327" s="106" t="s">
        <v>110</v>
      </c>
      <c r="H2327" s="106">
        <v>3</v>
      </c>
      <c r="I2327" s="104" t="s">
        <v>26</v>
      </c>
      <c r="J2327" s="106">
        <v>7546</v>
      </c>
      <c r="K2327" s="106">
        <v>9860</v>
      </c>
      <c r="L2327" s="106">
        <v>12080</v>
      </c>
      <c r="M2327" s="106">
        <v>0.55000000000000004</v>
      </c>
      <c r="N2327" s="106">
        <v>0.63</v>
      </c>
      <c r="O2327" s="106">
        <v>0.41</v>
      </c>
      <c r="P2327" s="106">
        <v>5561</v>
      </c>
      <c r="Q2327" s="106">
        <v>1838.4801184433163</v>
      </c>
      <c r="R2327" s="106">
        <v>0.25430182758518799</v>
      </c>
      <c r="S2327" s="106">
        <v>19017.09263959391</v>
      </c>
      <c r="T2327" s="106">
        <v>19800.869712351945</v>
      </c>
      <c r="U2327" s="106">
        <v>9126.958857127438</v>
      </c>
      <c r="V2327" s="106">
        <v>0.59067207900289687</v>
      </c>
      <c r="W2327" s="106">
        <v>79433.080645161288</v>
      </c>
      <c r="X2327" s="110">
        <v>0.52605525283290122</v>
      </c>
      <c r="Y2327" s="106">
        <v>518.59459459459458</v>
      </c>
      <c r="Z2327" s="106">
        <v>17.425061425061426</v>
      </c>
      <c r="AA2327" s="106">
        <v>53406.264203587292</v>
      </c>
      <c r="AB2327" s="106">
        <v>306.67079905408588</v>
      </c>
      <c r="AC2327" s="106">
        <v>1.8724395254233683</v>
      </c>
      <c r="AD2327" s="106">
        <v>15.22230595327807</v>
      </c>
      <c r="AE2327" s="106">
        <v>174.14851485148515</v>
      </c>
      <c r="AF2327" s="106">
        <v>0.16371762560693187</v>
      </c>
      <c r="AG2327" s="106">
        <v>7546</v>
      </c>
      <c r="AH2327" s="106">
        <v>18823.186971235195</v>
      </c>
      <c r="AI2327" s="106">
        <v>18823.186971235195</v>
      </c>
      <c r="AJ2327" s="106">
        <v>19034.381133671744</v>
      </c>
      <c r="AK2327" s="104">
        <v>16956.071912013536</v>
      </c>
      <c r="AL2327" s="119">
        <v>11099907</v>
      </c>
      <c r="AM2327" s="118">
        <v>3755</v>
      </c>
      <c r="AN2327" s="118">
        <v>70356</v>
      </c>
      <c r="AO2327" s="118">
        <v>370</v>
      </c>
      <c r="AP2327" s="118">
        <f t="shared" si="36"/>
        <v>0</v>
      </c>
    </row>
    <row r="2328" spans="1:42" ht="12.75">
      <c r="A2328" s="106">
        <v>2018</v>
      </c>
      <c r="B2328" s="106">
        <v>-237686</v>
      </c>
      <c r="C2328" s="106">
        <v>0</v>
      </c>
      <c r="D2328" s="106">
        <v>237686</v>
      </c>
      <c r="E2328" s="106" t="s">
        <v>3513</v>
      </c>
      <c r="F2328" s="106" t="s">
        <v>3514</v>
      </c>
      <c r="G2328" s="106" t="s">
        <v>110</v>
      </c>
      <c r="H2328" s="106">
        <v>3</v>
      </c>
      <c r="I2328" s="104" t="s">
        <v>26</v>
      </c>
      <c r="J2328" s="106">
        <v>3552</v>
      </c>
      <c r="K2328" s="106">
        <v>7209</v>
      </c>
      <c r="L2328" s="106">
        <v>7258</v>
      </c>
      <c r="M2328" s="106">
        <v>0.6</v>
      </c>
      <c r="N2328" s="106">
        <v>0.42</v>
      </c>
      <c r="O2328" s="106">
        <v>0.09</v>
      </c>
      <c r="P2328" s="106">
        <v>932</v>
      </c>
      <c r="Q2328" s="106">
        <v>68.126014061654942</v>
      </c>
      <c r="R2328" s="106">
        <v>1.3016868038109513E-2</v>
      </c>
      <c r="S2328" s="106">
        <v>13207.299621416982</v>
      </c>
      <c r="T2328" s="106">
        <v>11938.947539210383</v>
      </c>
      <c r="U2328" s="106">
        <v>8207.7187669010273</v>
      </c>
      <c r="V2328" s="106">
        <v>0.62935218019524419</v>
      </c>
      <c r="W2328" s="106">
        <v>58486.639130434785</v>
      </c>
      <c r="X2328" s="110">
        <v>0.60937066961466202</v>
      </c>
      <c r="Y2328" s="106">
        <v>519.95625000000007</v>
      </c>
      <c r="Z2328" s="106">
        <v>17.334375000000001</v>
      </c>
      <c r="AA2328" s="106">
        <v>19017.634085213034</v>
      </c>
      <c r="AB2328" s="106">
        <v>273.63008906999386</v>
      </c>
      <c r="AC2328" s="106">
        <v>5.2582776360048902</v>
      </c>
      <c r="AD2328" s="106">
        <v>42.066420664206646</v>
      </c>
      <c r="AE2328" s="106">
        <v>69.501253132832076</v>
      </c>
      <c r="AF2328" s="106">
        <v>8.8037516125525836E-2</v>
      </c>
      <c r="AG2328" s="106">
        <v>3552</v>
      </c>
      <c r="AH2328" s="106">
        <v>12017.939967550026</v>
      </c>
      <c r="AI2328" s="106">
        <v>12022.23958896701</v>
      </c>
      <c r="AJ2328" s="106">
        <v>13344.839372633856</v>
      </c>
      <c r="AK2328" s="104">
        <v>9913.5078420767986</v>
      </c>
      <c r="AL2328" s="119">
        <v>9086528</v>
      </c>
      <c r="AM2328" s="118">
        <v>2482</v>
      </c>
      <c r="AN2328" s="118">
        <v>55462</v>
      </c>
      <c r="AO2328" s="118">
        <v>589</v>
      </c>
      <c r="AP2328" s="118">
        <f t="shared" si="36"/>
        <v>0</v>
      </c>
    </row>
    <row r="2329" spans="1:42" ht="12.75">
      <c r="A2329" s="106">
        <v>2018</v>
      </c>
      <c r="B2329" s="106">
        <v>2697</v>
      </c>
      <c r="C2329" s="106">
        <v>1</v>
      </c>
      <c r="D2329" s="106">
        <v>238032</v>
      </c>
      <c r="E2329" s="106" t="s">
        <v>3896</v>
      </c>
      <c r="F2329" s="106" t="s">
        <v>3512</v>
      </c>
      <c r="G2329" s="106" t="s">
        <v>110</v>
      </c>
      <c r="H2329" s="106">
        <v>1</v>
      </c>
      <c r="I2329" s="106" t="s">
        <v>23</v>
      </c>
      <c r="J2329" s="106">
        <v>8376</v>
      </c>
      <c r="K2329" s="106">
        <v>12181</v>
      </c>
      <c r="L2329" s="106">
        <v>8997</v>
      </c>
      <c r="M2329" s="106">
        <v>0.31</v>
      </c>
      <c r="N2329" s="106">
        <v>0.56999999999999995</v>
      </c>
      <c r="O2329" s="106">
        <v>0.66</v>
      </c>
      <c r="P2329" s="106">
        <v>6024</v>
      </c>
      <c r="Q2329" s="106">
        <v>3174.9894249622321</v>
      </c>
      <c r="R2329" s="106">
        <v>0.20059332652764894</v>
      </c>
      <c r="S2329" s="106">
        <v>35013.817395776416</v>
      </c>
      <c r="T2329" s="106">
        <v>34906.45720163286</v>
      </c>
      <c r="U2329" s="106">
        <v>15593.382613405782</v>
      </c>
      <c r="V2329" s="106">
        <v>0.81143406648756655</v>
      </c>
      <c r="W2329" s="106">
        <v>105088.10728330974</v>
      </c>
      <c r="X2329" s="110">
        <v>0.61515709586591782</v>
      </c>
      <c r="Y2329" s="106">
        <v>318.96180599468829</v>
      </c>
      <c r="Z2329" s="106">
        <v>11.803844694574428</v>
      </c>
      <c r="AA2329" s="106">
        <v>69822.35556788533</v>
      </c>
      <c r="AB2329" s="106">
        <v>577.06553942318783</v>
      </c>
      <c r="AC2329" s="106">
        <v>1.4322060490035202</v>
      </c>
      <c r="AD2329" s="106">
        <v>23.992541178908112</v>
      </c>
      <c r="AE2329" s="106">
        <v>120.99553828439839</v>
      </c>
      <c r="AF2329" s="106">
        <v>4.0976404293773028E-2</v>
      </c>
      <c r="AG2329" s="106">
        <v>8376</v>
      </c>
      <c r="AH2329" s="106">
        <v>31852.948378387067</v>
      </c>
      <c r="AI2329" s="106">
        <v>33872.545916235416</v>
      </c>
      <c r="AJ2329" s="106">
        <v>35338.990871395967</v>
      </c>
      <c r="AK2329" s="104">
        <v>24893.672816688631</v>
      </c>
      <c r="AL2329" s="118">
        <v>175173305</v>
      </c>
      <c r="AM2329" s="118">
        <v>25537</v>
      </c>
      <c r="AN2329" s="118">
        <v>840677</v>
      </c>
      <c r="AO2329" s="118">
        <v>4888</v>
      </c>
      <c r="AP2329" s="118">
        <f t="shared" si="36"/>
        <v>0</v>
      </c>
    </row>
    <row r="2330" spans="1:42" ht="12.75">
      <c r="A2330" s="106">
        <v>2018</v>
      </c>
      <c r="B2330" s="106">
        <v>-237969</v>
      </c>
      <c r="C2330" s="106">
        <v>0</v>
      </c>
      <c r="D2330" s="106">
        <v>237969</v>
      </c>
      <c r="E2330" s="106" t="s">
        <v>3515</v>
      </c>
      <c r="F2330" s="106" t="s">
        <v>3516</v>
      </c>
      <c r="G2330" s="106" t="s">
        <v>110</v>
      </c>
      <c r="H2330" s="106">
        <v>6</v>
      </c>
      <c r="I2330" s="106" t="s">
        <v>3640</v>
      </c>
      <c r="J2330" s="106">
        <v>30752</v>
      </c>
      <c r="K2330" s="106">
        <v>19182</v>
      </c>
      <c r="L2330" s="106">
        <v>14266</v>
      </c>
      <c r="M2330" s="106">
        <v>0.41</v>
      </c>
      <c r="N2330" s="106">
        <v>0.93</v>
      </c>
      <c r="O2330" s="106">
        <v>1</v>
      </c>
      <c r="P2330" s="106">
        <v>20729</v>
      </c>
      <c r="Q2330" s="106">
        <v>18268.733876945887</v>
      </c>
      <c r="R2330" s="106">
        <v>0.60745214912087186</v>
      </c>
      <c r="S2330" s="106">
        <v>22718.055596738326</v>
      </c>
      <c r="T2330" s="106">
        <v>22967.785767234989</v>
      </c>
      <c r="U2330" s="106">
        <v>17952.808005930317</v>
      </c>
      <c r="V2330" s="106">
        <v>0.65759211057340106</v>
      </c>
      <c r="W2330" s="106">
        <v>49730.581914893621</v>
      </c>
      <c r="X2330" s="110">
        <v>0.50292017927065347</v>
      </c>
      <c r="Y2330" s="106">
        <v>388.52442996742673</v>
      </c>
      <c r="Z2330" s="106">
        <v>13.182410423452769</v>
      </c>
      <c r="AA2330" s="106">
        <v>66717.184573002756</v>
      </c>
      <c r="AB2330" s="106">
        <v>609.12844890465055</v>
      </c>
      <c r="AC2330" s="106">
        <v>1.4988642077751166</v>
      </c>
      <c r="AD2330" s="106">
        <v>25.473684210526315</v>
      </c>
      <c r="AE2330" s="106">
        <v>109.52892561983471</v>
      </c>
      <c r="AF2330" s="106">
        <v>5.5521764426057059E-2</v>
      </c>
      <c r="AG2330" s="106">
        <v>29574</v>
      </c>
      <c r="AH2330" s="106">
        <v>20832.33728687917</v>
      </c>
      <c r="AI2330" s="106">
        <v>22718.055596738326</v>
      </c>
      <c r="AJ2330" s="106">
        <v>25983.565604151223</v>
      </c>
      <c r="AK2330" s="104">
        <v>17952.808005930317</v>
      </c>
      <c r="AM2330" s="118">
        <v>1320</v>
      </c>
      <c r="AN2330" s="118">
        <v>39759</v>
      </c>
      <c r="AO2330" s="118">
        <v>298</v>
      </c>
      <c r="AP2330" s="118">
        <f t="shared" si="36"/>
        <v>1178</v>
      </c>
    </row>
    <row r="2331" spans="1:42" ht="12.75">
      <c r="A2331" s="106">
        <v>2018</v>
      </c>
      <c r="B2331" s="106">
        <v>-200004</v>
      </c>
      <c r="C2331" s="106">
        <v>0</v>
      </c>
      <c r="D2331" s="106">
        <v>200004</v>
      </c>
      <c r="E2331" s="106" t="s">
        <v>3517</v>
      </c>
      <c r="F2331" s="106" t="s">
        <v>3518</v>
      </c>
      <c r="G2331" s="106" t="s">
        <v>90</v>
      </c>
      <c r="H2331" s="106">
        <v>2</v>
      </c>
      <c r="I2331" s="106" t="s">
        <v>25</v>
      </c>
      <c r="J2331" s="106">
        <v>6897</v>
      </c>
      <c r="K2331" s="106">
        <v>15021</v>
      </c>
      <c r="L2331" s="106">
        <v>10983</v>
      </c>
      <c r="M2331" s="106">
        <v>0.42</v>
      </c>
      <c r="N2331" s="106">
        <v>0.67</v>
      </c>
      <c r="O2331" s="106">
        <v>0.68</v>
      </c>
      <c r="P2331" s="106">
        <v>2059</v>
      </c>
      <c r="Q2331" s="106">
        <v>681.21977043340587</v>
      </c>
      <c r="R2331" s="106">
        <v>8.554513796220814E-2</v>
      </c>
      <c r="S2331" s="106">
        <v>24125.403522659806</v>
      </c>
      <c r="T2331" s="106">
        <v>22768.860379972295</v>
      </c>
      <c r="U2331" s="106">
        <v>12893.525846731001</v>
      </c>
      <c r="V2331" s="106">
        <v>0.56478413759581336</v>
      </c>
      <c r="W2331" s="106">
        <v>81481.02838569881</v>
      </c>
      <c r="X2331" s="110">
        <v>0.54473635992800984</v>
      </c>
      <c r="Y2331" s="106">
        <v>519.90784780023785</v>
      </c>
      <c r="Z2331" s="106">
        <v>18.024970273483948</v>
      </c>
      <c r="AA2331" s="106">
        <v>46703.215844825623</v>
      </c>
      <c r="AB2331" s="106">
        <v>447.01271790961596</v>
      </c>
      <c r="AC2331" s="106">
        <v>2.1411801776617758</v>
      </c>
      <c r="AD2331" s="106">
        <v>28.852119958634955</v>
      </c>
      <c r="AE2331" s="106">
        <v>104.47849462365592</v>
      </c>
      <c r="AF2331" s="106">
        <v>8.3667728243326217E-2</v>
      </c>
      <c r="AG2331" s="106">
        <v>3971</v>
      </c>
      <c r="AH2331" s="106">
        <v>23849.587670690678</v>
      </c>
      <c r="AI2331" s="106">
        <v>24419.522560854937</v>
      </c>
      <c r="AJ2331" s="106">
        <v>24987.102513358401</v>
      </c>
      <c r="AK2331" s="104">
        <v>14901.252820106867</v>
      </c>
      <c r="AL2331" s="119">
        <v>95829053</v>
      </c>
      <c r="AM2331" s="118">
        <v>9406</v>
      </c>
      <c r="AN2331" s="118">
        <v>291495</v>
      </c>
      <c r="AO2331" s="118">
        <v>2147</v>
      </c>
      <c r="AP2331" s="118">
        <f t="shared" si="36"/>
        <v>2926</v>
      </c>
    </row>
    <row r="2332" spans="1:42">
      <c r="A2332" s="106">
        <v>2018</v>
      </c>
      <c r="B2332" s="106">
        <v>-130776</v>
      </c>
      <c r="C2332" s="106">
        <v>0</v>
      </c>
      <c r="D2332" s="106">
        <v>130776</v>
      </c>
      <c r="E2332" s="106" t="s">
        <v>3519</v>
      </c>
      <c r="F2332" s="106" t="s">
        <v>3520</v>
      </c>
      <c r="G2332" s="106" t="s">
        <v>99</v>
      </c>
      <c r="H2332" s="106">
        <v>2</v>
      </c>
      <c r="I2332" s="106" t="s">
        <v>25</v>
      </c>
      <c r="J2332" s="106">
        <v>10418</v>
      </c>
      <c r="K2332" s="107">
        <v>19029</v>
      </c>
      <c r="L2332" s="107">
        <v>18440</v>
      </c>
      <c r="M2332" s="107">
        <v>0.35</v>
      </c>
      <c r="N2332" s="107">
        <v>0.67</v>
      </c>
      <c r="O2332" s="107">
        <v>0.02</v>
      </c>
      <c r="P2332" s="107">
        <v>10418</v>
      </c>
      <c r="Q2332" s="107">
        <v>1317.9989707698642</v>
      </c>
      <c r="R2332" s="107">
        <v>0.13080050635756904</v>
      </c>
      <c r="S2332" s="107">
        <v>25883.511115685465</v>
      </c>
      <c r="T2332" s="107">
        <v>30086.466858789627</v>
      </c>
      <c r="U2332" s="107">
        <v>24564.001145414204</v>
      </c>
      <c r="V2332" s="107">
        <v>0.35655456535364871</v>
      </c>
      <c r="W2332" s="107">
        <v>127032.77289546716</v>
      </c>
      <c r="X2332" s="111">
        <v>0.6263563897375628</v>
      </c>
      <c r="Y2332" s="107">
        <v>401.21381267738877</v>
      </c>
      <c r="Z2332" s="107">
        <v>13.788079470198674</v>
      </c>
      <c r="AA2332" s="107">
        <v>108681.16353772514</v>
      </c>
      <c r="AB2332" s="107">
        <v>844.16435625400356</v>
      </c>
      <c r="AC2332" s="107">
        <v>0.92012264816513711</v>
      </c>
      <c r="AD2332" s="107">
        <v>23.05269787948772</v>
      </c>
      <c r="AE2332" s="107">
        <v>128.74408014571949</v>
      </c>
      <c r="AF2332" s="106">
        <v>-3.6216322022237471E-2</v>
      </c>
      <c r="AG2332" s="107">
        <v>5424</v>
      </c>
      <c r="AH2332" s="107">
        <v>24075.105804857965</v>
      </c>
      <c r="AI2332" s="107">
        <v>24102.289831206257</v>
      </c>
      <c r="AJ2332" s="107">
        <v>25977.511321531496</v>
      </c>
      <c r="AK2332" s="104">
        <v>27395.004528612597</v>
      </c>
      <c r="AL2332" s="119">
        <v>47767665</v>
      </c>
      <c r="AM2332" s="118">
        <v>5082</v>
      </c>
      <c r="AN2332" s="118">
        <v>141361</v>
      </c>
      <c r="AO2332" s="118">
        <v>946</v>
      </c>
      <c r="AP2332" s="118">
        <f t="shared" si="36"/>
        <v>4994</v>
      </c>
    </row>
    <row r="2333" spans="1:42" ht="12.75">
      <c r="A2333" s="106">
        <v>2018</v>
      </c>
      <c r="B2333" s="106">
        <v>-219480</v>
      </c>
      <c r="C2333" s="106">
        <v>0</v>
      </c>
      <c r="D2333" s="106">
        <v>219480</v>
      </c>
      <c r="E2333" s="106" t="s">
        <v>3521</v>
      </c>
      <c r="F2333" s="106" t="s">
        <v>3522</v>
      </c>
      <c r="G2333" s="106" t="s">
        <v>246</v>
      </c>
      <c r="H2333" s="106">
        <v>4</v>
      </c>
      <c r="I2333" s="106" t="s">
        <v>24</v>
      </c>
      <c r="J2333" s="106">
        <v>7168</v>
      </c>
      <c r="K2333" s="106">
        <v>15387</v>
      </c>
      <c r="L2333" s="106">
        <v>15003</v>
      </c>
      <c r="M2333" s="106">
        <v>0.71</v>
      </c>
      <c r="N2333" s="106">
        <v>0.66</v>
      </c>
      <c r="O2333" s="106">
        <v>0.13</v>
      </c>
      <c r="P2333" s="106">
        <v>1354</v>
      </c>
      <c r="Q2333" s="106">
        <v>147.28009259259258</v>
      </c>
      <c r="R2333" s="106">
        <v>1.7089705711910135E-2</v>
      </c>
      <c r="S2333" s="106">
        <v>17170.072916666668</v>
      </c>
      <c r="T2333" s="106">
        <v>14365.891203703704</v>
      </c>
      <c r="U2333" s="106">
        <v>11912.217592592593</v>
      </c>
      <c r="V2333" s="106">
        <v>0.71110008437493566</v>
      </c>
      <c r="W2333" s="106">
        <v>60286.086053412466</v>
      </c>
      <c r="X2333" s="110">
        <v>0.54560635442909478</v>
      </c>
      <c r="Y2333" s="106">
        <v>395.5051546391752</v>
      </c>
      <c r="Z2333" s="106">
        <v>13.36082474226804</v>
      </c>
      <c r="AA2333" s="106">
        <v>27013.532808398952</v>
      </c>
      <c r="AB2333" s="106">
        <v>402.4146074444792</v>
      </c>
      <c r="AC2333" s="106">
        <v>3.7018482813513516</v>
      </c>
      <c r="AD2333" s="106">
        <v>49.934469200524248</v>
      </c>
      <c r="AE2333" s="106">
        <v>67.128608923884514</v>
      </c>
      <c r="AF2333" s="106">
        <v>0.29412766484306818</v>
      </c>
      <c r="AG2333" s="106">
        <v>3450</v>
      </c>
      <c r="AH2333" s="106">
        <v>15688.171296296296</v>
      </c>
      <c r="AI2333" s="106">
        <v>15688.171296296296</v>
      </c>
      <c r="AJ2333" s="106">
        <v>17170.415509259259</v>
      </c>
      <c r="AK2333" s="104">
        <v>13626.513888888889</v>
      </c>
      <c r="AL2333" s="119">
        <v>3704559</v>
      </c>
      <c r="AM2333" s="118">
        <v>1050</v>
      </c>
      <c r="AN2333" s="118">
        <v>25576</v>
      </c>
      <c r="AO2333" s="118">
        <v>225</v>
      </c>
      <c r="AP2333" s="118">
        <f t="shared" si="36"/>
        <v>3718</v>
      </c>
    </row>
    <row r="2334" spans="1:42" ht="12.75">
      <c r="A2334" s="106">
        <v>2018</v>
      </c>
      <c r="B2334" s="106">
        <v>-433387</v>
      </c>
      <c r="C2334" s="106">
        <v>0</v>
      </c>
      <c r="D2334" s="106">
        <v>433387</v>
      </c>
      <c r="E2334" s="106" t="s">
        <v>3523</v>
      </c>
      <c r="F2334" s="106" t="s">
        <v>2698</v>
      </c>
      <c r="G2334" s="106" t="s">
        <v>458</v>
      </c>
      <c r="H2334" s="106">
        <v>6</v>
      </c>
      <c r="I2334" s="106" t="s">
        <v>3640</v>
      </c>
      <c r="J2334" s="106">
        <v>6070</v>
      </c>
      <c r="K2334" s="106"/>
      <c r="L2334" s="106"/>
      <c r="M2334" s="106"/>
      <c r="N2334" s="106"/>
      <c r="O2334" s="106"/>
      <c r="P2334" s="106"/>
      <c r="Q2334" s="106"/>
      <c r="R2334" s="106"/>
      <c r="S2334" s="106">
        <v>7787.9996842357878</v>
      </c>
      <c r="T2334" s="106">
        <v>7638.6106627259296</v>
      </c>
      <c r="U2334" s="106">
        <v>7638.6106627259296</v>
      </c>
      <c r="V2334" s="106">
        <v>1.0219941517040705</v>
      </c>
      <c r="W2334" s="106">
        <v>82512.757613931084</v>
      </c>
      <c r="X2334" s="110">
        <v>0.61373552118562846</v>
      </c>
      <c r="Y2334" s="106">
        <v>876.37412223667093</v>
      </c>
      <c r="Z2334" s="106">
        <v>30.886736020806239</v>
      </c>
      <c r="AA2334" s="106">
        <v>22257.985425637627</v>
      </c>
      <c r="AB2334" s="106">
        <v>269.21350724413173</v>
      </c>
      <c r="AC2334" s="106">
        <v>4.4927695875304172</v>
      </c>
      <c r="AD2334" s="106">
        <v>27.549251219240169</v>
      </c>
      <c r="AE2334" s="106">
        <v>82.677818262117697</v>
      </c>
      <c r="AF2334" s="106">
        <v>0.14074573009686045</v>
      </c>
      <c r="AG2334" s="106">
        <v>5780</v>
      </c>
      <c r="AH2334" s="106">
        <v>7857.5355992573222</v>
      </c>
      <c r="AI2334" s="106">
        <v>7876.0816566253643</v>
      </c>
      <c r="AJ2334" s="106">
        <v>7880.3418337059347</v>
      </c>
      <c r="AK2334" s="104">
        <v>7638.6106627259296</v>
      </c>
      <c r="AM2334" s="118">
        <v>72385</v>
      </c>
      <c r="AN2334" s="118">
        <v>2246439</v>
      </c>
      <c r="AO2334" s="118">
        <v>16089</v>
      </c>
      <c r="AP2334" s="118">
        <f t="shared" si="36"/>
        <v>290</v>
      </c>
    </row>
    <row r="2335" spans="1:42" ht="12.75">
      <c r="A2335" s="106">
        <v>2018</v>
      </c>
      <c r="B2335" s="106">
        <v>-149772</v>
      </c>
      <c r="C2335" s="106">
        <v>0</v>
      </c>
      <c r="D2335" s="106">
        <v>149772</v>
      </c>
      <c r="E2335" s="106" t="s">
        <v>3524</v>
      </c>
      <c r="F2335" s="106" t="s">
        <v>3525</v>
      </c>
      <c r="G2335" s="106" t="s">
        <v>243</v>
      </c>
      <c r="H2335" s="106">
        <v>2</v>
      </c>
      <c r="I2335" s="106" t="s">
        <v>25</v>
      </c>
      <c r="J2335" s="106">
        <v>12664</v>
      </c>
      <c r="K2335" s="106">
        <v>15808</v>
      </c>
      <c r="L2335" s="106">
        <v>13798</v>
      </c>
      <c r="M2335" s="106">
        <v>0.62</v>
      </c>
      <c r="N2335" s="106">
        <v>0.76</v>
      </c>
      <c r="O2335" s="106">
        <v>0.59</v>
      </c>
      <c r="P2335" s="106">
        <v>5013</v>
      </c>
      <c r="Q2335" s="106">
        <v>1195.9637106464793</v>
      </c>
      <c r="R2335" s="106">
        <v>0.12196428673401492</v>
      </c>
      <c r="S2335" s="106">
        <v>37754.695866378272</v>
      </c>
      <c r="T2335" s="106">
        <v>35184.44556596972</v>
      </c>
      <c r="U2335" s="106">
        <v>23453.869067036681</v>
      </c>
      <c r="V2335" s="106">
        <v>0.36709883486947809</v>
      </c>
      <c r="W2335" s="106">
        <v>130226.2735709766</v>
      </c>
      <c r="X2335" s="110">
        <v>0.70286010117943498</v>
      </c>
      <c r="Y2335" s="106">
        <v>422.25174418604649</v>
      </c>
      <c r="Z2335" s="106">
        <v>14.515116279069767</v>
      </c>
      <c r="AA2335" s="106">
        <v>74355.466047954003</v>
      </c>
      <c r="AB2335" s="106">
        <v>806.23855647619803</v>
      </c>
      <c r="AC2335" s="106">
        <v>1.3448910391538274</v>
      </c>
      <c r="AD2335" s="106">
        <v>31.531531531531531</v>
      </c>
      <c r="AE2335" s="106">
        <v>92.225142857142856</v>
      </c>
      <c r="AF2335" s="106">
        <v>0.13991868121003839</v>
      </c>
      <c r="AG2335" s="106">
        <v>8630</v>
      </c>
      <c r="AH2335" s="106">
        <v>37902.951574140832</v>
      </c>
      <c r="AI2335" s="106">
        <v>38042.696106705116</v>
      </c>
      <c r="AJ2335" s="106">
        <v>37859.761956260518</v>
      </c>
      <c r="AK2335" s="104">
        <v>28290.062484979571</v>
      </c>
      <c r="AL2335" s="118">
        <v>66336828</v>
      </c>
      <c r="AM2335" s="118">
        <v>7599</v>
      </c>
      <c r="AN2335" s="118">
        <v>242091</v>
      </c>
      <c r="AO2335" s="118">
        <v>1905</v>
      </c>
      <c r="AP2335" s="118">
        <f t="shared" si="36"/>
        <v>4034</v>
      </c>
    </row>
    <row r="2336" spans="1:42" ht="12.75">
      <c r="A2336" s="106">
        <v>2018</v>
      </c>
      <c r="B2336" s="106">
        <v>-154572</v>
      </c>
      <c r="C2336" s="106">
        <v>0</v>
      </c>
      <c r="D2336" s="106">
        <v>154572</v>
      </c>
      <c r="E2336" s="106" t="s">
        <v>3526</v>
      </c>
      <c r="F2336" s="106" t="s">
        <v>446</v>
      </c>
      <c r="G2336" s="106" t="s">
        <v>447</v>
      </c>
      <c r="H2336" s="106">
        <v>4</v>
      </c>
      <c r="I2336" s="106" t="s">
        <v>24</v>
      </c>
      <c r="J2336" s="106">
        <v>4200</v>
      </c>
      <c r="K2336" s="106">
        <v>7514</v>
      </c>
      <c r="L2336" s="106">
        <v>6863</v>
      </c>
      <c r="M2336" s="106">
        <v>0.61</v>
      </c>
      <c r="N2336" s="106">
        <v>0.83</v>
      </c>
      <c r="O2336" s="106">
        <v>0.38</v>
      </c>
      <c r="P2336" s="106">
        <v>1536</v>
      </c>
      <c r="Q2336" s="106"/>
      <c r="R2336" s="106"/>
      <c r="S2336" s="106">
        <v>16735.09963768116</v>
      </c>
      <c r="T2336" s="106">
        <v>16066.081823671497</v>
      </c>
      <c r="U2336" s="106">
        <v>10580.98716974216</v>
      </c>
      <c r="V2336" s="106">
        <v>0.49525503184301239</v>
      </c>
      <c r="W2336" s="106">
        <v>60924.110223642165</v>
      </c>
      <c r="X2336" s="110">
        <v>0.47782840883448929</v>
      </c>
      <c r="Y2336" s="106">
        <v>542.93442622950818</v>
      </c>
      <c r="Z2336" s="106">
        <v>18.098360655737704</v>
      </c>
      <c r="AA2336" s="106">
        <v>18252.202867805227</v>
      </c>
      <c r="AB2336" s="106">
        <v>352.71022178795693</v>
      </c>
      <c r="AC2336" s="106">
        <v>5.4787907368917326</v>
      </c>
      <c r="AD2336" s="106">
        <v>60.282574568288851</v>
      </c>
      <c r="AE2336" s="106">
        <v>51.748437500000001</v>
      </c>
      <c r="AF2336" s="106">
        <v>4.7634703078476795E-2</v>
      </c>
      <c r="AG2336" s="106">
        <v>3504</v>
      </c>
      <c r="AH2336" s="106">
        <v>16583.627717391304</v>
      </c>
      <c r="AI2336" s="106">
        <v>16590.3125</v>
      </c>
      <c r="AJ2336" s="106">
        <v>16788.169384057972</v>
      </c>
      <c r="AK2336" s="104">
        <v>14398.459239130434</v>
      </c>
      <c r="AL2336" s="119">
        <v>20376398</v>
      </c>
      <c r="AM2336" s="118">
        <v>5731</v>
      </c>
      <c r="AN2336" s="118">
        <v>99357</v>
      </c>
      <c r="AO2336" s="118">
        <v>514</v>
      </c>
      <c r="AP2336" s="118">
        <f t="shared" si="36"/>
        <v>696</v>
      </c>
    </row>
    <row r="2337" spans="1:42" ht="12.75">
      <c r="A2337" s="106">
        <v>2018</v>
      </c>
      <c r="B2337" s="106">
        <v>-157951</v>
      </c>
      <c r="C2337" s="106">
        <v>0</v>
      </c>
      <c r="D2337" s="106">
        <v>157951</v>
      </c>
      <c r="E2337" s="106" t="s">
        <v>3527</v>
      </c>
      <c r="F2337" s="106" t="s">
        <v>430</v>
      </c>
      <c r="G2337" s="106" t="s">
        <v>118</v>
      </c>
      <c r="H2337" s="106">
        <v>2</v>
      </c>
      <c r="I2337" s="106" t="s">
        <v>25</v>
      </c>
      <c r="J2337" s="106">
        <v>10202</v>
      </c>
      <c r="K2337" s="106">
        <v>12486</v>
      </c>
      <c r="L2337" s="106">
        <v>12499</v>
      </c>
      <c r="M2337" s="106">
        <v>0.42</v>
      </c>
      <c r="N2337" s="106">
        <v>0.56999999999999995</v>
      </c>
      <c r="O2337" s="106">
        <v>0.49</v>
      </c>
      <c r="P2337" s="106">
        <v>6657</v>
      </c>
      <c r="Q2337" s="106">
        <v>2586.2661663539711</v>
      </c>
      <c r="R2337" s="106">
        <v>0.20634065478057614</v>
      </c>
      <c r="S2337" s="106">
        <v>20746.357535959974</v>
      </c>
      <c r="T2337" s="106">
        <v>20626.545778611631</v>
      </c>
      <c r="U2337" s="106">
        <v>15215.030084498108</v>
      </c>
      <c r="V2337" s="106">
        <v>0.65380725130863049</v>
      </c>
      <c r="W2337" s="106">
        <v>79407.437185929652</v>
      </c>
      <c r="X2337" s="110">
        <v>0.57493736395300143</v>
      </c>
      <c r="Y2337" s="106">
        <v>509.6849112426035</v>
      </c>
      <c r="Z2337" s="106">
        <v>17.740384615384613</v>
      </c>
      <c r="AA2337" s="106">
        <v>52682.618244072059</v>
      </c>
      <c r="AB2337" s="106">
        <v>529.58304175727426</v>
      </c>
      <c r="AC2337" s="106">
        <v>1.8981592664341844</v>
      </c>
      <c r="AD2337" s="106">
        <v>28.275777614499141</v>
      </c>
      <c r="AE2337" s="106">
        <v>99.479428323949762</v>
      </c>
      <c r="AF2337" s="106">
        <v>-0.19941283209241387</v>
      </c>
      <c r="AG2337" s="106">
        <v>10202</v>
      </c>
      <c r="AH2337" s="106">
        <v>20951.285741088181</v>
      </c>
      <c r="AI2337" s="106">
        <v>20951.285741088181</v>
      </c>
      <c r="AJ2337" s="106">
        <v>20747.43708567855</v>
      </c>
      <c r="AK2337" s="104">
        <v>18675.061475922452</v>
      </c>
      <c r="AL2337" s="119">
        <v>73907300</v>
      </c>
      <c r="AM2337" s="118">
        <v>17656</v>
      </c>
      <c r="AN2337" s="118">
        <v>459396</v>
      </c>
      <c r="AO2337" s="118">
        <v>3271</v>
      </c>
      <c r="AP2337" s="118">
        <f t="shared" si="36"/>
        <v>0</v>
      </c>
    </row>
    <row r="2338" spans="1:42" ht="12.75">
      <c r="A2338" s="106">
        <v>2018</v>
      </c>
      <c r="B2338" s="106">
        <v>-172699</v>
      </c>
      <c r="C2338" s="106">
        <v>0</v>
      </c>
      <c r="D2338" s="106">
        <v>172699</v>
      </c>
      <c r="E2338" s="106" t="s">
        <v>3528</v>
      </c>
      <c r="F2338" s="106" t="s">
        <v>1649</v>
      </c>
      <c r="G2338" s="106" t="s">
        <v>74</v>
      </c>
      <c r="H2338" s="106">
        <v>1</v>
      </c>
      <c r="I2338" s="106" t="s">
        <v>23</v>
      </c>
      <c r="J2338" s="106">
        <v>11943</v>
      </c>
      <c r="K2338" s="106">
        <v>15863</v>
      </c>
      <c r="L2338" s="106">
        <v>12977</v>
      </c>
      <c r="M2338" s="106">
        <v>0.34</v>
      </c>
      <c r="N2338" s="106">
        <v>0.76</v>
      </c>
      <c r="O2338" s="106">
        <v>0.5</v>
      </c>
      <c r="P2338" s="106">
        <v>6720</v>
      </c>
      <c r="Q2338" s="106">
        <v>3039.9925702706914</v>
      </c>
      <c r="R2338" s="106">
        <v>0.19230349325100476</v>
      </c>
      <c r="S2338" s="106">
        <v>29873.05413830727</v>
      </c>
      <c r="T2338" s="106">
        <v>28992.902686132904</v>
      </c>
      <c r="U2338" s="106">
        <v>18930.321546454979</v>
      </c>
      <c r="V2338" s="106">
        <v>0.67449007348739665</v>
      </c>
      <c r="W2338" s="106">
        <v>113962.95488633701</v>
      </c>
      <c r="X2338" s="110">
        <v>0.58095212011815967</v>
      </c>
      <c r="Y2338" s="106">
        <v>532.34647171010806</v>
      </c>
      <c r="Z2338" s="106">
        <v>18.353782581055306</v>
      </c>
      <c r="AA2338" s="106">
        <v>69519.538027975388</v>
      </c>
      <c r="AB2338" s="106">
        <v>652.66330165949375</v>
      </c>
      <c r="AC2338" s="106">
        <v>1.438444541443284</v>
      </c>
      <c r="AD2338" s="106">
        <v>28.004274646005879</v>
      </c>
      <c r="AE2338" s="106">
        <v>106.51669528715894</v>
      </c>
      <c r="AF2338" s="106">
        <v>9.2017959157522269E-2</v>
      </c>
      <c r="AG2338" s="106">
        <v>11020</v>
      </c>
      <c r="AH2338" s="106">
        <v>27432.030290434872</v>
      </c>
      <c r="AI2338" s="106">
        <v>29099.222476230061</v>
      </c>
      <c r="AJ2338" s="106">
        <v>30515.466462305812</v>
      </c>
      <c r="AK2338" s="104">
        <v>21929.499246635838</v>
      </c>
      <c r="AL2338" s="118">
        <v>110571948</v>
      </c>
      <c r="AM2338" s="118">
        <v>17936</v>
      </c>
      <c r="AN2338" s="118">
        <v>558254</v>
      </c>
      <c r="AO2338" s="118">
        <v>3763</v>
      </c>
      <c r="AP2338" s="118">
        <f t="shared" si="36"/>
        <v>923</v>
      </c>
    </row>
    <row r="2339" spans="1:42" ht="12.75">
      <c r="A2339" s="106">
        <v>2018</v>
      </c>
      <c r="B2339" s="106">
        <v>-181817</v>
      </c>
      <c r="C2339" s="106">
        <v>0</v>
      </c>
      <c r="D2339" s="106">
        <v>181817</v>
      </c>
      <c r="E2339" s="106" t="s">
        <v>3529</v>
      </c>
      <c r="F2339" s="106" t="s">
        <v>3530</v>
      </c>
      <c r="G2339" s="106" t="s">
        <v>323</v>
      </c>
      <c r="H2339" s="106">
        <v>4</v>
      </c>
      <c r="I2339" s="106" t="s">
        <v>24</v>
      </c>
      <c r="J2339" s="106">
        <v>2760</v>
      </c>
      <c r="K2339" s="106">
        <v>5610</v>
      </c>
      <c r="L2339" s="106">
        <v>4512</v>
      </c>
      <c r="M2339" s="106">
        <v>0.46</v>
      </c>
      <c r="N2339" s="106">
        <v>0.19</v>
      </c>
      <c r="O2339" s="106">
        <v>0.83</v>
      </c>
      <c r="P2339" s="106">
        <v>3376</v>
      </c>
      <c r="Q2339" s="106">
        <v>1069.7074707470747</v>
      </c>
      <c r="R2339" s="106">
        <v>0.24907940100810044</v>
      </c>
      <c r="S2339" s="106">
        <v>27317.926192619263</v>
      </c>
      <c r="T2339" s="106">
        <v>27749.392439243926</v>
      </c>
      <c r="U2339" s="106">
        <v>24901.712871287127</v>
      </c>
      <c r="V2339" s="106">
        <v>0.12950663315284938</v>
      </c>
      <c r="W2339" s="106">
        <v>77495.339734121124</v>
      </c>
      <c r="X2339" s="110">
        <v>0.56725125143632371</v>
      </c>
      <c r="Y2339" s="106">
        <v>354.5</v>
      </c>
      <c r="Z2339" s="106">
        <v>11.819148936170214</v>
      </c>
      <c r="AA2339" s="106">
        <v>84604.902140672784</v>
      </c>
      <c r="AB2339" s="106">
        <v>830.23146175314344</v>
      </c>
      <c r="AC2339" s="106">
        <v>1.1819646080758979</v>
      </c>
      <c r="AD2339" s="106">
        <v>28.044596912521442</v>
      </c>
      <c r="AE2339" s="106">
        <v>101.90519877675841</v>
      </c>
      <c r="AF2339" s="106">
        <v>5.6111127816323707E-2</v>
      </c>
      <c r="AG2339" s="106">
        <v>2340</v>
      </c>
      <c r="AH2339" s="106">
        <v>26512.316831683169</v>
      </c>
      <c r="AI2339" s="106">
        <v>26512.316831683169</v>
      </c>
      <c r="AJ2339" s="106">
        <v>27573.652565256525</v>
      </c>
      <c r="AK2339" s="104">
        <v>26382.814581458148</v>
      </c>
      <c r="AL2339" s="119">
        <v>22465630</v>
      </c>
      <c r="AM2339" s="118">
        <v>1905</v>
      </c>
      <c r="AN2339" s="118">
        <v>33323</v>
      </c>
      <c r="AO2339" s="118">
        <v>217</v>
      </c>
      <c r="AP2339" s="118">
        <f t="shared" si="36"/>
        <v>420</v>
      </c>
    </row>
    <row r="2340" spans="1:42" ht="12.75">
      <c r="A2340" s="106">
        <v>2018</v>
      </c>
      <c r="B2340" s="106">
        <v>-182564</v>
      </c>
      <c r="C2340" s="106">
        <v>0</v>
      </c>
      <c r="D2340" s="106">
        <v>182564</v>
      </c>
      <c r="E2340" s="106" t="s">
        <v>3531</v>
      </c>
      <c r="F2340" s="106" t="s">
        <v>3532</v>
      </c>
      <c r="G2340" s="106" t="s">
        <v>844</v>
      </c>
      <c r="H2340" s="106">
        <v>4</v>
      </c>
      <c r="I2340" s="106" t="s">
        <v>24</v>
      </c>
      <c r="J2340" s="106">
        <v>3210</v>
      </c>
      <c r="K2340" s="106">
        <v>11187</v>
      </c>
      <c r="L2340" s="106">
        <v>10204</v>
      </c>
      <c r="M2340" s="106">
        <v>0.49</v>
      </c>
      <c r="N2340" s="106">
        <v>0.04</v>
      </c>
      <c r="O2340" s="106">
        <v>0.35</v>
      </c>
      <c r="P2340" s="106">
        <v>1163</v>
      </c>
      <c r="Q2340" s="106">
        <v>1290.2193784277879</v>
      </c>
      <c r="R2340" s="106">
        <v>0.29750237116661399</v>
      </c>
      <c r="S2340" s="106">
        <v>13908.592321755028</v>
      </c>
      <c r="T2340" s="106">
        <v>16034.734917733089</v>
      </c>
      <c r="U2340" s="106">
        <v>10607.653670600279</v>
      </c>
      <c r="V2340" s="106">
        <v>0.2872094065767638</v>
      </c>
      <c r="W2340" s="106">
        <v>66032.085561497341</v>
      </c>
      <c r="X2340" s="110">
        <v>0.58659217877094971</v>
      </c>
      <c r="Y2340" s="106">
        <v>554.77183098591547</v>
      </c>
      <c r="Z2340" s="106">
        <v>18.490140845070421</v>
      </c>
      <c r="AA2340" s="106">
        <v>24560.366382299904</v>
      </c>
      <c r="AB2340" s="106">
        <v>353.54536667184698</v>
      </c>
      <c r="AC2340" s="106">
        <v>4.0716004982754539</v>
      </c>
      <c r="AD2340" s="106">
        <v>41.814159292035399</v>
      </c>
      <c r="AE2340" s="106">
        <v>69.468783068783068</v>
      </c>
      <c r="AF2340" s="106">
        <v>-0.10533717741368399</v>
      </c>
      <c r="AG2340" s="106">
        <v>3015</v>
      </c>
      <c r="AH2340" s="106">
        <v>12115.63071297989</v>
      </c>
      <c r="AI2340" s="106">
        <v>12864.259597806216</v>
      </c>
      <c r="AJ2340" s="106">
        <v>14189.670932358318</v>
      </c>
      <c r="AK2340" s="104">
        <v>12096.892138939671</v>
      </c>
      <c r="AL2340" s="119">
        <v>13521000</v>
      </c>
      <c r="AM2340" s="118">
        <v>3642</v>
      </c>
      <c r="AN2340" s="118">
        <v>65648</v>
      </c>
      <c r="AO2340" s="118">
        <v>527</v>
      </c>
      <c r="AP2340" s="118">
        <f t="shared" si="36"/>
        <v>195</v>
      </c>
    </row>
    <row r="2341" spans="1:42" ht="12.75">
      <c r="A2341" s="106">
        <v>2018</v>
      </c>
      <c r="B2341" s="106">
        <v>-168254</v>
      </c>
      <c r="C2341" s="106">
        <v>0</v>
      </c>
      <c r="D2341" s="106">
        <v>168254</v>
      </c>
      <c r="E2341" s="106" t="s">
        <v>3533</v>
      </c>
      <c r="F2341" s="106" t="s">
        <v>149</v>
      </c>
      <c r="G2341" s="106" t="s">
        <v>150</v>
      </c>
      <c r="H2341" s="106">
        <v>6</v>
      </c>
      <c r="I2341" s="106" t="s">
        <v>3640</v>
      </c>
      <c r="J2341" s="106">
        <v>35740</v>
      </c>
      <c r="K2341" s="106">
        <v>30319</v>
      </c>
      <c r="L2341" s="106">
        <v>24842</v>
      </c>
      <c r="M2341" s="106">
        <v>0.3</v>
      </c>
      <c r="N2341" s="106">
        <v>0.92</v>
      </c>
      <c r="O2341" s="106">
        <v>0.97</v>
      </c>
      <c r="P2341" s="106">
        <v>18352</v>
      </c>
      <c r="Q2341" s="106">
        <v>12708.084281842819</v>
      </c>
      <c r="R2341" s="106">
        <v>0.38313241162039008</v>
      </c>
      <c r="S2341" s="106">
        <v>27966.21056910569</v>
      </c>
      <c r="T2341" s="106">
        <v>29818.832791327914</v>
      </c>
      <c r="U2341" s="106">
        <v>25053.744444444445</v>
      </c>
      <c r="V2341" s="106">
        <v>0.81667733334723658</v>
      </c>
      <c r="W2341" s="106">
        <v>88420.594120228168</v>
      </c>
      <c r="X2341" s="110">
        <v>0.61046320620224614</v>
      </c>
      <c r="Y2341" s="106">
        <v>321.09893992932859</v>
      </c>
      <c r="Z2341" s="106">
        <v>13.03886925795053</v>
      </c>
      <c r="AA2341" s="106">
        <v>81812.669911504418</v>
      </c>
      <c r="AB2341" s="106">
        <v>1017.3577599013987</v>
      </c>
      <c r="AC2341" s="106">
        <v>1.2223045661285539</v>
      </c>
      <c r="AD2341" s="106">
        <v>33.731343283582085</v>
      </c>
      <c r="AE2341" s="106">
        <v>80.416814159292031</v>
      </c>
      <c r="AF2341" s="106">
        <v>-2.3988800666965245E-3</v>
      </c>
      <c r="AG2341" s="106">
        <v>33338</v>
      </c>
      <c r="AH2341" s="106">
        <v>27153.49376693767</v>
      </c>
      <c r="AI2341" s="106">
        <v>28143.313550135503</v>
      </c>
      <c r="AJ2341" s="106">
        <v>29736.323306233062</v>
      </c>
      <c r="AK2341" s="104">
        <v>25053.744444444445</v>
      </c>
      <c r="AM2341" s="118">
        <v>2736</v>
      </c>
      <c r="AN2341" s="118">
        <v>90871</v>
      </c>
      <c r="AO2341" s="118">
        <v>631</v>
      </c>
      <c r="AP2341" s="118">
        <f t="shared" si="36"/>
        <v>2402</v>
      </c>
    </row>
    <row r="2342" spans="1:42" ht="12.75">
      <c r="A2342" s="106">
        <v>2018</v>
      </c>
      <c r="B2342" s="106">
        <v>-188304</v>
      </c>
      <c r="C2342" s="106">
        <v>0</v>
      </c>
      <c r="D2342" s="106">
        <v>188304</v>
      </c>
      <c r="E2342" s="106" t="s">
        <v>3534</v>
      </c>
      <c r="F2342" s="106" t="s">
        <v>3535</v>
      </c>
      <c r="G2342" s="106" t="s">
        <v>674</v>
      </c>
      <c r="H2342" s="106">
        <v>2</v>
      </c>
      <c r="I2342" s="106" t="s">
        <v>25</v>
      </c>
      <c r="J2342" s="106">
        <v>6065</v>
      </c>
      <c r="K2342" s="106">
        <v>12773</v>
      </c>
      <c r="L2342" s="106">
        <v>13086</v>
      </c>
      <c r="M2342" s="106">
        <v>0.66</v>
      </c>
      <c r="N2342" s="106">
        <v>0.51</v>
      </c>
      <c r="O2342" s="106">
        <v>0.49</v>
      </c>
      <c r="P2342" s="106">
        <v>6994</v>
      </c>
      <c r="Q2342" s="106">
        <v>827.72101133391459</v>
      </c>
      <c r="R2342" s="106">
        <v>0.10794168918540575</v>
      </c>
      <c r="S2342" s="106">
        <v>19415.380557977333</v>
      </c>
      <c r="T2342" s="106">
        <v>22646.241063644291</v>
      </c>
      <c r="U2342" s="106">
        <v>9910.7322202660362</v>
      </c>
      <c r="V2342" s="106">
        <v>0.69021162750527054</v>
      </c>
      <c r="W2342" s="106">
        <v>98830.25798101812</v>
      </c>
      <c r="X2342" s="110">
        <v>0.73495808325301804</v>
      </c>
      <c r="Y2342" s="106">
        <v>453.92093023255813</v>
      </c>
      <c r="Z2342" s="106">
        <v>16.004651162790697</v>
      </c>
      <c r="AA2342" s="106">
        <v>27195.238891495563</v>
      </c>
      <c r="AB2342" s="106">
        <v>349.43929964173077</v>
      </c>
      <c r="AC2342" s="106">
        <v>3.6771142330826079</v>
      </c>
      <c r="AD2342" s="106">
        <v>39.028944911297856</v>
      </c>
      <c r="AE2342" s="106">
        <v>77.825358851674636</v>
      </c>
      <c r="AF2342" s="106">
        <v>-0.1153752816865582</v>
      </c>
      <c r="AG2342" s="106">
        <v>3927</v>
      </c>
      <c r="AH2342" s="106">
        <v>21513.911508282476</v>
      </c>
      <c r="AI2342" s="106">
        <v>21513.911508282476</v>
      </c>
      <c r="AJ2342" s="106">
        <v>19418.305143853529</v>
      </c>
      <c r="AK2342" s="104">
        <v>11761.893635571056</v>
      </c>
      <c r="AL2342" s="118">
        <v>19000600</v>
      </c>
      <c r="AM2342" s="118">
        <v>2167</v>
      </c>
      <c r="AN2342" s="118">
        <v>65062</v>
      </c>
      <c r="AO2342" s="118">
        <v>380</v>
      </c>
      <c r="AP2342" s="118">
        <f t="shared" si="36"/>
        <v>2138</v>
      </c>
    </row>
    <row r="2343" spans="1:42">
      <c r="A2343" s="106">
        <v>2018</v>
      </c>
      <c r="B2343" s="106">
        <v>-208035</v>
      </c>
      <c r="C2343" s="106">
        <v>0</v>
      </c>
      <c r="D2343" s="106">
        <v>208035</v>
      </c>
      <c r="E2343" s="106" t="s">
        <v>3536</v>
      </c>
      <c r="F2343" s="106" t="s">
        <v>3537</v>
      </c>
      <c r="G2343" s="106" t="s">
        <v>271</v>
      </c>
      <c r="H2343" s="106">
        <v>4</v>
      </c>
      <c r="I2343" s="106" t="s">
        <v>24</v>
      </c>
      <c r="J2343" s="107">
        <v>3878</v>
      </c>
      <c r="K2343" s="107">
        <v>6969</v>
      </c>
      <c r="L2343" s="107">
        <v>4466</v>
      </c>
      <c r="M2343" s="107">
        <v>0.65</v>
      </c>
      <c r="N2343" s="107">
        <v>0.2</v>
      </c>
      <c r="O2343" s="107">
        <v>0.72</v>
      </c>
      <c r="P2343" s="107">
        <v>2949</v>
      </c>
      <c r="Q2343" s="107">
        <v>1437.0111358574611</v>
      </c>
      <c r="R2343" s="107">
        <v>0.26586968422262791</v>
      </c>
      <c r="S2343" s="107">
        <v>13817.861915367483</v>
      </c>
      <c r="T2343" s="107">
        <v>14741.845211581292</v>
      </c>
      <c r="U2343" s="107">
        <v>11347.493318485524</v>
      </c>
      <c r="V2343" s="107">
        <v>0.34967496230881717</v>
      </c>
      <c r="W2343" s="107">
        <v>52799.690417690421</v>
      </c>
      <c r="X2343" s="111">
        <v>0.54109852134474412</v>
      </c>
      <c r="Y2343" s="107">
        <v>626.69767441860461</v>
      </c>
      <c r="Z2343" s="107">
        <v>20.88372093023256</v>
      </c>
      <c r="AA2343" s="107">
        <v>33966.83</v>
      </c>
      <c r="AB2343" s="107">
        <v>378.13748701202314</v>
      </c>
      <c r="AC2343" s="107">
        <v>2.9440486498151284</v>
      </c>
      <c r="AD2343" s="107">
        <v>36.275695284159617</v>
      </c>
      <c r="AE2343" s="107">
        <v>89.826666666666668</v>
      </c>
      <c r="AF2343" s="107">
        <v>-2.06049986215825E-2</v>
      </c>
      <c r="AG2343" s="107">
        <v>2673</v>
      </c>
      <c r="AH2343" s="107">
        <v>12471.198218262807</v>
      </c>
      <c r="AI2343" s="107">
        <v>12506.301781737193</v>
      </c>
      <c r="AJ2343" s="107">
        <v>13817.861915367483</v>
      </c>
      <c r="AK2343" s="104">
        <v>12695.129175946548</v>
      </c>
      <c r="AL2343" s="118">
        <v>4800245</v>
      </c>
      <c r="AM2343" s="118">
        <v>1346</v>
      </c>
      <c r="AN2343" s="118">
        <v>26948</v>
      </c>
      <c r="AO2343" s="118">
        <v>292</v>
      </c>
      <c r="AP2343" s="118">
        <f t="shared" si="36"/>
        <v>1205</v>
      </c>
    </row>
    <row r="2344" spans="1:42" ht="12.75">
      <c r="A2344" s="106">
        <v>2018</v>
      </c>
      <c r="B2344" s="106">
        <v>-210429</v>
      </c>
      <c r="C2344" s="106">
        <v>0</v>
      </c>
      <c r="D2344" s="106">
        <v>210429</v>
      </c>
      <c r="E2344" s="106" t="s">
        <v>3538</v>
      </c>
      <c r="F2344" s="106" t="s">
        <v>2054</v>
      </c>
      <c r="G2344" s="106" t="s">
        <v>405</v>
      </c>
      <c r="H2344" s="106">
        <v>2</v>
      </c>
      <c r="I2344" s="106" t="s">
        <v>25</v>
      </c>
      <c r="J2344" s="106">
        <v>9198</v>
      </c>
      <c r="K2344" s="106">
        <v>15496</v>
      </c>
      <c r="L2344" s="106">
        <v>11522</v>
      </c>
      <c r="M2344" s="106">
        <v>0.43</v>
      </c>
      <c r="N2344" s="106">
        <v>0.75</v>
      </c>
      <c r="O2344" s="106">
        <v>0.6</v>
      </c>
      <c r="P2344" s="106">
        <v>3010</v>
      </c>
      <c r="Q2344" s="106">
        <v>1433.6110006626905</v>
      </c>
      <c r="R2344" s="106">
        <v>0.14305931348973619</v>
      </c>
      <c r="S2344" s="106">
        <v>23900.11994698476</v>
      </c>
      <c r="T2344" s="106">
        <v>24449.507620941022</v>
      </c>
      <c r="U2344" s="106">
        <v>14517.783761736137</v>
      </c>
      <c r="V2344" s="106">
        <v>0.5915148170555824</v>
      </c>
      <c r="W2344" s="106">
        <v>89591.886840977284</v>
      </c>
      <c r="X2344" s="110">
        <v>0.62947944787254029</v>
      </c>
      <c r="Y2344" s="106">
        <v>551.52935779816517</v>
      </c>
      <c r="Z2344" s="106">
        <v>12.459633027522937</v>
      </c>
      <c r="AA2344" s="106">
        <v>44496.958083533842</v>
      </c>
      <c r="AB2344" s="106">
        <v>327.97212965471903</v>
      </c>
      <c r="AC2344" s="106">
        <v>2.2473446344864891</v>
      </c>
      <c r="AD2344" s="106">
        <v>31.081649831649834</v>
      </c>
      <c r="AE2344" s="106">
        <v>135.67298578199052</v>
      </c>
      <c r="AF2344" s="106">
        <v>6.9521030968704378E-2</v>
      </c>
      <c r="AG2344" s="106">
        <v>7440</v>
      </c>
      <c r="AH2344" s="106">
        <v>23041.318091451292</v>
      </c>
      <c r="AI2344" s="106">
        <v>23258.656947205654</v>
      </c>
      <c r="AJ2344" s="106">
        <v>23988.640821736248</v>
      </c>
      <c r="AK2344" s="104">
        <v>16404.99977910316</v>
      </c>
      <c r="AL2344" s="119">
        <v>24705125</v>
      </c>
      <c r="AM2344" s="118">
        <v>4759</v>
      </c>
      <c r="AN2344" s="118">
        <v>200389</v>
      </c>
      <c r="AO2344" s="118">
        <v>1022</v>
      </c>
      <c r="AP2344" s="118">
        <f t="shared" si="36"/>
        <v>1758</v>
      </c>
    </row>
    <row r="2345" spans="1:42" ht="12.75">
      <c r="A2345" s="106">
        <v>2018</v>
      </c>
      <c r="B2345" s="106">
        <v>-199908</v>
      </c>
      <c r="C2345" s="106">
        <v>0</v>
      </c>
      <c r="D2345" s="106">
        <v>199908</v>
      </c>
      <c r="E2345" s="106" t="s">
        <v>3539</v>
      </c>
      <c r="F2345" s="106" t="s">
        <v>3540</v>
      </c>
      <c r="G2345" s="106" t="s">
        <v>90</v>
      </c>
      <c r="H2345" s="106">
        <v>4</v>
      </c>
      <c r="I2345" s="106" t="s">
        <v>24</v>
      </c>
      <c r="J2345" s="106">
        <v>2577</v>
      </c>
      <c r="K2345" s="106">
        <v>3460</v>
      </c>
      <c r="L2345" s="106">
        <v>1342</v>
      </c>
      <c r="M2345" s="106">
        <v>0.7</v>
      </c>
      <c r="N2345" s="106">
        <v>0.05</v>
      </c>
      <c r="O2345" s="106">
        <v>0.1</v>
      </c>
      <c r="P2345" s="106">
        <v>1338</v>
      </c>
      <c r="Q2345" s="106">
        <v>116.7005388760585</v>
      </c>
      <c r="R2345" s="106">
        <v>5.1695798424784417E-2</v>
      </c>
      <c r="S2345" s="106">
        <v>15480.463433410316</v>
      </c>
      <c r="T2345" s="106">
        <v>15861.171670515781</v>
      </c>
      <c r="U2345" s="106">
        <v>12638.759815242494</v>
      </c>
      <c r="V2345" s="106">
        <v>0.16937949288906781</v>
      </c>
      <c r="W2345" s="106">
        <v>53938.054376657827</v>
      </c>
      <c r="X2345" s="110">
        <v>0.65796221079534312</v>
      </c>
      <c r="Y2345" s="106">
        <v>298.30102040816331</v>
      </c>
      <c r="Z2345" s="106">
        <v>9.9413265306122458</v>
      </c>
      <c r="AA2345" s="106">
        <v>39465.742788461539</v>
      </c>
      <c r="AB2345" s="106">
        <v>421.20552619426343</v>
      </c>
      <c r="AC2345" s="106">
        <v>2.5338430987098168</v>
      </c>
      <c r="AD2345" s="106">
        <v>36.781609195402297</v>
      </c>
      <c r="AE2345" s="106">
        <v>93.697115384615387</v>
      </c>
      <c r="AF2345" s="106">
        <v>4.0703397941950097E-2</v>
      </c>
      <c r="AG2345" s="106">
        <v>2432</v>
      </c>
      <c r="AH2345" s="106">
        <v>14256.648190916088</v>
      </c>
      <c r="AI2345" s="106">
        <v>14317.238645111624</v>
      </c>
      <c r="AJ2345" s="106">
        <v>15555.881447267129</v>
      </c>
      <c r="AK2345" s="104">
        <v>14109.48883756736</v>
      </c>
      <c r="AL2345" s="119">
        <v>2394000</v>
      </c>
      <c r="AM2345" s="118">
        <v>1834</v>
      </c>
      <c r="AN2345" s="118">
        <v>38978</v>
      </c>
      <c r="AO2345" s="118">
        <v>311</v>
      </c>
      <c r="AP2345" s="118">
        <f t="shared" si="36"/>
        <v>145</v>
      </c>
    </row>
    <row r="2346" spans="1:42" ht="12.75">
      <c r="A2346" s="106">
        <v>2018</v>
      </c>
      <c r="B2346" s="106">
        <v>-128391</v>
      </c>
      <c r="C2346" s="106">
        <v>0</v>
      </c>
      <c r="D2346" s="106">
        <v>128391</v>
      </c>
      <c r="E2346" s="106" t="s">
        <v>3541</v>
      </c>
      <c r="F2346" s="106" t="s">
        <v>3542</v>
      </c>
      <c r="G2346" s="106" t="s">
        <v>66</v>
      </c>
      <c r="H2346" s="106">
        <v>2</v>
      </c>
      <c r="I2346" s="106" t="s">
        <v>25</v>
      </c>
      <c r="J2346" s="106">
        <v>9802</v>
      </c>
      <c r="K2346" s="106">
        <v>17230</v>
      </c>
      <c r="L2346" s="106">
        <v>13562</v>
      </c>
      <c r="M2346" s="106">
        <v>0.3</v>
      </c>
      <c r="N2346" s="106">
        <v>0.56000000000000005</v>
      </c>
      <c r="O2346" s="106">
        <v>0.83</v>
      </c>
      <c r="P2346" s="106">
        <v>5335</v>
      </c>
      <c r="Q2346" s="106">
        <v>3234.6448184233836</v>
      </c>
      <c r="R2346" s="106">
        <v>0.21245073835205722</v>
      </c>
      <c r="S2346" s="106">
        <v>23785.934012400354</v>
      </c>
      <c r="T2346" s="106">
        <v>28163.590345438442</v>
      </c>
      <c r="U2346" s="106">
        <v>17675.690593177878</v>
      </c>
      <c r="V2346" s="106">
        <v>0.67837477859429818</v>
      </c>
      <c r="W2346" s="106">
        <v>99691.59486166008</v>
      </c>
      <c r="X2346" s="110">
        <v>0.52881753255255926</v>
      </c>
      <c r="Y2346" s="106">
        <v>460.95804195804197</v>
      </c>
      <c r="Z2346" s="106">
        <v>15.79020979020979</v>
      </c>
      <c r="AA2346" s="106">
        <v>79823.41871879129</v>
      </c>
      <c r="AB2346" s="106">
        <v>605.48431147345366</v>
      </c>
      <c r="AC2346" s="106">
        <v>1.2527651860200135</v>
      </c>
      <c r="AD2346" s="106">
        <v>20.990764063811923</v>
      </c>
      <c r="AE2346" s="106">
        <v>131.834</v>
      </c>
      <c r="AF2346" s="106">
        <v>-0.18190051671324239</v>
      </c>
      <c r="AG2346" s="106">
        <v>6624</v>
      </c>
      <c r="AH2346" s="106">
        <v>24218.506200177148</v>
      </c>
      <c r="AI2346" s="106">
        <v>24218.506200177148</v>
      </c>
      <c r="AJ2346" s="106">
        <v>23851.552258635962</v>
      </c>
      <c r="AK2346" s="104">
        <v>18402.007971656334</v>
      </c>
      <c r="AM2346" s="118">
        <v>2431</v>
      </c>
      <c r="AN2346" s="118">
        <v>65917</v>
      </c>
      <c r="AO2346" s="118">
        <v>380</v>
      </c>
      <c r="AP2346" s="118">
        <f t="shared" si="36"/>
        <v>3178</v>
      </c>
    </row>
    <row r="2347" spans="1:42" ht="12.75">
      <c r="A2347" s="106">
        <v>2018</v>
      </c>
      <c r="B2347" s="106">
        <v>-240170</v>
      </c>
      <c r="C2347" s="106">
        <v>0</v>
      </c>
      <c r="D2347" s="106">
        <v>240170</v>
      </c>
      <c r="E2347" s="106" t="s">
        <v>3543</v>
      </c>
      <c r="F2347" s="106" t="s">
        <v>3357</v>
      </c>
      <c r="G2347" s="106" t="s">
        <v>139</v>
      </c>
      <c r="H2347" s="106">
        <v>4</v>
      </c>
      <c r="I2347" s="106" t="s">
        <v>24</v>
      </c>
      <c r="J2347" s="106">
        <v>3965</v>
      </c>
      <c r="K2347" s="106">
        <v>8876</v>
      </c>
      <c r="L2347" s="106">
        <v>7241</v>
      </c>
      <c r="M2347" s="106">
        <v>0.56000000000000005</v>
      </c>
      <c r="N2347" s="106">
        <v>0.62</v>
      </c>
      <c r="O2347" s="106">
        <v>0.28999999999999998</v>
      </c>
      <c r="P2347" s="106">
        <v>1167</v>
      </c>
      <c r="Q2347" s="106">
        <v>17.610145441645972</v>
      </c>
      <c r="R2347" s="106">
        <v>3.8826150851284645E-3</v>
      </c>
      <c r="S2347" s="106">
        <v>27954.17311103228</v>
      </c>
      <c r="T2347" s="106">
        <v>26736.01702731465</v>
      </c>
      <c r="U2347" s="106">
        <v>23874.670805250087</v>
      </c>
      <c r="V2347" s="106">
        <v>0.18923947431111118</v>
      </c>
      <c r="W2347" s="106">
        <v>68691.700950251528</v>
      </c>
      <c r="X2347" s="110">
        <v>0.54350253165658713</v>
      </c>
      <c r="Y2347" s="106">
        <v>298.10340775558166</v>
      </c>
      <c r="Z2347" s="106">
        <v>9.9377203290246765</v>
      </c>
      <c r="AA2347" s="106">
        <v>39427.473345049795</v>
      </c>
      <c r="AB2347" s="106">
        <v>795.89764906222649</v>
      </c>
      <c r="AC2347" s="106">
        <v>2.5363025199421059</v>
      </c>
      <c r="AD2347" s="106">
        <v>67.630744849445321</v>
      </c>
      <c r="AE2347" s="106">
        <v>49.538371411833623</v>
      </c>
      <c r="AF2347" s="106">
        <v>8.1777332301466596E-2</v>
      </c>
      <c r="AG2347" s="106">
        <v>3665</v>
      </c>
      <c r="AH2347" s="106">
        <v>27076.614757006031</v>
      </c>
      <c r="AI2347" s="106">
        <v>27113.629301170629</v>
      </c>
      <c r="AJ2347" s="106">
        <v>28074.376729336644</v>
      </c>
      <c r="AK2347" s="104">
        <v>25191.764100744946</v>
      </c>
      <c r="AL2347" s="118">
        <v>51035954</v>
      </c>
      <c r="AM2347" s="118">
        <v>4108</v>
      </c>
      <c r="AN2347" s="118">
        <v>84562</v>
      </c>
      <c r="AO2347" s="118">
        <v>654</v>
      </c>
      <c r="AP2347" s="118">
        <f t="shared" si="36"/>
        <v>300</v>
      </c>
    </row>
    <row r="2348" spans="1:42" ht="12.75">
      <c r="A2348" s="106">
        <v>2018</v>
      </c>
      <c r="B2348" s="106">
        <v>-229832</v>
      </c>
      <c r="C2348" s="106">
        <v>0</v>
      </c>
      <c r="D2348" s="106">
        <v>229832</v>
      </c>
      <c r="E2348" s="106" t="s">
        <v>3544</v>
      </c>
      <c r="F2348" s="106" t="s">
        <v>3545</v>
      </c>
      <c r="G2348" s="106" t="s">
        <v>60</v>
      </c>
      <c r="H2348" s="106">
        <v>4</v>
      </c>
      <c r="I2348" s="106" t="s">
        <v>24</v>
      </c>
      <c r="J2348" s="106">
        <v>2700</v>
      </c>
      <c r="K2348" s="106">
        <v>6406</v>
      </c>
      <c r="L2348" s="106">
        <v>4231</v>
      </c>
      <c r="M2348" s="106">
        <v>0.44</v>
      </c>
      <c r="N2348" s="106">
        <v>0.14000000000000001</v>
      </c>
      <c r="O2348" s="106">
        <v>0.56000000000000005</v>
      </c>
      <c r="P2348" s="106">
        <v>3944</v>
      </c>
      <c r="Q2348" s="106">
        <v>1149.5875169606513</v>
      </c>
      <c r="R2348" s="106">
        <v>0.27760694962667465</v>
      </c>
      <c r="S2348" s="106">
        <v>15288.277476255089</v>
      </c>
      <c r="T2348" s="106">
        <v>13883.248982360923</v>
      </c>
      <c r="U2348" s="106">
        <v>5843.8283012781239</v>
      </c>
      <c r="V2348" s="106">
        <v>0.5119031678524445</v>
      </c>
      <c r="W2348" s="106">
        <v>53737.759842519685</v>
      </c>
      <c r="X2348" s="110">
        <v>0.44466548399917144</v>
      </c>
      <c r="Y2348" s="106">
        <v>771.24418604651169</v>
      </c>
      <c r="Z2348" s="106">
        <v>25.709302325581397</v>
      </c>
      <c r="AA2348" s="106">
        <v>23534.980645038126</v>
      </c>
      <c r="AB2348" s="106">
        <v>194.80308734189592</v>
      </c>
      <c r="AC2348" s="106">
        <v>4.2489943590024986</v>
      </c>
      <c r="AD2348" s="106">
        <v>32.020997375328086</v>
      </c>
      <c r="AE2348" s="106">
        <v>120.81420765027322</v>
      </c>
      <c r="AF2348" s="106">
        <v>0.10435554162556882</v>
      </c>
      <c r="AG2348" s="106">
        <v>1740</v>
      </c>
      <c r="AH2348" s="106">
        <v>14527.497286295793</v>
      </c>
      <c r="AI2348" s="106">
        <v>14591.612618724559</v>
      </c>
      <c r="AJ2348" s="106">
        <v>15585.314111261872</v>
      </c>
      <c r="AK2348" s="104">
        <v>8394.9511533242876</v>
      </c>
      <c r="AL2348" s="118">
        <v>13259918</v>
      </c>
      <c r="AM2348" s="118">
        <v>2250</v>
      </c>
      <c r="AN2348" s="118">
        <v>44218</v>
      </c>
      <c r="AO2348" s="118">
        <v>236</v>
      </c>
      <c r="AP2348" s="118">
        <f t="shared" si="36"/>
        <v>960</v>
      </c>
    </row>
    <row r="2349" spans="1:42" ht="12.75">
      <c r="A2349" s="106">
        <v>2018</v>
      </c>
      <c r="B2349" s="106">
        <v>-237011</v>
      </c>
      <c r="C2349" s="106">
        <v>0</v>
      </c>
      <c r="D2349" s="106">
        <v>237011</v>
      </c>
      <c r="E2349" s="106" t="s">
        <v>3546</v>
      </c>
      <c r="F2349" s="106" t="s">
        <v>325</v>
      </c>
      <c r="G2349" s="106" t="s">
        <v>182</v>
      </c>
      <c r="H2349" s="106">
        <v>2</v>
      </c>
      <c r="I2349" s="106" t="s">
        <v>25</v>
      </c>
      <c r="J2349" s="106">
        <v>7933</v>
      </c>
      <c r="K2349" s="106">
        <v>17403</v>
      </c>
      <c r="L2349" s="106">
        <v>10060</v>
      </c>
      <c r="M2349" s="106">
        <v>0.25</v>
      </c>
      <c r="N2349" s="106">
        <v>0.44</v>
      </c>
      <c r="O2349" s="106">
        <v>0.69</v>
      </c>
      <c r="P2349" s="106">
        <v>3524</v>
      </c>
      <c r="Q2349" s="106">
        <v>1779.9262390074307</v>
      </c>
      <c r="R2349" s="106">
        <v>0.18080431777507994</v>
      </c>
      <c r="S2349" s="106">
        <v>21077.384211602701</v>
      </c>
      <c r="T2349" s="106">
        <v>22749.572431658598</v>
      </c>
      <c r="U2349" s="106">
        <v>15086.435649751162</v>
      </c>
      <c r="V2349" s="106">
        <v>0.53455724203637245</v>
      </c>
      <c r="W2349" s="106">
        <v>107372.26144834931</v>
      </c>
      <c r="X2349" s="110">
        <v>0.60424621806854317</v>
      </c>
      <c r="Y2349" s="106">
        <v>877.38543992853943</v>
      </c>
      <c r="Z2349" s="106">
        <v>19.654756587762392</v>
      </c>
      <c r="AA2349" s="106">
        <v>57421.620276647584</v>
      </c>
      <c r="AB2349" s="106">
        <v>337.9589026425499</v>
      </c>
      <c r="AC2349" s="106">
        <v>1.7415043239500565</v>
      </c>
      <c r="AD2349" s="106">
        <v>25.602869859828601</v>
      </c>
      <c r="AE2349" s="106">
        <v>169.90710949662687</v>
      </c>
      <c r="AF2349" s="106">
        <v>-2.965649287216526E-2</v>
      </c>
      <c r="AG2349" s="106">
        <v>6879</v>
      </c>
      <c r="AH2349" s="106">
        <v>20748.048265048743</v>
      </c>
      <c r="AI2349" s="106">
        <v>20748.048265048743</v>
      </c>
      <c r="AJ2349" s="106">
        <v>21264.495807485171</v>
      </c>
      <c r="AK2349" s="104">
        <v>17231.019019701413</v>
      </c>
      <c r="AL2349" s="119">
        <v>78652047</v>
      </c>
      <c r="AM2349" s="118">
        <v>14968</v>
      </c>
      <c r="AN2349" s="118">
        <v>654822</v>
      </c>
      <c r="AO2349" s="118">
        <v>3482</v>
      </c>
      <c r="AP2349" s="118">
        <f t="shared" si="36"/>
        <v>1054</v>
      </c>
    </row>
    <row r="2350" spans="1:42" ht="12.75">
      <c r="A2350" s="106">
        <v>2018</v>
      </c>
      <c r="B2350" s="106">
        <v>-240693</v>
      </c>
      <c r="C2350" s="106">
        <v>0</v>
      </c>
      <c r="D2350" s="106">
        <v>240693</v>
      </c>
      <c r="E2350" s="106" t="s">
        <v>3547</v>
      </c>
      <c r="F2350" s="106" t="s">
        <v>3548</v>
      </c>
      <c r="G2350" s="106" t="s">
        <v>627</v>
      </c>
      <c r="H2350" s="106">
        <v>4</v>
      </c>
      <c r="I2350" s="106" t="s">
        <v>24</v>
      </c>
      <c r="J2350" s="106">
        <v>2953</v>
      </c>
      <c r="K2350" s="106">
        <v>7751</v>
      </c>
      <c r="L2350" s="106">
        <v>5908</v>
      </c>
      <c r="M2350" s="106">
        <v>0.28999999999999998</v>
      </c>
      <c r="N2350" s="106">
        <v>0.24</v>
      </c>
      <c r="O2350" s="106">
        <v>0.48</v>
      </c>
      <c r="P2350" s="106">
        <v>2361</v>
      </c>
      <c r="Q2350" s="107">
        <v>878.6480686695279</v>
      </c>
      <c r="R2350" s="106">
        <v>0.21381857015195635</v>
      </c>
      <c r="S2350" s="106">
        <v>18304.857832618025</v>
      </c>
      <c r="T2350" s="106">
        <v>21388.662553648068</v>
      </c>
      <c r="U2350" s="106">
        <v>17586.254283281181</v>
      </c>
      <c r="V2350" s="106">
        <v>0.18370415134542048</v>
      </c>
      <c r="W2350" s="106">
        <v>65759.707251566695</v>
      </c>
      <c r="X2350" s="110">
        <v>0.61413274305229748</v>
      </c>
      <c r="Y2350" s="106">
        <v>328.97058823529414</v>
      </c>
      <c r="Z2350" s="106">
        <v>10.964705882352941</v>
      </c>
      <c r="AA2350" s="106">
        <v>59928.296131693096</v>
      </c>
      <c r="AB2350" s="106">
        <v>586.15606587458421</v>
      </c>
      <c r="AC2350" s="106">
        <v>1.6686608239328027</v>
      </c>
      <c r="AD2350" s="106">
        <v>28.563968668407309</v>
      </c>
      <c r="AE2350" s="107">
        <v>102.23948811700183</v>
      </c>
      <c r="AF2350" s="106">
        <v>-6.6763908228957003E-2</v>
      </c>
      <c r="AG2350" s="106">
        <v>2256</v>
      </c>
      <c r="AH2350" s="106">
        <v>18986.190987124464</v>
      </c>
      <c r="AI2350" s="106">
        <v>18986.190987124464</v>
      </c>
      <c r="AJ2350" s="106">
        <v>18540.339055793993</v>
      </c>
      <c r="AK2350" s="104">
        <v>17987.185085836911</v>
      </c>
      <c r="AL2350" s="118">
        <v>23533653</v>
      </c>
      <c r="AM2350" s="118">
        <v>3338</v>
      </c>
      <c r="AN2350" s="118">
        <v>55925</v>
      </c>
      <c r="AO2350" s="118">
        <v>415</v>
      </c>
      <c r="AP2350" s="118">
        <f t="shared" si="36"/>
        <v>697</v>
      </c>
    </row>
    <row r="2351" spans="1:42" ht="12.75">
      <c r="A2351" s="106">
        <v>2018</v>
      </c>
      <c r="B2351" s="106">
        <v>-168263</v>
      </c>
      <c r="C2351" s="106">
        <v>0</v>
      </c>
      <c r="D2351" s="106">
        <v>168263</v>
      </c>
      <c r="E2351" s="106" t="s">
        <v>3549</v>
      </c>
      <c r="F2351" s="106" t="s">
        <v>3550</v>
      </c>
      <c r="G2351" s="106" t="s">
        <v>150</v>
      </c>
      <c r="H2351" s="106">
        <v>2</v>
      </c>
      <c r="I2351" s="106" t="s">
        <v>25</v>
      </c>
      <c r="J2351" s="106">
        <v>9715</v>
      </c>
      <c r="K2351" s="107">
        <v>16072</v>
      </c>
      <c r="L2351" s="107">
        <v>12276</v>
      </c>
      <c r="M2351" s="107">
        <v>0.35</v>
      </c>
      <c r="N2351" s="107">
        <v>0.75</v>
      </c>
      <c r="O2351" s="107">
        <v>0.36</v>
      </c>
      <c r="P2351" s="107">
        <v>2068</v>
      </c>
      <c r="Q2351" s="107">
        <v>474.00087336244542</v>
      </c>
      <c r="R2351" s="107">
        <v>4.8846711932841028E-2</v>
      </c>
      <c r="S2351" s="107">
        <v>22162.428646288208</v>
      </c>
      <c r="T2351" s="107">
        <v>22737.370829694322</v>
      </c>
      <c r="U2351" s="107">
        <v>17033.90789783177</v>
      </c>
      <c r="V2351" s="107">
        <v>0.54185118291497059</v>
      </c>
      <c r="W2351" s="106">
        <v>82637.310112359555</v>
      </c>
      <c r="X2351" s="110">
        <v>0.56500259565369515</v>
      </c>
      <c r="Y2351" s="106">
        <v>509.02213279678074</v>
      </c>
      <c r="Z2351" s="107">
        <v>17.27867203219316</v>
      </c>
      <c r="AA2351" s="107">
        <v>65802.377000733381</v>
      </c>
      <c r="AB2351" s="107">
        <v>578.21318372952567</v>
      </c>
      <c r="AC2351" s="107">
        <v>1.5197019402336405</v>
      </c>
      <c r="AD2351" s="107">
        <v>26.833242802824554</v>
      </c>
      <c r="AE2351" s="107">
        <v>113.80296896086369</v>
      </c>
      <c r="AF2351" s="106">
        <v>-1.5773403814477265E-2</v>
      </c>
      <c r="AG2351" s="107">
        <v>970</v>
      </c>
      <c r="AH2351" s="107">
        <v>22195.366986899564</v>
      </c>
      <c r="AI2351" s="107">
        <v>22195.366986899564</v>
      </c>
      <c r="AJ2351" s="107">
        <v>22239.21519650655</v>
      </c>
      <c r="AK2351" s="104">
        <v>17615.277030567686</v>
      </c>
      <c r="AL2351" s="118">
        <v>35255242</v>
      </c>
      <c r="AM2351" s="118">
        <v>5584</v>
      </c>
      <c r="AN2351" s="118">
        <v>168656</v>
      </c>
      <c r="AO2351" s="118">
        <v>1311</v>
      </c>
      <c r="AP2351" s="118">
        <f t="shared" si="36"/>
        <v>8745</v>
      </c>
    </row>
    <row r="2352" spans="1:42" ht="12.75">
      <c r="A2352" s="106">
        <v>2018</v>
      </c>
      <c r="B2352" s="106">
        <v>-179946</v>
      </c>
      <c r="C2352" s="106">
        <v>0</v>
      </c>
      <c r="D2352" s="106">
        <v>179946</v>
      </c>
      <c r="E2352" s="106" t="s">
        <v>3950</v>
      </c>
      <c r="F2352" s="106" t="s">
        <v>1597</v>
      </c>
      <c r="G2352" s="106" t="s">
        <v>264</v>
      </c>
      <c r="H2352" s="106">
        <v>7</v>
      </c>
      <c r="I2352" s="106" t="s">
        <v>3641</v>
      </c>
      <c r="J2352" s="106">
        <v>25940</v>
      </c>
      <c r="K2352" s="106">
        <v>22091</v>
      </c>
      <c r="L2352" s="106">
        <v>17772</v>
      </c>
      <c r="M2352" s="106">
        <v>0.39</v>
      </c>
      <c r="N2352" s="106">
        <v>0.91</v>
      </c>
      <c r="O2352" s="106">
        <v>0.99</v>
      </c>
      <c r="P2352" s="106">
        <v>15071</v>
      </c>
      <c r="Q2352" s="106">
        <v>14017.447852760737</v>
      </c>
      <c r="R2352" s="106">
        <v>0.59876816723759241</v>
      </c>
      <c r="S2352" s="106">
        <v>30871.202453987731</v>
      </c>
      <c r="T2352" s="106">
        <v>28840.381595092025</v>
      </c>
      <c r="U2352" s="106">
        <v>23559.24171779141</v>
      </c>
      <c r="V2352" s="106">
        <v>0.39869824051957886</v>
      </c>
      <c r="W2352" s="106">
        <v>66154.005555555559</v>
      </c>
      <c r="X2352" s="110">
        <v>0.5066056621103564</v>
      </c>
      <c r="Y2352" s="106">
        <v>407.63333333333333</v>
      </c>
      <c r="Z2352" s="106">
        <v>13.583333333333334</v>
      </c>
      <c r="AA2352" s="106">
        <v>110349.32183908045</v>
      </c>
      <c r="AB2352" s="106">
        <v>785.05118979475014</v>
      </c>
      <c r="AC2352" s="106">
        <v>0.90621309069599354</v>
      </c>
      <c r="AD2352" s="106">
        <v>22.804718217562254</v>
      </c>
      <c r="AE2352" s="106">
        <v>140.56321839080459</v>
      </c>
      <c r="AF2352" s="106">
        <v>4.9885550231585751E-2</v>
      </c>
      <c r="AG2352" s="106">
        <v>24400</v>
      </c>
      <c r="AH2352" s="106">
        <v>22519.255214723926</v>
      </c>
      <c r="AI2352" s="106">
        <v>30906.493251533742</v>
      </c>
      <c r="AJ2352" s="106">
        <v>30871.202453987731</v>
      </c>
      <c r="AK2352" s="104">
        <v>23559.24171779141</v>
      </c>
      <c r="AL2352" s="118"/>
      <c r="AM2352" s="118">
        <v>767</v>
      </c>
      <c r="AN2352" s="118">
        <v>24458</v>
      </c>
      <c r="AO2352" s="118">
        <v>174</v>
      </c>
      <c r="AP2352" s="118">
        <f t="shared" si="36"/>
        <v>1540</v>
      </c>
    </row>
    <row r="2353" spans="1:42" ht="12.75">
      <c r="A2353" s="106">
        <v>2018</v>
      </c>
      <c r="B2353" s="106">
        <v>-216807</v>
      </c>
      <c r="C2353" s="106">
        <v>0</v>
      </c>
      <c r="D2353" s="106">
        <v>216807</v>
      </c>
      <c r="E2353" s="106" t="s">
        <v>3951</v>
      </c>
      <c r="F2353" s="106" t="s">
        <v>3551</v>
      </c>
      <c r="G2353" s="106" t="s">
        <v>104</v>
      </c>
      <c r="H2353" s="106">
        <v>7</v>
      </c>
      <c r="I2353" s="106" t="s">
        <v>3641</v>
      </c>
      <c r="J2353" s="106">
        <v>36276</v>
      </c>
      <c r="K2353" s="106">
        <v>21587</v>
      </c>
      <c r="L2353" s="106">
        <v>16611</v>
      </c>
      <c r="M2353" s="106">
        <v>0.37</v>
      </c>
      <c r="N2353" s="106">
        <v>0.83</v>
      </c>
      <c r="O2353" s="106">
        <v>1</v>
      </c>
      <c r="P2353" s="106">
        <v>23763</v>
      </c>
      <c r="Q2353" s="106">
        <v>19731.355555555554</v>
      </c>
      <c r="R2353" s="106">
        <v>0.61996465086450669</v>
      </c>
      <c r="S2353" s="106">
        <v>26365.380842911876</v>
      </c>
      <c r="T2353" s="106">
        <v>31345.352490421457</v>
      </c>
      <c r="U2353" s="106">
        <v>25191.993103448276</v>
      </c>
      <c r="V2353" s="106">
        <v>0.48012183887047249</v>
      </c>
      <c r="W2353" s="106">
        <v>66970.256890848963</v>
      </c>
      <c r="X2353" s="110">
        <v>0.49497621174171758</v>
      </c>
      <c r="Y2353" s="106">
        <v>370.04761904761904</v>
      </c>
      <c r="Z2353" s="106">
        <v>12.428571428571429</v>
      </c>
      <c r="AA2353" s="106">
        <v>132562.7056451613</v>
      </c>
      <c r="AB2353" s="106">
        <v>846.10863466735293</v>
      </c>
      <c r="AC2353" s="106">
        <v>0.75435998015668237</v>
      </c>
      <c r="AD2353" s="106">
        <v>20.512820512820511</v>
      </c>
      <c r="AE2353" s="106">
        <v>156.67338709677421</v>
      </c>
      <c r="AF2353" s="106">
        <v>2.6379079610106854E-2</v>
      </c>
      <c r="AG2353" s="106">
        <v>34830</v>
      </c>
      <c r="AH2353" s="106">
        <v>21753.924137931033</v>
      </c>
      <c r="AI2353" s="106">
        <v>26512.043678160921</v>
      </c>
      <c r="AJ2353" s="106">
        <v>34784.929501915707</v>
      </c>
      <c r="AK2353" s="104">
        <v>25191.993103448276</v>
      </c>
      <c r="AL2353" s="118"/>
      <c r="AM2353" s="118">
        <v>1191</v>
      </c>
      <c r="AN2353" s="118">
        <v>38855</v>
      </c>
      <c r="AO2353" s="118">
        <v>235</v>
      </c>
      <c r="AP2353" s="118">
        <f t="shared" si="36"/>
        <v>1446</v>
      </c>
    </row>
    <row r="2354" spans="1:42" ht="12.75">
      <c r="A2354" s="106">
        <v>2018</v>
      </c>
      <c r="B2354" s="106">
        <v>-230807</v>
      </c>
      <c r="C2354" s="106">
        <v>0</v>
      </c>
      <c r="D2354" s="106">
        <v>230807</v>
      </c>
      <c r="E2354" s="106" t="s">
        <v>3949</v>
      </c>
      <c r="F2354" s="106" t="s">
        <v>2698</v>
      </c>
      <c r="G2354" s="106" t="s">
        <v>458</v>
      </c>
      <c r="H2354" s="106">
        <v>6</v>
      </c>
      <c r="I2354" s="106" t="s">
        <v>3640</v>
      </c>
      <c r="J2354" s="106">
        <v>33560</v>
      </c>
      <c r="K2354" s="106">
        <v>24371</v>
      </c>
      <c r="L2354" s="106">
        <v>19136</v>
      </c>
      <c r="M2354" s="106">
        <v>0.25</v>
      </c>
      <c r="N2354" s="106">
        <v>0.56999999999999995</v>
      </c>
      <c r="O2354" s="106">
        <v>0.99</v>
      </c>
      <c r="P2354" s="106">
        <v>19758</v>
      </c>
      <c r="Q2354" s="108">
        <v>12863.811214199273</v>
      </c>
      <c r="R2354" s="106">
        <v>0.40958935278438446</v>
      </c>
      <c r="S2354" s="106">
        <v>28185.765227914482</v>
      </c>
      <c r="T2354" s="106">
        <v>27028.880193626461</v>
      </c>
      <c r="U2354" s="106">
        <v>25868.433024845661</v>
      </c>
      <c r="V2354" s="106">
        <v>0.71681165434621286</v>
      </c>
      <c r="W2354" s="106">
        <v>80190.691699604737</v>
      </c>
      <c r="X2354" s="110">
        <v>0.60557773098363976</v>
      </c>
      <c r="Y2354" s="106">
        <v>293.48979591836735</v>
      </c>
      <c r="Z2354" s="106">
        <v>10.118367346938776</v>
      </c>
      <c r="AA2354" s="106">
        <v>77449.088730184041</v>
      </c>
      <c r="AB2354" s="106">
        <v>891.84125538686305</v>
      </c>
      <c r="AC2354" s="106">
        <v>1.2911707760484887</v>
      </c>
      <c r="AD2354" s="106">
        <v>34.99577345731192</v>
      </c>
      <c r="AE2354" s="106">
        <v>86.841787439613526</v>
      </c>
      <c r="AF2354" s="106">
        <v>7.5227927789446244E-2</v>
      </c>
      <c r="AG2354" s="106">
        <v>33040</v>
      </c>
      <c r="AH2354" s="106">
        <v>22009.558693021379</v>
      </c>
      <c r="AI2354" s="106">
        <v>28335.667204517951</v>
      </c>
      <c r="AJ2354" s="106">
        <v>30422.862847922548</v>
      </c>
      <c r="AK2354" s="104">
        <v>25875.665994352563</v>
      </c>
      <c r="AL2354" s="118"/>
      <c r="AM2354" s="118">
        <v>2030</v>
      </c>
      <c r="AN2354" s="118">
        <v>71905</v>
      </c>
      <c r="AO2354" s="118">
        <v>559</v>
      </c>
      <c r="AP2354" s="118">
        <f t="shared" si="36"/>
        <v>520</v>
      </c>
    </row>
    <row r="2355" spans="1:42" ht="12.75">
      <c r="A2355" s="106">
        <v>2018</v>
      </c>
      <c r="B2355" s="106">
        <v>-125727</v>
      </c>
      <c r="C2355" s="106">
        <v>0</v>
      </c>
      <c r="D2355" s="106">
        <v>125727</v>
      </c>
      <c r="E2355" s="106" t="s">
        <v>3552</v>
      </c>
      <c r="F2355" s="106" t="s">
        <v>180</v>
      </c>
      <c r="G2355" s="106" t="s">
        <v>121</v>
      </c>
      <c r="H2355" s="106">
        <v>7</v>
      </c>
      <c r="I2355" s="106" t="s">
        <v>3641</v>
      </c>
      <c r="J2355" s="106">
        <v>44044</v>
      </c>
      <c r="K2355" s="106">
        <v>31945</v>
      </c>
      <c r="L2355" s="106">
        <v>22083</v>
      </c>
      <c r="M2355" s="106">
        <v>0.19</v>
      </c>
      <c r="N2355" s="106">
        <v>0.63</v>
      </c>
      <c r="O2355" s="106">
        <v>1</v>
      </c>
      <c r="P2355" s="106">
        <v>26402</v>
      </c>
      <c r="Q2355" s="107">
        <v>18480.905660377357</v>
      </c>
      <c r="R2355" s="106">
        <v>0.46507085433752798</v>
      </c>
      <c r="S2355" s="106">
        <v>42066.496855345911</v>
      </c>
      <c r="T2355" s="106">
        <v>43901.142557651991</v>
      </c>
      <c r="U2355" s="106">
        <v>34232.061428388217</v>
      </c>
      <c r="V2355" s="106">
        <v>0.62096530401285532</v>
      </c>
      <c r="W2355" s="106">
        <v>98285.586934673367</v>
      </c>
      <c r="X2355" s="110">
        <v>0.51889107945102819</v>
      </c>
      <c r="Y2355" s="106">
        <v>340.66666666666669</v>
      </c>
      <c r="Z2355" s="106">
        <v>11.357142857142858</v>
      </c>
      <c r="AA2355" s="106">
        <v>142401.39506983585</v>
      </c>
      <c r="AB2355" s="106">
        <v>1141.2282150783603</v>
      </c>
      <c r="AC2355" s="106">
        <v>0.70224031127615316</v>
      </c>
      <c r="AD2355" s="106">
        <v>26.543209876543212</v>
      </c>
      <c r="AE2355" s="107">
        <v>124.77906976744185</v>
      </c>
      <c r="AF2355" s="106">
        <v>1.1623645626515083E-2</v>
      </c>
      <c r="AG2355" s="106">
        <v>42890</v>
      </c>
      <c r="AH2355" s="106">
        <v>34859.548567435362</v>
      </c>
      <c r="AI2355" s="106">
        <v>42066.496855345911</v>
      </c>
      <c r="AJ2355" s="106">
        <v>45729.089447938502</v>
      </c>
      <c r="AK2355" s="104">
        <v>34709.911250873512</v>
      </c>
      <c r="AM2355" s="118">
        <v>1300</v>
      </c>
      <c r="AN2355" s="118">
        <v>42924</v>
      </c>
      <c r="AO2355" s="118">
        <v>324</v>
      </c>
      <c r="AP2355" s="118">
        <f t="shared" si="36"/>
        <v>1154</v>
      </c>
    </row>
    <row r="2356" spans="1:42" ht="12.75">
      <c r="A2356" s="106">
        <v>2018</v>
      </c>
      <c r="B2356" s="106">
        <v>-216825</v>
      </c>
      <c r="C2356" s="106">
        <v>0</v>
      </c>
      <c r="D2356" s="106">
        <v>216825</v>
      </c>
      <c r="E2356" s="106" t="s">
        <v>3553</v>
      </c>
      <c r="F2356" s="106" t="s">
        <v>3554</v>
      </c>
      <c r="G2356" s="106" t="s">
        <v>104</v>
      </c>
      <c r="H2356" s="106">
        <v>4</v>
      </c>
      <c r="I2356" s="106" t="s">
        <v>24</v>
      </c>
      <c r="J2356" s="106">
        <v>5190</v>
      </c>
      <c r="K2356" s="106">
        <v>6772</v>
      </c>
      <c r="L2356" s="106">
        <v>6248</v>
      </c>
      <c r="M2356" s="106">
        <v>0.52</v>
      </c>
      <c r="N2356" s="106">
        <v>0.49</v>
      </c>
      <c r="O2356" s="106">
        <v>0.08</v>
      </c>
      <c r="P2356" s="106">
        <v>2736</v>
      </c>
      <c r="Q2356" s="106">
        <v>385.36549707602342</v>
      </c>
      <c r="R2356" s="106">
        <v>5.770213753375298E-2</v>
      </c>
      <c r="S2356" s="106">
        <v>13973.799707602338</v>
      </c>
      <c r="T2356" s="106">
        <v>14502.226608187135</v>
      </c>
      <c r="U2356" s="106">
        <v>10586.995827207022</v>
      </c>
      <c r="V2356" s="106">
        <v>0.59442407528921981</v>
      </c>
      <c r="W2356" s="106">
        <v>68498.072111207643</v>
      </c>
      <c r="X2356" s="110">
        <v>0.52987279731091907</v>
      </c>
      <c r="Y2356" s="106">
        <v>602.28962818003924</v>
      </c>
      <c r="Z2356" s="106">
        <v>20.078277886497066</v>
      </c>
      <c r="AA2356" s="106">
        <v>41191.724378894214</v>
      </c>
      <c r="AB2356" s="106">
        <v>352.93425995757883</v>
      </c>
      <c r="AC2356" s="106">
        <v>2.4276720993801835</v>
      </c>
      <c r="AD2356" s="106">
        <v>27.798861480075903</v>
      </c>
      <c r="AE2356" s="106">
        <v>116.71217292377702</v>
      </c>
      <c r="AF2356" s="106">
        <v>0.14354100358479321</v>
      </c>
      <c r="AG2356" s="106">
        <v>3720</v>
      </c>
      <c r="AH2356" s="106">
        <v>12742.443859649124</v>
      </c>
      <c r="AI2356" s="106">
        <v>12742.443859649124</v>
      </c>
      <c r="AJ2356" s="106">
        <v>14137.400877192982</v>
      </c>
      <c r="AK2356" s="104">
        <v>12981.311695906432</v>
      </c>
      <c r="AL2356" s="119">
        <v>13249670</v>
      </c>
      <c r="AM2356" s="118">
        <v>5084</v>
      </c>
      <c r="AN2356" s="118">
        <v>102590</v>
      </c>
      <c r="AO2356" s="118">
        <v>628</v>
      </c>
      <c r="AP2356" s="118">
        <f t="shared" si="36"/>
        <v>1470</v>
      </c>
    </row>
    <row r="2357" spans="1:42" ht="12.75">
      <c r="A2357" s="106">
        <v>2018</v>
      </c>
      <c r="B2357" s="106">
        <v>-229841</v>
      </c>
      <c r="C2357" s="106">
        <v>0</v>
      </c>
      <c r="D2357" s="106">
        <v>229841</v>
      </c>
      <c r="E2357" s="106" t="s">
        <v>3555</v>
      </c>
      <c r="F2357" s="106" t="s">
        <v>3556</v>
      </c>
      <c r="G2357" s="106" t="s">
        <v>60</v>
      </c>
      <c r="H2357" s="106">
        <v>4</v>
      </c>
      <c r="I2357" s="106" t="s">
        <v>24</v>
      </c>
      <c r="J2357" s="106">
        <v>2342</v>
      </c>
      <c r="K2357" s="106">
        <v>4392</v>
      </c>
      <c r="L2357" s="106">
        <v>2961</v>
      </c>
      <c r="M2357" s="106">
        <v>0.35</v>
      </c>
      <c r="N2357" s="106">
        <v>0.27</v>
      </c>
      <c r="O2357" s="106">
        <v>0.11</v>
      </c>
      <c r="P2357" s="107">
        <v>3168</v>
      </c>
      <c r="Q2357" s="107"/>
      <c r="R2357" s="106"/>
      <c r="S2357" s="106">
        <v>10317.273072060683</v>
      </c>
      <c r="T2357" s="106">
        <v>10531.473029919933</v>
      </c>
      <c r="U2357" s="106">
        <v>7122.1971726200945</v>
      </c>
      <c r="V2357" s="106">
        <v>0.64140803779429578</v>
      </c>
      <c r="W2357" s="106">
        <v>73009.619448698315</v>
      </c>
      <c r="X2357" s="110">
        <v>0.63589462372643346</v>
      </c>
      <c r="Y2357" s="106">
        <v>658.14175654853614</v>
      </c>
      <c r="Z2357" s="106">
        <v>21.938366718027734</v>
      </c>
      <c r="AA2357" s="106">
        <v>31269.146883677124</v>
      </c>
      <c r="AB2357" s="106">
        <v>237.40990729786182</v>
      </c>
      <c r="AC2357" s="106">
        <v>3.1980405596611021</v>
      </c>
      <c r="AD2357" s="106">
        <v>25.09285051067781</v>
      </c>
      <c r="AE2357" s="107">
        <v>131.70952821461609</v>
      </c>
      <c r="AF2357" s="106">
        <v>3.8813097108003668E-3</v>
      </c>
      <c r="AG2357" s="106">
        <v>768</v>
      </c>
      <c r="AH2357" s="106">
        <v>9495.6721449641809</v>
      </c>
      <c r="AI2357" s="106">
        <v>9495.6721449641809</v>
      </c>
      <c r="AJ2357" s="106">
        <v>10583.446481247367</v>
      </c>
      <c r="AK2357" s="104">
        <v>8612.7473662031189</v>
      </c>
      <c r="AL2357" s="119">
        <v>19354855</v>
      </c>
      <c r="AM2357" s="118">
        <v>7050</v>
      </c>
      <c r="AN2357" s="118">
        <v>142378</v>
      </c>
      <c r="AO2357" s="118">
        <v>737</v>
      </c>
      <c r="AP2357" s="118">
        <f t="shared" si="36"/>
        <v>1574</v>
      </c>
    </row>
    <row r="2358" spans="1:42" ht="12.75">
      <c r="A2358" s="106">
        <v>2018</v>
      </c>
      <c r="B2358" s="106">
        <v>-237039</v>
      </c>
      <c r="C2358" s="106">
        <v>0</v>
      </c>
      <c r="D2358" s="106">
        <v>237039</v>
      </c>
      <c r="E2358" s="106" t="s">
        <v>3557</v>
      </c>
      <c r="F2358" s="106" t="s">
        <v>325</v>
      </c>
      <c r="G2358" s="106" t="s">
        <v>182</v>
      </c>
      <c r="H2358" s="106">
        <v>4</v>
      </c>
      <c r="I2358" s="106" t="s">
        <v>24</v>
      </c>
      <c r="J2358" s="106">
        <v>4460</v>
      </c>
      <c r="K2358" s="106">
        <v>7355</v>
      </c>
      <c r="L2358" s="106">
        <v>5939</v>
      </c>
      <c r="M2358" s="106">
        <v>0.4</v>
      </c>
      <c r="N2358" s="106">
        <v>0.09</v>
      </c>
      <c r="O2358" s="106">
        <v>0.17</v>
      </c>
      <c r="P2358" s="106">
        <v>1243</v>
      </c>
      <c r="Q2358" s="107">
        <v>234.86377396569122</v>
      </c>
      <c r="R2358" s="106">
        <v>3.6071565986918047E-2</v>
      </c>
      <c r="S2358" s="106">
        <v>16589.55768583922</v>
      </c>
      <c r="T2358" s="106">
        <v>17415.48368651194</v>
      </c>
      <c r="U2358" s="106">
        <v>13735.954591321897</v>
      </c>
      <c r="V2358" s="106">
        <v>0.45691664907844709</v>
      </c>
      <c r="W2358" s="106">
        <v>97340.753125000003</v>
      </c>
      <c r="X2358" s="110">
        <v>0.60160886945946801</v>
      </c>
      <c r="Y2358" s="106">
        <v>928.96527777777783</v>
      </c>
      <c r="Z2358" s="106">
        <v>20.645833333333332</v>
      </c>
      <c r="AA2358" s="106">
        <v>28497.552686671319</v>
      </c>
      <c r="AB2358" s="106">
        <v>305.27538106166509</v>
      </c>
      <c r="AC2358" s="106">
        <v>3.5090732562017974</v>
      </c>
      <c r="AD2358" s="106">
        <v>44.214748534402965</v>
      </c>
      <c r="AE2358" s="107">
        <v>93.350314026517793</v>
      </c>
      <c r="AF2358" s="106">
        <v>2.0981345711506755E-2</v>
      </c>
      <c r="AG2358" s="106">
        <v>4116</v>
      </c>
      <c r="AH2358" s="106">
        <v>16174.062563067608</v>
      </c>
      <c r="AI2358" s="106">
        <v>16174.062563067608</v>
      </c>
      <c r="AJ2358" s="106">
        <v>16676.185671039355</v>
      </c>
      <c r="AK2358" s="104">
        <v>15317.759165825766</v>
      </c>
      <c r="AL2358" s="119">
        <v>13752152</v>
      </c>
      <c r="AM2358" s="118">
        <v>4411</v>
      </c>
      <c r="AN2358" s="118">
        <v>133771</v>
      </c>
      <c r="AO2358" s="118">
        <v>952</v>
      </c>
      <c r="AP2358" s="118">
        <f t="shared" si="36"/>
        <v>344</v>
      </c>
    </row>
    <row r="2359" spans="1:42" ht="12.75">
      <c r="A2359" s="106">
        <v>2018</v>
      </c>
      <c r="B2359" s="106">
        <v>-149781</v>
      </c>
      <c r="C2359" s="106">
        <v>0</v>
      </c>
      <c r="D2359" s="106">
        <v>149781</v>
      </c>
      <c r="E2359" s="106" t="s">
        <v>3952</v>
      </c>
      <c r="F2359" s="106" t="s">
        <v>3558</v>
      </c>
      <c r="G2359" s="106" t="s">
        <v>243</v>
      </c>
      <c r="H2359" s="106">
        <v>7</v>
      </c>
      <c r="I2359" s="106" t="s">
        <v>3641</v>
      </c>
      <c r="J2359" s="106">
        <v>35190</v>
      </c>
      <c r="K2359" s="106">
        <v>28162</v>
      </c>
      <c r="L2359" s="106">
        <v>17053</v>
      </c>
      <c r="M2359" s="106">
        <v>0.22</v>
      </c>
      <c r="N2359" s="106">
        <v>0.55000000000000004</v>
      </c>
      <c r="O2359" s="106">
        <v>0.82</v>
      </c>
      <c r="P2359" s="106">
        <v>17643</v>
      </c>
      <c r="Q2359" s="107">
        <v>10958.76660929432</v>
      </c>
      <c r="R2359" s="106">
        <v>0.34923071311525988</v>
      </c>
      <c r="S2359" s="106">
        <v>43507.683993115315</v>
      </c>
      <c r="T2359" s="106">
        <v>43650.584853700515</v>
      </c>
      <c r="U2359" s="106">
        <v>34675.918696580316</v>
      </c>
      <c r="V2359" s="106">
        <v>0.58890917319252456</v>
      </c>
      <c r="W2359" s="106">
        <v>84441.816942148769</v>
      </c>
      <c r="X2359" s="110">
        <v>0.53717460980170417</v>
      </c>
      <c r="Y2359" s="106">
        <v>322.23276983094928</v>
      </c>
      <c r="Z2359" s="106">
        <v>11.33289986996099</v>
      </c>
      <c r="AA2359" s="106">
        <v>130653.10481655749</v>
      </c>
      <c r="AB2359" s="106">
        <v>1219.5491932537418</v>
      </c>
      <c r="AC2359" s="106">
        <v>0.7653855615632269</v>
      </c>
      <c r="AD2359" s="106">
        <v>28.715083798882681</v>
      </c>
      <c r="AE2359" s="107">
        <v>107.13229571984436</v>
      </c>
      <c r="AF2359" s="106">
        <v>7.5367052992351552E-2</v>
      </c>
      <c r="AG2359" s="106">
        <v>35190</v>
      </c>
      <c r="AH2359" s="106">
        <v>31626.901204819278</v>
      </c>
      <c r="AI2359" s="106">
        <v>43639.740791738383</v>
      </c>
      <c r="AJ2359" s="106">
        <v>64314.86402753873</v>
      </c>
      <c r="AK2359" s="104">
        <v>37877.480206540451</v>
      </c>
      <c r="AL2359" s="118"/>
      <c r="AM2359" s="118">
        <v>2391</v>
      </c>
      <c r="AN2359" s="118">
        <v>82599</v>
      </c>
      <c r="AO2359" s="118">
        <v>611</v>
      </c>
      <c r="AP2359" s="118">
        <f t="shared" si="36"/>
        <v>0</v>
      </c>
    </row>
    <row r="2360" spans="1:42" ht="12.75">
      <c r="A2360" s="106">
        <v>2018</v>
      </c>
      <c r="B2360" s="106">
        <v>-168281</v>
      </c>
      <c r="C2360" s="106">
        <v>0</v>
      </c>
      <c r="D2360" s="106">
        <v>168281</v>
      </c>
      <c r="E2360" s="106" t="s">
        <v>3953</v>
      </c>
      <c r="F2360" s="106" t="s">
        <v>3559</v>
      </c>
      <c r="G2360" s="106" t="s">
        <v>150</v>
      </c>
      <c r="H2360" s="106">
        <v>7</v>
      </c>
      <c r="I2360" s="106" t="s">
        <v>3641</v>
      </c>
      <c r="J2360" s="106">
        <v>50850</v>
      </c>
      <c r="K2360" s="106">
        <v>33151</v>
      </c>
      <c r="L2360" s="106">
        <v>21862</v>
      </c>
      <c r="M2360" s="106">
        <v>0.17</v>
      </c>
      <c r="N2360" s="106">
        <v>0.68</v>
      </c>
      <c r="O2360" s="106">
        <v>0.98</v>
      </c>
      <c r="P2360" s="106">
        <v>31318</v>
      </c>
      <c r="Q2360" s="106">
        <v>26042.35406437534</v>
      </c>
      <c r="R2360" s="106">
        <v>0.56714411681081556</v>
      </c>
      <c r="S2360" s="106">
        <v>38738.540643753411</v>
      </c>
      <c r="T2360" s="106">
        <v>44920.835788325152</v>
      </c>
      <c r="U2360" s="106">
        <v>36110.802098223154</v>
      </c>
      <c r="V2360" s="106">
        <v>0.55041846811086936</v>
      </c>
      <c r="W2360" s="106">
        <v>88314.518543046361</v>
      </c>
      <c r="X2360" s="110">
        <v>0.53985546884127567</v>
      </c>
      <c r="Y2360" s="106">
        <v>356.33909287257018</v>
      </c>
      <c r="Z2360" s="106">
        <v>11.876889848812095</v>
      </c>
      <c r="AA2360" s="106">
        <v>188042.89842625865</v>
      </c>
      <c r="AB2360" s="106">
        <v>1203.5839666522963</v>
      </c>
      <c r="AC2360" s="106">
        <v>0.5317935473070533</v>
      </c>
      <c r="AD2360" s="106">
        <v>20.952380952380953</v>
      </c>
      <c r="AE2360" s="106">
        <v>156.23579545454547</v>
      </c>
      <c r="AF2360" s="106">
        <v>2.9993448903145557E-3</v>
      </c>
      <c r="AG2360" s="106">
        <v>50520</v>
      </c>
      <c r="AH2360" s="106">
        <v>32480.737588652482</v>
      </c>
      <c r="AI2360" s="106">
        <v>38630.456082924167</v>
      </c>
      <c r="AJ2360" s="106">
        <v>45405.660120021821</v>
      </c>
      <c r="AK2360" s="104">
        <v>36325.58483360611</v>
      </c>
      <c r="AM2360" s="118">
        <v>1688</v>
      </c>
      <c r="AN2360" s="118">
        <v>54995</v>
      </c>
      <c r="AO2360" s="118">
        <v>352</v>
      </c>
      <c r="AP2360" s="118">
        <f t="shared" si="36"/>
        <v>330</v>
      </c>
    </row>
    <row r="2361" spans="1:42" ht="12.75">
      <c r="A2361" s="106">
        <v>2018</v>
      </c>
      <c r="B2361" s="106">
        <v>-238078</v>
      </c>
      <c r="C2361" s="106">
        <v>0</v>
      </c>
      <c r="D2361" s="106">
        <v>238078</v>
      </c>
      <c r="E2361" s="106" t="s">
        <v>3560</v>
      </c>
      <c r="F2361" s="106" t="s">
        <v>3510</v>
      </c>
      <c r="G2361" s="106" t="s">
        <v>110</v>
      </c>
      <c r="H2361" s="106">
        <v>6</v>
      </c>
      <c r="I2361" s="106" t="s">
        <v>3640</v>
      </c>
      <c r="J2361" s="106">
        <v>28110</v>
      </c>
      <c r="K2361" s="106">
        <v>17285</v>
      </c>
      <c r="L2361" s="106">
        <v>12619</v>
      </c>
      <c r="M2361" s="106">
        <v>0.43</v>
      </c>
      <c r="N2361" s="106">
        <v>0.69</v>
      </c>
      <c r="O2361" s="106">
        <v>0.98</v>
      </c>
      <c r="P2361" s="106">
        <v>18797</v>
      </c>
      <c r="Q2361" s="106">
        <v>11939.998001998001</v>
      </c>
      <c r="R2361" s="106">
        <v>0.44440203169229081</v>
      </c>
      <c r="S2361" s="106">
        <v>27104.986013986014</v>
      </c>
      <c r="T2361" s="106">
        <v>28352.914085914086</v>
      </c>
      <c r="U2361" s="106">
        <v>21273.571961271635</v>
      </c>
      <c r="V2361" s="106">
        <v>0.70169511099203008</v>
      </c>
      <c r="W2361" s="106">
        <v>64662.130856219708</v>
      </c>
      <c r="X2361" s="110">
        <v>0.47009715951017972</v>
      </c>
      <c r="Y2361" s="106">
        <v>291.2868525896414</v>
      </c>
      <c r="Z2361" s="106">
        <v>11.96414342629482</v>
      </c>
      <c r="AA2361" s="106">
        <v>60669.075593256137</v>
      </c>
      <c r="AB2361" s="106">
        <v>873.77807776590646</v>
      </c>
      <c r="AC2361" s="106">
        <v>1.6482861988936555</v>
      </c>
      <c r="AD2361" s="106">
        <v>36.297828335056877</v>
      </c>
      <c r="AE2361" s="106">
        <v>69.433048433048427</v>
      </c>
      <c r="AF2361" s="106">
        <v>-4.3549345555301683E-2</v>
      </c>
      <c r="AG2361" s="106">
        <v>27000</v>
      </c>
      <c r="AH2361" s="106">
        <v>21681.234765234763</v>
      </c>
      <c r="AI2361" s="106">
        <v>27104.986013986014</v>
      </c>
      <c r="AJ2361" s="106">
        <v>27666.111888111889</v>
      </c>
      <c r="AK2361" s="104">
        <v>22873.34965034965</v>
      </c>
      <c r="AL2361" s="118"/>
      <c r="AM2361" s="118">
        <v>793</v>
      </c>
      <c r="AN2361" s="118">
        <v>24371</v>
      </c>
      <c r="AO2361" s="118">
        <v>192</v>
      </c>
      <c r="AP2361" s="118">
        <f t="shared" si="36"/>
        <v>1110</v>
      </c>
    </row>
    <row r="2362" spans="1:42" ht="12.75">
      <c r="A2362" s="106">
        <v>2018</v>
      </c>
      <c r="B2362" s="106">
        <v>-168290</v>
      </c>
      <c r="C2362" s="106">
        <v>0</v>
      </c>
      <c r="D2362" s="106">
        <v>168290</v>
      </c>
      <c r="E2362" s="106" t="s">
        <v>3561</v>
      </c>
      <c r="F2362" s="106" t="s">
        <v>425</v>
      </c>
      <c r="G2362" s="106" t="s">
        <v>150</v>
      </c>
      <c r="H2362" s="106">
        <v>6</v>
      </c>
      <c r="I2362" s="106" t="s">
        <v>3640</v>
      </c>
      <c r="J2362" s="106">
        <v>36350</v>
      </c>
      <c r="K2362" s="106"/>
      <c r="L2362" s="106"/>
      <c r="M2362" s="106">
        <v>0.5</v>
      </c>
      <c r="N2362" s="106">
        <v>0.85</v>
      </c>
      <c r="O2362" s="106">
        <v>1</v>
      </c>
      <c r="P2362" s="106">
        <v>20125</v>
      </c>
      <c r="Q2362" s="106">
        <v>11541</v>
      </c>
      <c r="R2362" s="106">
        <v>0.37983326863971151</v>
      </c>
      <c r="S2362" s="106">
        <v>31848.702760084925</v>
      </c>
      <c r="T2362" s="106">
        <v>45743.676220806796</v>
      </c>
      <c r="U2362" s="106">
        <v>36366.091165107384</v>
      </c>
      <c r="V2362" s="106">
        <v>0.51815808862150237</v>
      </c>
      <c r="W2362" s="106">
        <v>118428.01357466064</v>
      </c>
      <c r="X2362" s="110">
        <v>0.6073859640153525</v>
      </c>
      <c r="Y2362" s="106">
        <v>320.39516129032256</v>
      </c>
      <c r="Z2362" s="106">
        <v>11.39516129032258</v>
      </c>
      <c r="AA2362" s="106">
        <v>83553.31189641745</v>
      </c>
      <c r="AB2362" s="106">
        <v>1293.3949209971743</v>
      </c>
      <c r="AC2362" s="106">
        <v>1.1968406485666516</v>
      </c>
      <c r="AD2362" s="106">
        <v>52.699228791773777</v>
      </c>
      <c r="AE2362" s="106">
        <v>64.599999999999994</v>
      </c>
      <c r="AF2362" s="106">
        <v>-2.6565094961670539E-2</v>
      </c>
      <c r="AG2362" s="106">
        <v>34950</v>
      </c>
      <c r="AH2362" s="106">
        <v>30427.559447983014</v>
      </c>
      <c r="AI2362" s="106">
        <v>31848.702760084925</v>
      </c>
      <c r="AJ2362" s="106">
        <v>43086.556263269638</v>
      </c>
      <c r="AK2362" s="104">
        <v>38816.945859872612</v>
      </c>
      <c r="AL2362" s="118"/>
      <c r="AM2362" s="118">
        <v>612</v>
      </c>
      <c r="AN2362" s="118">
        <v>26486</v>
      </c>
      <c r="AO2362" s="118">
        <v>201</v>
      </c>
      <c r="AP2362" s="118">
        <f t="shared" si="36"/>
        <v>1400</v>
      </c>
    </row>
    <row r="2363" spans="1:42">
      <c r="A2363" s="106">
        <v>2018</v>
      </c>
      <c r="B2363" s="106">
        <v>-183105</v>
      </c>
      <c r="C2363" s="106">
        <v>0</v>
      </c>
      <c r="D2363" s="106">
        <v>183105</v>
      </c>
      <c r="E2363" s="106" t="s">
        <v>3562</v>
      </c>
      <c r="F2363" s="106" t="s">
        <v>3563</v>
      </c>
      <c r="G2363" s="106" t="s">
        <v>179</v>
      </c>
      <c r="H2363" s="106">
        <v>4</v>
      </c>
      <c r="I2363" s="106" t="s">
        <v>24</v>
      </c>
      <c r="J2363" s="106">
        <v>7664</v>
      </c>
      <c r="K2363" s="107">
        <v>13492</v>
      </c>
      <c r="L2363" s="107">
        <v>13653</v>
      </c>
      <c r="M2363" s="107">
        <v>0.59</v>
      </c>
      <c r="N2363" s="107">
        <v>0.66</v>
      </c>
      <c r="O2363" s="107">
        <v>0</v>
      </c>
      <c r="P2363" s="107"/>
      <c r="Q2363" s="107">
        <v>253.62579617834396</v>
      </c>
      <c r="R2363" s="107">
        <v>3.5706015236318056E-2</v>
      </c>
      <c r="S2363" s="107">
        <v>19996.651273885349</v>
      </c>
      <c r="T2363" s="107">
        <v>19262.055732484077</v>
      </c>
      <c r="U2363" s="107">
        <v>13929.495160959836</v>
      </c>
      <c r="V2363" s="107">
        <v>0.49172933563817012</v>
      </c>
      <c r="W2363" s="107">
        <v>71031.631097560967</v>
      </c>
      <c r="X2363" s="111">
        <v>0.64201045073021101</v>
      </c>
      <c r="Y2363" s="107">
        <v>281.31343283582089</v>
      </c>
      <c r="Z2363" s="107">
        <v>9.3731343283582085</v>
      </c>
      <c r="AA2363" s="107">
        <v>40312.087378261647</v>
      </c>
      <c r="AB2363" s="107">
        <v>464.11942705235447</v>
      </c>
      <c r="AC2363" s="107">
        <v>2.4806455458797489</v>
      </c>
      <c r="AD2363" s="107">
        <v>55.498721227621481</v>
      </c>
      <c r="AE2363" s="107">
        <v>86.857142857142861</v>
      </c>
      <c r="AF2363" s="106">
        <v>0.54465314950218502</v>
      </c>
      <c r="AG2363" s="107">
        <v>6720</v>
      </c>
      <c r="AH2363" s="107">
        <v>17400.899681528663</v>
      </c>
      <c r="AI2363" s="107">
        <v>17420.694267515923</v>
      </c>
      <c r="AJ2363" s="107">
        <v>20158.920382165605</v>
      </c>
      <c r="AK2363" s="104">
        <v>17200.116242038217</v>
      </c>
      <c r="AL2363" s="118">
        <v>5224887</v>
      </c>
      <c r="AM2363" s="118">
        <v>698</v>
      </c>
      <c r="AN2363" s="118">
        <v>18848</v>
      </c>
      <c r="AO2363" s="118">
        <v>117</v>
      </c>
      <c r="AP2363" s="118">
        <f t="shared" si="36"/>
        <v>944</v>
      </c>
    </row>
    <row r="2364" spans="1:42" ht="12.75">
      <c r="A2364" s="106">
        <v>2018</v>
      </c>
      <c r="B2364" s="106">
        <v>-237057</v>
      </c>
      <c r="C2364" s="106">
        <v>0</v>
      </c>
      <c r="D2364" s="106">
        <v>237057</v>
      </c>
      <c r="E2364" s="106" t="s">
        <v>3564</v>
      </c>
      <c r="F2364" s="106" t="s">
        <v>3439</v>
      </c>
      <c r="G2364" s="106" t="s">
        <v>182</v>
      </c>
      <c r="H2364" s="106">
        <v>7</v>
      </c>
      <c r="I2364" s="106" t="s">
        <v>3641</v>
      </c>
      <c r="J2364" s="106">
        <v>49780</v>
      </c>
      <c r="K2364" s="106">
        <v>38109</v>
      </c>
      <c r="L2364" s="106">
        <v>13619</v>
      </c>
      <c r="M2364" s="106">
        <v>0.13</v>
      </c>
      <c r="N2364" s="106">
        <v>0.43</v>
      </c>
      <c r="O2364" s="106">
        <v>0.81</v>
      </c>
      <c r="P2364" s="106">
        <v>25383</v>
      </c>
      <c r="Q2364" s="106">
        <v>20150.719718309858</v>
      </c>
      <c r="R2364" s="106">
        <v>0.38198803003635218</v>
      </c>
      <c r="S2364" s="106">
        <v>53637.61056338028</v>
      </c>
      <c r="T2364" s="106">
        <v>60917.392957746481</v>
      </c>
      <c r="U2364" s="106">
        <v>50543.174723333657</v>
      </c>
      <c r="V2364" s="106">
        <v>0.64502296559645034</v>
      </c>
      <c r="W2364" s="106">
        <v>97517.617569352704</v>
      </c>
      <c r="X2364" s="110">
        <v>0.56892897144086763</v>
      </c>
      <c r="Y2364" s="106">
        <v>218.13461538461539</v>
      </c>
      <c r="Z2364" s="106">
        <v>6.8269230769230766</v>
      </c>
      <c r="AA2364" s="106">
        <v>190881.13858280264</v>
      </c>
      <c r="AB2364" s="106">
        <v>1581.8414023435994</v>
      </c>
      <c r="AC2364" s="106">
        <v>0.5238862296319593</v>
      </c>
      <c r="AD2364" s="106">
        <v>25.457007447528774</v>
      </c>
      <c r="AE2364" s="106">
        <v>120.67021276595744</v>
      </c>
      <c r="AF2364" s="106">
        <v>7.1514586847810174E-2</v>
      </c>
      <c r="AG2364" s="106">
        <v>49390</v>
      </c>
      <c r="AH2364" s="106">
        <v>47166.428169014085</v>
      </c>
      <c r="AI2364" s="106">
        <v>53483.04436619718</v>
      </c>
      <c r="AJ2364" s="106">
        <v>93925.607746478869</v>
      </c>
      <c r="AK2364" s="104">
        <v>51173.550704225352</v>
      </c>
      <c r="AL2364" s="118"/>
      <c r="AM2364" s="118">
        <v>1510</v>
      </c>
      <c r="AN2364" s="118">
        <v>45372</v>
      </c>
      <c r="AO2364" s="118">
        <v>376</v>
      </c>
      <c r="AP2364" s="118">
        <f t="shared" si="36"/>
        <v>390</v>
      </c>
    </row>
    <row r="2365" spans="1:42" ht="12.75">
      <c r="A2365" s="106">
        <v>2018</v>
      </c>
      <c r="B2365" s="106">
        <v>-125763</v>
      </c>
      <c r="C2365" s="106">
        <v>0</v>
      </c>
      <c r="D2365" s="106">
        <v>125763</v>
      </c>
      <c r="E2365" s="106" t="s">
        <v>3565</v>
      </c>
      <c r="F2365" s="106" t="s">
        <v>2563</v>
      </c>
      <c r="G2365" s="106" t="s">
        <v>121</v>
      </c>
      <c r="H2365" s="106">
        <v>7</v>
      </c>
      <c r="I2365" s="106" t="s">
        <v>3641</v>
      </c>
      <c r="J2365" s="106">
        <v>46110</v>
      </c>
      <c r="K2365" s="106">
        <v>26074</v>
      </c>
      <c r="L2365" s="106">
        <v>19324</v>
      </c>
      <c r="M2365" s="106">
        <v>0.4</v>
      </c>
      <c r="N2365" s="106">
        <v>0.71</v>
      </c>
      <c r="O2365" s="106">
        <v>0.96</v>
      </c>
      <c r="P2365" s="106">
        <v>25548</v>
      </c>
      <c r="Q2365" s="106">
        <v>20924.021390374332</v>
      </c>
      <c r="R2365" s="106">
        <v>0.46822595514556581</v>
      </c>
      <c r="S2365" s="106">
        <v>35534.862032085563</v>
      </c>
      <c r="T2365" s="106">
        <v>40323.45989304813</v>
      </c>
      <c r="U2365" s="106">
        <v>34791.894506129916</v>
      </c>
      <c r="V2365" s="106">
        <v>0.68302834912289045</v>
      </c>
      <c r="W2365" s="106">
        <v>96620.580621301764</v>
      </c>
      <c r="X2365" s="110">
        <v>0.5774650231477092</v>
      </c>
      <c r="Y2365" s="106">
        <v>310.27515400410675</v>
      </c>
      <c r="Z2365" s="106">
        <v>11.519507186858316</v>
      </c>
      <c r="AA2365" s="106">
        <v>142054.24176083613</v>
      </c>
      <c r="AB2365" s="106">
        <v>1291.7098698868913</v>
      </c>
      <c r="AC2365" s="106">
        <v>0.70395645184859001</v>
      </c>
      <c r="AD2365" s="106">
        <v>24.309978768577494</v>
      </c>
      <c r="AE2365" s="106">
        <v>109.97379912663756</v>
      </c>
      <c r="AF2365" s="106">
        <v>-5.264559070138679E-3</v>
      </c>
      <c r="AG2365" s="106">
        <v>45720</v>
      </c>
      <c r="AH2365" s="106">
        <v>30970.270588235293</v>
      </c>
      <c r="AI2365" s="106">
        <v>35534.862032085563</v>
      </c>
      <c r="AJ2365" s="106">
        <v>39700.972192513371</v>
      </c>
      <c r="AK2365" s="104">
        <v>35413.997326203207</v>
      </c>
      <c r="AM2365" s="118">
        <v>1681</v>
      </c>
      <c r="AN2365" s="118">
        <v>50368</v>
      </c>
      <c r="AO2365" s="118">
        <v>340</v>
      </c>
      <c r="AP2365" s="118">
        <f t="shared" si="36"/>
        <v>390</v>
      </c>
    </row>
    <row r="2366" spans="1:42" ht="12.75">
      <c r="A2366" s="106">
        <v>2018</v>
      </c>
      <c r="B2366" s="106">
        <v>-237066</v>
      </c>
      <c r="C2366" s="106">
        <v>0</v>
      </c>
      <c r="D2366" s="106">
        <v>237066</v>
      </c>
      <c r="E2366" s="106" t="s">
        <v>3566</v>
      </c>
      <c r="F2366" s="106" t="s">
        <v>1356</v>
      </c>
      <c r="G2366" s="106" t="s">
        <v>182</v>
      </c>
      <c r="H2366" s="106">
        <v>6</v>
      </c>
      <c r="I2366" s="106" t="s">
        <v>3640</v>
      </c>
      <c r="J2366" s="106">
        <v>42186</v>
      </c>
      <c r="K2366" s="106">
        <v>28508</v>
      </c>
      <c r="L2366" s="106">
        <v>18332</v>
      </c>
      <c r="M2366" s="106">
        <v>0.33</v>
      </c>
      <c r="N2366" s="106">
        <v>0.56999999999999995</v>
      </c>
      <c r="O2366" s="106">
        <v>0.97</v>
      </c>
      <c r="P2366" s="106">
        <v>24469</v>
      </c>
      <c r="Q2366" s="106">
        <v>17067.303329674349</v>
      </c>
      <c r="R2366" s="106">
        <v>0.49343687386091256</v>
      </c>
      <c r="S2366" s="106">
        <v>27536.096231247713</v>
      </c>
      <c r="T2366" s="106">
        <v>27453.672521039152</v>
      </c>
      <c r="U2366" s="106">
        <v>22273.765247401516</v>
      </c>
      <c r="V2366" s="106">
        <v>0.78663495649569093</v>
      </c>
      <c r="W2366" s="106">
        <v>83657.733075435201</v>
      </c>
      <c r="X2366" s="110">
        <v>0.57644324529976565</v>
      </c>
      <c r="Y2366" s="106">
        <v>385.50241545893721</v>
      </c>
      <c r="Z2366" s="106">
        <v>13.202898550724637</v>
      </c>
      <c r="AA2366" s="106">
        <v>80628.080028011056</v>
      </c>
      <c r="AB2366" s="106">
        <v>762.84415119422977</v>
      </c>
      <c r="AC2366" s="106">
        <v>1.2402626971305646</v>
      </c>
      <c r="AD2366" s="106">
        <v>30.603972436157278</v>
      </c>
      <c r="AE2366" s="106">
        <v>105.69403973509934</v>
      </c>
      <c r="AF2366" s="106">
        <v>6.6334131735397872E-2</v>
      </c>
      <c r="AG2366" s="106">
        <v>41086</v>
      </c>
      <c r="AH2366" s="106">
        <v>22981.095865349434</v>
      </c>
      <c r="AI2366" s="106">
        <v>27536.096231247713</v>
      </c>
      <c r="AJ2366" s="106">
        <v>31804.892060007318</v>
      </c>
      <c r="AK2366" s="104">
        <v>23679.201244054151</v>
      </c>
      <c r="AM2366" s="118">
        <v>2251</v>
      </c>
      <c r="AN2366" s="118">
        <v>79799</v>
      </c>
      <c r="AO2366" s="118">
        <v>580</v>
      </c>
      <c r="AP2366" s="118">
        <f t="shared" si="36"/>
        <v>1100</v>
      </c>
    </row>
    <row r="2367" spans="1:42" ht="12.75">
      <c r="A2367" s="106">
        <v>2018</v>
      </c>
      <c r="B2367" s="106">
        <v>-475200</v>
      </c>
      <c r="C2367" s="106">
        <v>0</v>
      </c>
      <c r="D2367" s="106">
        <v>475200</v>
      </c>
      <c r="E2367" s="106" t="s">
        <v>3567</v>
      </c>
      <c r="F2367" s="106" t="s">
        <v>1356</v>
      </c>
      <c r="G2367" s="106" t="s">
        <v>182</v>
      </c>
      <c r="H2367" s="106">
        <v>7</v>
      </c>
      <c r="I2367" s="106" t="s">
        <v>3641</v>
      </c>
      <c r="J2367" s="106">
        <v>12960</v>
      </c>
      <c r="K2367" s="106"/>
      <c r="L2367" s="106"/>
      <c r="M2367" s="106"/>
      <c r="N2367" s="106"/>
      <c r="O2367" s="106"/>
      <c r="P2367" s="106"/>
      <c r="Q2367" s="106">
        <v>85.599173553719012</v>
      </c>
      <c r="R2367" s="106">
        <v>5.1831569792215836E-3</v>
      </c>
      <c r="S2367" s="106">
        <v>16638.652892561982</v>
      </c>
      <c r="T2367" s="106">
        <v>10504.954545454546</v>
      </c>
      <c r="U2367" s="106">
        <v>10504.954545454546</v>
      </c>
      <c r="V2367" s="106">
        <v>1.5639546707397809</v>
      </c>
      <c r="W2367" s="106">
        <v>121410.875</v>
      </c>
      <c r="X2367" s="110">
        <v>0.7641313681580395</v>
      </c>
      <c r="Y2367" s="106">
        <v>1211.1666666666667</v>
      </c>
      <c r="Z2367" s="106">
        <v>40.333333333333336</v>
      </c>
      <c r="AA2367" s="106">
        <v>33015.571428571428</v>
      </c>
      <c r="AB2367" s="106">
        <v>349.82785193339754</v>
      </c>
      <c r="AC2367" s="106">
        <v>3.0288738214435615</v>
      </c>
      <c r="AD2367" s="106">
        <v>52.739726027397261</v>
      </c>
      <c r="AE2367" s="106">
        <v>94.376623376623371</v>
      </c>
      <c r="AF2367" s="106"/>
      <c r="AG2367" s="106">
        <v>12960</v>
      </c>
      <c r="AH2367" s="106">
        <v>16638.652892561982</v>
      </c>
      <c r="AI2367" s="106">
        <v>16638.652892561982</v>
      </c>
      <c r="AJ2367" s="106">
        <v>16638.652892561982</v>
      </c>
      <c r="AK2367" s="104">
        <v>10504.954545454546</v>
      </c>
      <c r="AL2367" s="118"/>
      <c r="AM2367" s="118">
        <v>313</v>
      </c>
      <c r="AN2367" s="118">
        <v>7267</v>
      </c>
      <c r="AO2367" s="118">
        <v>77</v>
      </c>
      <c r="AP2367" s="118">
        <f t="shared" si="36"/>
        <v>0</v>
      </c>
    </row>
    <row r="2368" spans="1:42" ht="12.75">
      <c r="A2368" s="106">
        <v>2018</v>
      </c>
      <c r="B2368" s="106">
        <v>-156125</v>
      </c>
      <c r="C2368" s="106">
        <v>0</v>
      </c>
      <c r="D2368" s="106">
        <v>156125</v>
      </c>
      <c r="E2368" s="106" t="s">
        <v>3568</v>
      </c>
      <c r="F2368" s="106" t="s">
        <v>1289</v>
      </c>
      <c r="G2368" s="106" t="s">
        <v>129</v>
      </c>
      <c r="H2368" s="106">
        <v>1</v>
      </c>
      <c r="I2368" s="106" t="s">
        <v>23</v>
      </c>
      <c r="J2368" s="106">
        <v>8432</v>
      </c>
      <c r="K2368" s="106">
        <v>14256</v>
      </c>
      <c r="L2368" s="106">
        <v>12321</v>
      </c>
      <c r="M2368" s="106">
        <v>0.38</v>
      </c>
      <c r="N2368" s="106">
        <v>0.53</v>
      </c>
      <c r="O2368" s="106">
        <v>0.66</v>
      </c>
      <c r="P2368" s="106">
        <v>4176</v>
      </c>
      <c r="Q2368" s="106">
        <v>1691.9393758016247</v>
      </c>
      <c r="R2368" s="106">
        <v>0.15777948684732715</v>
      </c>
      <c r="S2368" s="106">
        <v>26065.531338178709</v>
      </c>
      <c r="T2368" s="106">
        <v>26731.630696879009</v>
      </c>
      <c r="U2368" s="106">
        <v>13703.36004094708</v>
      </c>
      <c r="V2368" s="106">
        <v>0.65907221758491608</v>
      </c>
      <c r="W2368" s="106">
        <v>79243.256475047383</v>
      </c>
      <c r="X2368" s="110">
        <v>0.53500308599956747</v>
      </c>
      <c r="Y2368" s="106">
        <v>639.93857965451059</v>
      </c>
      <c r="Z2368" s="106">
        <v>22.447216890595008</v>
      </c>
      <c r="AA2368" s="106">
        <v>48815.350496154766</v>
      </c>
      <c r="AB2368" s="106">
        <v>480.67471590026662</v>
      </c>
      <c r="AC2368" s="106">
        <v>2.0485359417398241</v>
      </c>
      <c r="AD2368" s="106">
        <v>27.397145956772096</v>
      </c>
      <c r="AE2368" s="106">
        <v>101.5558939993908</v>
      </c>
      <c r="AF2368" s="106">
        <v>2.4387700162152855E-2</v>
      </c>
      <c r="AG2368" s="106">
        <v>6545</v>
      </c>
      <c r="AH2368" s="106">
        <v>23344.460453185122</v>
      </c>
      <c r="AI2368" s="106">
        <v>24956.326549807611</v>
      </c>
      <c r="AJ2368" s="106">
        <v>26112.245147498932</v>
      </c>
      <c r="AK2368" s="104">
        <v>25015.155280034203</v>
      </c>
      <c r="AL2368" s="119">
        <v>71060543</v>
      </c>
      <c r="AM2368" s="118">
        <v>12398</v>
      </c>
      <c r="AN2368" s="118">
        <v>333408</v>
      </c>
      <c r="AO2368" s="118">
        <v>2280</v>
      </c>
      <c r="AP2368" s="118">
        <f t="shared" si="36"/>
        <v>1887</v>
      </c>
    </row>
    <row r="2369" spans="1:42" ht="12.75">
      <c r="A2369" s="106">
        <v>2018</v>
      </c>
      <c r="B2369" s="106">
        <v>-156107</v>
      </c>
      <c r="C2369" s="106">
        <v>0</v>
      </c>
      <c r="D2369" s="106">
        <v>156107</v>
      </c>
      <c r="E2369" s="106" t="s">
        <v>4243</v>
      </c>
      <c r="F2369" s="106" t="s">
        <v>1289</v>
      </c>
      <c r="G2369" s="106" t="s">
        <v>129</v>
      </c>
      <c r="H2369" s="106">
        <v>4</v>
      </c>
      <c r="I2369" s="106" t="s">
        <v>24</v>
      </c>
      <c r="J2369" s="106">
        <v>7323</v>
      </c>
      <c r="K2369" s="106">
        <v>13296</v>
      </c>
      <c r="L2369" s="107">
        <v>12740</v>
      </c>
      <c r="M2369" s="106">
        <v>0.57999999999999996</v>
      </c>
      <c r="N2369" s="106">
        <v>0.51</v>
      </c>
      <c r="O2369" s="106">
        <v>0.2</v>
      </c>
      <c r="P2369" s="106">
        <v>2299</v>
      </c>
      <c r="Q2369" s="106">
        <v>251.47471554993678</v>
      </c>
      <c r="R2369" s="106">
        <v>4.5897217910982245E-2</v>
      </c>
      <c r="S2369" s="106">
        <v>9884.1359039190902</v>
      </c>
      <c r="T2369" s="106">
        <v>8730.5619469026551</v>
      </c>
      <c r="U2369" s="106">
        <v>8571.4832490518329</v>
      </c>
      <c r="V2369" s="106">
        <v>0.60988386762872049</v>
      </c>
      <c r="W2369" s="106">
        <v>65810.902291917984</v>
      </c>
      <c r="X2369" s="110">
        <v>0.65834334232398806</v>
      </c>
      <c r="Y2369" s="106">
        <v>681.22248803827756</v>
      </c>
      <c r="Z2369" s="106">
        <v>22.708133971291868</v>
      </c>
      <c r="AA2369" s="106">
        <v>12584.767053364269</v>
      </c>
      <c r="AB2369" s="106">
        <v>285.72513880548269</v>
      </c>
      <c r="AC2369" s="106">
        <v>7.9461145030306408</v>
      </c>
      <c r="AD2369" s="106">
        <v>89.941569282136896</v>
      </c>
      <c r="AE2369" s="106">
        <v>44.045011600928078</v>
      </c>
      <c r="AF2369" s="106">
        <v>0.28700986785833432</v>
      </c>
      <c r="AG2369" s="106">
        <v>5649</v>
      </c>
      <c r="AH2369" s="106">
        <v>9603.8454487989893</v>
      </c>
      <c r="AI2369" s="106">
        <v>9852.9886219974724</v>
      </c>
      <c r="AJ2369" s="106">
        <v>9943.8666245259174</v>
      </c>
      <c r="AK2369" s="104">
        <v>8627.4740834386848</v>
      </c>
      <c r="AL2369" s="118">
        <v>6250173</v>
      </c>
      <c r="AM2369" s="118">
        <v>4267</v>
      </c>
      <c r="AN2369" s="118">
        <v>94917</v>
      </c>
      <c r="AO2369" s="118">
        <v>193</v>
      </c>
      <c r="AP2369" s="118">
        <f t="shared" si="36"/>
        <v>1674</v>
      </c>
    </row>
    <row r="2370" spans="1:42">
      <c r="A2370" s="106">
        <v>2018</v>
      </c>
      <c r="B2370" s="106">
        <v>2651</v>
      </c>
      <c r="C2370" s="106">
        <v>1</v>
      </c>
      <c r="D2370" s="106">
        <v>216852</v>
      </c>
      <c r="E2370" s="106" t="s">
        <v>3897</v>
      </c>
      <c r="F2370" s="106" t="s">
        <v>1634</v>
      </c>
      <c r="G2370" s="106" t="s">
        <v>104</v>
      </c>
      <c r="H2370" s="106">
        <v>5</v>
      </c>
      <c r="I2370" s="106" t="s">
        <v>3639</v>
      </c>
      <c r="J2370" s="106">
        <v>44166</v>
      </c>
      <c r="K2370" s="106">
        <v>31390</v>
      </c>
      <c r="L2370" s="106">
        <v>28580</v>
      </c>
      <c r="M2370" s="106">
        <v>0.25</v>
      </c>
      <c r="N2370" s="106">
        <v>0.82</v>
      </c>
      <c r="O2370" s="106">
        <v>0.96</v>
      </c>
      <c r="P2370" s="107">
        <v>26469</v>
      </c>
      <c r="Q2370" s="106">
        <v>13959.420575414124</v>
      </c>
      <c r="R2370" s="106">
        <v>0.41714165907590828</v>
      </c>
      <c r="S2370" s="106">
        <v>25402.614472537054</v>
      </c>
      <c r="T2370" s="106">
        <v>25921.532868352224</v>
      </c>
      <c r="U2370" s="106">
        <v>21660.489315303683</v>
      </c>
      <c r="V2370" s="106">
        <v>0.90048934935518876</v>
      </c>
      <c r="W2370" s="107">
        <v>90020.5595703125</v>
      </c>
      <c r="X2370" s="111">
        <v>0.62007976981513468</v>
      </c>
      <c r="Y2370" s="107">
        <v>317.64909390444814</v>
      </c>
      <c r="Z2370" s="106">
        <v>14.172158154859968</v>
      </c>
      <c r="AA2370" s="106">
        <v>77494.015111208122</v>
      </c>
      <c r="AB2370" s="106">
        <v>966.39935758947763</v>
      </c>
      <c r="AC2370" s="106">
        <v>1.2904222326910608</v>
      </c>
      <c r="AD2370" s="106">
        <v>30.868476795686501</v>
      </c>
      <c r="AE2370" s="106">
        <v>80.188396756082341</v>
      </c>
      <c r="AF2370" s="106">
        <v>9.5051756496381784E-2</v>
      </c>
      <c r="AG2370" s="106">
        <v>43296</v>
      </c>
      <c r="AH2370" s="106">
        <v>24500.228421970358</v>
      </c>
      <c r="AI2370" s="106">
        <v>25167.83016564952</v>
      </c>
      <c r="AJ2370" s="106">
        <v>29009.353618134264</v>
      </c>
      <c r="AK2370" s="104">
        <v>21902.966346992154</v>
      </c>
      <c r="AL2370" s="118"/>
      <c r="AM2370" s="118">
        <v>3436</v>
      </c>
      <c r="AN2370" s="118">
        <v>128542</v>
      </c>
      <c r="AO2370" s="118">
        <v>759</v>
      </c>
      <c r="AP2370" s="118">
        <f t="shared" si="36"/>
        <v>870</v>
      </c>
    </row>
    <row r="2371" spans="1:42" ht="12.75">
      <c r="A2371" s="106">
        <v>2018</v>
      </c>
      <c r="B2371" s="106">
        <v>-206491</v>
      </c>
      <c r="C2371" s="106">
        <v>0</v>
      </c>
      <c r="D2371" s="106">
        <v>206491</v>
      </c>
      <c r="E2371" s="106" t="s">
        <v>3569</v>
      </c>
      <c r="F2371" s="106" t="s">
        <v>681</v>
      </c>
      <c r="G2371" s="106" t="s">
        <v>82</v>
      </c>
      <c r="H2371" s="106">
        <v>7</v>
      </c>
      <c r="I2371" s="106" t="s">
        <v>3641</v>
      </c>
      <c r="J2371" s="106">
        <v>13250</v>
      </c>
      <c r="K2371" s="106">
        <v>13437</v>
      </c>
      <c r="L2371" s="106">
        <v>13615</v>
      </c>
      <c r="M2371" s="106">
        <v>0.85</v>
      </c>
      <c r="N2371" s="106">
        <v>0.73</v>
      </c>
      <c r="O2371" s="106">
        <v>0.56999999999999995</v>
      </c>
      <c r="P2371" s="106">
        <v>3794</v>
      </c>
      <c r="Q2371" s="106">
        <v>2690.9627329192544</v>
      </c>
      <c r="R2371" s="106">
        <v>0.13168300882050785</v>
      </c>
      <c r="S2371" s="106">
        <v>44777.279503105587</v>
      </c>
      <c r="T2371" s="106">
        <v>48072.655279503102</v>
      </c>
      <c r="U2371" s="106">
        <v>42572.313664596273</v>
      </c>
      <c r="V2371" s="106">
        <v>0.41680122641161899</v>
      </c>
      <c r="W2371" s="106">
        <v>65895.797687861268</v>
      </c>
      <c r="X2371" s="110">
        <v>0.49097409814789272</v>
      </c>
      <c r="Y2371" s="106">
        <v>223.25581395348837</v>
      </c>
      <c r="Z2371" s="106">
        <v>7.4883720930232558</v>
      </c>
      <c r="AA2371" s="106">
        <v>187784.72602739726</v>
      </c>
      <c r="AB2371" s="106">
        <v>1427.9463541666667</v>
      </c>
      <c r="AC2371" s="106">
        <v>0.53252467394717873</v>
      </c>
      <c r="AD2371" s="106">
        <v>13.36996336996337</v>
      </c>
      <c r="AE2371" s="106">
        <v>131.50684931506851</v>
      </c>
      <c r="AF2371" s="106">
        <v>0.15820171833401286</v>
      </c>
      <c r="AG2371" s="106">
        <v>12020</v>
      </c>
      <c r="AH2371" s="106">
        <v>35716.30745341615</v>
      </c>
      <c r="AI2371" s="106">
        <v>38992.782608695656</v>
      </c>
      <c r="AJ2371" s="106">
        <v>43418.872670807454</v>
      </c>
      <c r="AK2371" s="104">
        <v>42572.313664596273</v>
      </c>
      <c r="AM2371" s="118">
        <v>609</v>
      </c>
      <c r="AN2371" s="118">
        <v>9600</v>
      </c>
      <c r="AO2371" s="118">
        <v>66</v>
      </c>
      <c r="AP2371" s="118">
        <f t="shared" si="36"/>
        <v>1230</v>
      </c>
    </row>
    <row r="2372" spans="1:42" ht="12.75">
      <c r="A2372" s="106">
        <v>2018</v>
      </c>
      <c r="B2372" s="106">
        <v>-229887</v>
      </c>
      <c r="C2372" s="106">
        <v>0</v>
      </c>
      <c r="D2372" s="106">
        <v>229887</v>
      </c>
      <c r="E2372" s="106" t="s">
        <v>3570</v>
      </c>
      <c r="F2372" s="106" t="s">
        <v>1099</v>
      </c>
      <c r="G2372" s="106" t="s">
        <v>60</v>
      </c>
      <c r="H2372" s="106">
        <v>7</v>
      </c>
      <c r="I2372" s="106" t="s">
        <v>3641</v>
      </c>
      <c r="J2372" s="106">
        <v>12306</v>
      </c>
      <c r="K2372" s="106">
        <v>11001</v>
      </c>
      <c r="L2372" s="107">
        <v>14947</v>
      </c>
      <c r="M2372" s="106">
        <v>0.84</v>
      </c>
      <c r="N2372" s="106">
        <v>0.83</v>
      </c>
      <c r="O2372" s="106">
        <v>0.34</v>
      </c>
      <c r="P2372" s="106">
        <v>9475</v>
      </c>
      <c r="Q2372" s="106">
        <v>3615.6028192371477</v>
      </c>
      <c r="R2372" s="106">
        <v>0.2752565037964721</v>
      </c>
      <c r="S2372" s="106">
        <v>20494.597014925374</v>
      </c>
      <c r="T2372" s="106">
        <v>20969.467661691542</v>
      </c>
      <c r="U2372" s="106">
        <v>18114.411503359825</v>
      </c>
      <c r="V2372" s="106">
        <v>0.52553691143638892</v>
      </c>
      <c r="W2372" s="106">
        <v>51722.662557781201</v>
      </c>
      <c r="X2372" s="110">
        <v>0.44245550408953582</v>
      </c>
      <c r="Y2372" s="106">
        <v>526.70388349514565</v>
      </c>
      <c r="Z2372" s="106">
        <v>17.563106796116504</v>
      </c>
      <c r="AA2372" s="106">
        <v>97093.245658008658</v>
      </c>
      <c r="AB2372" s="106">
        <v>604.03075381015697</v>
      </c>
      <c r="AC2372" s="106">
        <v>1.0299377605753319</v>
      </c>
      <c r="AD2372" s="106">
        <v>18.130539887187751</v>
      </c>
      <c r="AE2372" s="106">
        <v>160.74222222222221</v>
      </c>
      <c r="AF2372" s="106">
        <v>4.0428432492218502E-2</v>
      </c>
      <c r="AG2372" s="106">
        <v>9902</v>
      </c>
      <c r="AH2372" s="106">
        <v>16224.253731343284</v>
      </c>
      <c r="AI2372" s="106">
        <v>20494.597014925374</v>
      </c>
      <c r="AJ2372" s="106">
        <v>20573.93864013267</v>
      </c>
      <c r="AK2372" s="104">
        <v>18277.928689883913</v>
      </c>
      <c r="AM2372" s="118">
        <v>1323</v>
      </c>
      <c r="AN2372" s="118">
        <v>36167</v>
      </c>
      <c r="AO2372" s="118">
        <v>225</v>
      </c>
      <c r="AP2372" s="118">
        <f t="shared" si="36"/>
        <v>2404</v>
      </c>
    </row>
    <row r="2373" spans="1:42" ht="12.75">
      <c r="A2373" s="106">
        <v>2018</v>
      </c>
      <c r="B2373" s="106">
        <v>-199926</v>
      </c>
      <c r="C2373" s="106">
        <v>0</v>
      </c>
      <c r="D2373" s="106">
        <v>199926</v>
      </c>
      <c r="E2373" s="106" t="s">
        <v>3571</v>
      </c>
      <c r="F2373" s="106" t="s">
        <v>3572</v>
      </c>
      <c r="G2373" s="106" t="s">
        <v>90</v>
      </c>
      <c r="H2373" s="106">
        <v>4</v>
      </c>
      <c r="I2373" s="106" t="s">
        <v>24</v>
      </c>
      <c r="J2373" s="106">
        <v>2572</v>
      </c>
      <c r="K2373" s="107">
        <v>4610</v>
      </c>
      <c r="L2373" s="107">
        <v>4563</v>
      </c>
      <c r="M2373" s="107">
        <v>0.56000000000000005</v>
      </c>
      <c r="N2373" s="107">
        <v>0.09</v>
      </c>
      <c r="O2373" s="107">
        <v>0.28999999999999998</v>
      </c>
      <c r="P2373" s="107">
        <v>606</v>
      </c>
      <c r="Q2373" s="107">
        <v>361.38785295684602</v>
      </c>
      <c r="R2373" s="106">
        <v>0.16964075149358637</v>
      </c>
      <c r="S2373" s="106">
        <v>15927.921150772509</v>
      </c>
      <c r="T2373" s="106">
        <v>17683.669152903571</v>
      </c>
      <c r="U2373" s="106">
        <v>13183.166722131373</v>
      </c>
      <c r="V2373" s="106">
        <v>0.13418057416798526</v>
      </c>
      <c r="W2373" s="106">
        <v>43591.977917981079</v>
      </c>
      <c r="X2373" s="110">
        <v>0.55509577281706779</v>
      </c>
      <c r="Y2373" s="106">
        <v>252.49775784753362</v>
      </c>
      <c r="Z2373" s="106">
        <v>8.4170403587443943</v>
      </c>
      <c r="AA2373" s="106">
        <v>29111.534044047748</v>
      </c>
      <c r="AB2373" s="106">
        <v>439.46230375336256</v>
      </c>
      <c r="AC2373" s="106">
        <v>3.4350645984060182</v>
      </c>
      <c r="AD2373" s="106">
        <v>50.266114725014788</v>
      </c>
      <c r="AE2373" s="106">
        <v>66.243529411764712</v>
      </c>
      <c r="AF2373" s="106">
        <v>-3.2737062849304242E-2</v>
      </c>
      <c r="AG2373" s="106">
        <v>2432</v>
      </c>
      <c r="AH2373" s="106">
        <v>13933.363878529568</v>
      </c>
      <c r="AI2373" s="106">
        <v>14742.604155567395</v>
      </c>
      <c r="AJ2373" s="106">
        <v>16180.896643580181</v>
      </c>
      <c r="AK2373" s="104">
        <v>14614.862013851891</v>
      </c>
      <c r="AL2373" s="118">
        <v>19310322</v>
      </c>
      <c r="AM2373" s="118">
        <v>2665</v>
      </c>
      <c r="AN2373" s="118">
        <v>56307</v>
      </c>
      <c r="AO2373" s="118">
        <v>483</v>
      </c>
      <c r="AP2373" s="118">
        <f t="shared" si="36"/>
        <v>140</v>
      </c>
    </row>
    <row r="2374" spans="1:42" ht="12.75">
      <c r="A2374" s="106">
        <v>2018</v>
      </c>
      <c r="B2374" s="106">
        <v>-216931</v>
      </c>
      <c r="C2374" s="106">
        <v>0</v>
      </c>
      <c r="D2374" s="106">
        <v>216931</v>
      </c>
      <c r="E2374" s="106" t="s">
        <v>3573</v>
      </c>
      <c r="F2374" s="106" t="s">
        <v>1689</v>
      </c>
      <c r="G2374" s="106" t="s">
        <v>104</v>
      </c>
      <c r="H2374" s="106">
        <v>6</v>
      </c>
      <c r="I2374" s="106" t="s">
        <v>3640</v>
      </c>
      <c r="J2374" s="106">
        <v>34896</v>
      </c>
      <c r="K2374" s="106">
        <v>27200</v>
      </c>
      <c r="L2374" s="106">
        <v>23367</v>
      </c>
      <c r="M2374" s="106">
        <v>0.32</v>
      </c>
      <c r="N2374" s="106">
        <v>0.76</v>
      </c>
      <c r="O2374" s="106">
        <v>0.93</v>
      </c>
      <c r="P2374" s="106">
        <v>20188</v>
      </c>
      <c r="Q2374" s="106">
        <v>8888.887759815243</v>
      </c>
      <c r="R2374" s="106">
        <v>0.33333671096613959</v>
      </c>
      <c r="S2374" s="106">
        <v>24748.224249422634</v>
      </c>
      <c r="T2374" s="106">
        <v>23285.361431870671</v>
      </c>
      <c r="U2374" s="106">
        <v>18985.210466768989</v>
      </c>
      <c r="V2374" s="106">
        <v>0.93638705469688521</v>
      </c>
      <c r="W2374" s="106">
        <v>73074.507321681624</v>
      </c>
      <c r="X2374" s="110">
        <v>0.51143991534294142</v>
      </c>
      <c r="Y2374" s="106">
        <v>430.24097938144325</v>
      </c>
      <c r="Z2374" s="106">
        <v>16.739690721649485</v>
      </c>
      <c r="AA2374" s="106">
        <v>50064.531864256838</v>
      </c>
      <c r="AB2374" s="106">
        <v>738.67103955565892</v>
      </c>
      <c r="AC2374" s="106">
        <v>1.9974220526247284</v>
      </c>
      <c r="AD2374" s="106">
        <v>43.119747899159663</v>
      </c>
      <c r="AE2374" s="106">
        <v>67.776492082825825</v>
      </c>
      <c r="AF2374" s="106">
        <v>9.0195919906713801E-2</v>
      </c>
      <c r="AG2374" s="106">
        <v>33208</v>
      </c>
      <c r="AH2374" s="106">
        <v>23231.30415704388</v>
      </c>
      <c r="AI2374" s="106">
        <v>25108.87090069284</v>
      </c>
      <c r="AJ2374" s="106">
        <v>25699.55219399538</v>
      </c>
      <c r="AK2374" s="104">
        <v>20655.116628175521</v>
      </c>
      <c r="AL2374" s="118"/>
      <c r="AM2374" s="118">
        <v>2491</v>
      </c>
      <c r="AN2374" s="118">
        <v>111289</v>
      </c>
      <c r="AO2374" s="118">
        <v>570</v>
      </c>
      <c r="AP2374" s="118">
        <f t="shared" si="36"/>
        <v>1688</v>
      </c>
    </row>
    <row r="2375" spans="1:42" ht="12.75">
      <c r="A2375" s="106">
        <v>2018</v>
      </c>
      <c r="B2375" s="106">
        <v>-210401</v>
      </c>
      <c r="C2375" s="106">
        <v>0</v>
      </c>
      <c r="D2375" s="106">
        <v>210401</v>
      </c>
      <c r="E2375" s="106" t="s">
        <v>3574</v>
      </c>
      <c r="F2375" s="106" t="s">
        <v>717</v>
      </c>
      <c r="G2375" s="106" t="s">
        <v>405</v>
      </c>
      <c r="H2375" s="106">
        <v>7</v>
      </c>
      <c r="I2375" s="106" t="s">
        <v>3641</v>
      </c>
      <c r="J2375" s="107">
        <v>48158</v>
      </c>
      <c r="K2375" s="107">
        <v>33519</v>
      </c>
      <c r="L2375" s="107">
        <v>21789</v>
      </c>
      <c r="M2375" s="107">
        <v>0.22</v>
      </c>
      <c r="N2375" s="107">
        <v>0.52</v>
      </c>
      <c r="O2375" s="107">
        <v>1</v>
      </c>
      <c r="P2375" s="107">
        <v>26150</v>
      </c>
      <c r="Q2375" s="106">
        <v>20565.468814539447</v>
      </c>
      <c r="R2375" s="106">
        <v>0.46934004505905752</v>
      </c>
      <c r="S2375" s="106">
        <v>35070.218917802558</v>
      </c>
      <c r="T2375" s="106">
        <v>38431.226765799256</v>
      </c>
      <c r="U2375" s="106">
        <v>32427.154811218948</v>
      </c>
      <c r="V2375" s="106">
        <v>0.71706491633323455</v>
      </c>
      <c r="W2375" s="106">
        <v>97199.682203389821</v>
      </c>
      <c r="X2375" s="110">
        <v>0.65745577266180866</v>
      </c>
      <c r="Y2375" s="106">
        <v>275.37610619469024</v>
      </c>
      <c r="Z2375" s="106">
        <v>10.712389380530974</v>
      </c>
      <c r="AA2375" s="106">
        <v>106376.88590509631</v>
      </c>
      <c r="AB2375" s="106">
        <v>1261.4468032130003</v>
      </c>
      <c r="AC2375" s="106">
        <v>0.94005383922607577</v>
      </c>
      <c r="AD2375" s="106">
        <v>30</v>
      </c>
      <c r="AE2375" s="106">
        <v>84.329268292682926</v>
      </c>
      <c r="AF2375" s="107">
        <v>4.178964101587631E-2</v>
      </c>
      <c r="AG2375" s="106">
        <v>47840</v>
      </c>
      <c r="AH2375" s="106">
        <v>31041.305245766212</v>
      </c>
      <c r="AI2375" s="106">
        <v>35070.218917802558</v>
      </c>
      <c r="AJ2375" s="106">
        <v>44404.791408508878</v>
      </c>
      <c r="AK2375" s="104">
        <v>33992.978108219744</v>
      </c>
      <c r="AM2375" s="118">
        <v>1948</v>
      </c>
      <c r="AN2375" s="118">
        <v>62235</v>
      </c>
      <c r="AO2375" s="118">
        <v>519</v>
      </c>
      <c r="AP2375" s="118">
        <f t="shared" si="36"/>
        <v>318</v>
      </c>
    </row>
    <row r="2376" spans="1:42" ht="12.75">
      <c r="A2376" s="106">
        <v>2018</v>
      </c>
      <c r="B2376" s="106">
        <v>-176479</v>
      </c>
      <c r="C2376" s="106">
        <v>0</v>
      </c>
      <c r="D2376" s="106">
        <v>176479</v>
      </c>
      <c r="E2376" s="106" t="s">
        <v>3575</v>
      </c>
      <c r="F2376" s="106" t="s">
        <v>3341</v>
      </c>
      <c r="G2376" s="106" t="s">
        <v>107</v>
      </c>
      <c r="H2376" s="106">
        <v>6</v>
      </c>
      <c r="I2376" s="106" t="s">
        <v>3640</v>
      </c>
      <c r="J2376" s="106">
        <v>12300</v>
      </c>
      <c r="K2376" s="106">
        <v>17100</v>
      </c>
      <c r="L2376" s="106">
        <v>19760</v>
      </c>
      <c r="M2376" s="106">
        <v>0.82</v>
      </c>
      <c r="N2376" s="106">
        <v>0.82</v>
      </c>
      <c r="O2376" s="106">
        <v>0.88</v>
      </c>
      <c r="P2376" s="106">
        <v>6250</v>
      </c>
      <c r="Q2376" s="106">
        <v>2555.8861273142279</v>
      </c>
      <c r="R2376" s="106">
        <v>0.17661203673960299</v>
      </c>
      <c r="S2376" s="106">
        <v>16993.637331980724</v>
      </c>
      <c r="T2376" s="106">
        <v>16397.439766675121</v>
      </c>
      <c r="U2376" s="106">
        <v>12298.836240402345</v>
      </c>
      <c r="V2376" s="106">
        <v>0.96886149621359996</v>
      </c>
      <c r="W2376" s="106">
        <v>63786.695622435022</v>
      </c>
      <c r="X2376" s="110">
        <v>0.48078775836803606</v>
      </c>
      <c r="Y2376" s="106">
        <v>373.6875</v>
      </c>
      <c r="Z2376" s="106">
        <v>14.786249999999999</v>
      </c>
      <c r="AA2376" s="106">
        <v>39045.339207654142</v>
      </c>
      <c r="AB2376" s="106">
        <v>486.6463752725183</v>
      </c>
      <c r="AC2376" s="106">
        <v>2.561125143981251</v>
      </c>
      <c r="AD2376" s="106">
        <v>33.513221802482462</v>
      </c>
      <c r="AE2376" s="106">
        <v>80.23349436392914</v>
      </c>
      <c r="AF2376" s="106">
        <v>0.2118306911435382</v>
      </c>
      <c r="AG2376" s="106">
        <v>11400</v>
      </c>
      <c r="AH2376" s="106">
        <v>13450.299010905403</v>
      </c>
      <c r="AI2376" s="106">
        <v>14817.142277453715</v>
      </c>
      <c r="AJ2376" s="106">
        <v>24779.972609688055</v>
      </c>
      <c r="AK2376" s="104">
        <v>14978.385493279229</v>
      </c>
      <c r="AL2376" s="118"/>
      <c r="AM2376" s="118">
        <v>3097</v>
      </c>
      <c r="AN2376" s="118">
        <v>99650</v>
      </c>
      <c r="AO2376" s="118">
        <v>558</v>
      </c>
      <c r="AP2376" s="118">
        <f t="shared" si="36"/>
        <v>900</v>
      </c>
    </row>
    <row r="2377" spans="1:42" ht="12.75">
      <c r="A2377" s="106">
        <v>2018</v>
      </c>
      <c r="B2377" s="106">
        <v>-122728</v>
      </c>
      <c r="C2377" s="106">
        <v>0</v>
      </c>
      <c r="D2377" s="106">
        <v>122728</v>
      </c>
      <c r="E2377" s="106" t="s">
        <v>3576</v>
      </c>
      <c r="F2377" s="106" t="s">
        <v>2771</v>
      </c>
      <c r="G2377" s="106" t="s">
        <v>121</v>
      </c>
      <c r="H2377" s="106">
        <v>7</v>
      </c>
      <c r="I2377" s="106" t="s">
        <v>3641</v>
      </c>
      <c r="J2377" s="106">
        <v>30550</v>
      </c>
      <c r="K2377" s="106">
        <v>23637</v>
      </c>
      <c r="L2377" s="106">
        <v>16131</v>
      </c>
      <c r="M2377" s="106">
        <v>0.39</v>
      </c>
      <c r="N2377" s="106">
        <v>0.7</v>
      </c>
      <c r="O2377" s="106">
        <v>0.95</v>
      </c>
      <c r="P2377" s="107">
        <v>16352</v>
      </c>
      <c r="Q2377" s="107">
        <v>8189.866493843163</v>
      </c>
      <c r="R2377" s="106">
        <v>0.35114358178866445</v>
      </c>
      <c r="S2377" s="106">
        <v>22885.336357744654</v>
      </c>
      <c r="T2377" s="106">
        <v>21984.949449125081</v>
      </c>
      <c r="U2377" s="106">
        <v>17412.171561534073</v>
      </c>
      <c r="V2377" s="106">
        <v>0.86913603146697627</v>
      </c>
      <c r="W2377" s="106">
        <v>64534.384615384617</v>
      </c>
      <c r="X2377" s="110">
        <v>0.47813426359522393</v>
      </c>
      <c r="Y2377" s="106">
        <v>464.15625</v>
      </c>
      <c r="Z2377" s="106">
        <v>16.072916666666668</v>
      </c>
      <c r="AA2377" s="106">
        <v>76110.426967272171</v>
      </c>
      <c r="AB2377" s="106">
        <v>602.9529549461854</v>
      </c>
      <c r="AC2377" s="106">
        <v>1.3138804232828762</v>
      </c>
      <c r="AD2377" s="106">
        <v>26.521412471825695</v>
      </c>
      <c r="AE2377" s="106">
        <v>126.22946175637394</v>
      </c>
      <c r="AF2377" s="106">
        <v>7.5745619080399562E-2</v>
      </c>
      <c r="AG2377" s="106">
        <v>29950</v>
      </c>
      <c r="AH2377" s="106">
        <v>19172.241736876214</v>
      </c>
      <c r="AI2377" s="106">
        <v>22934.646143875569</v>
      </c>
      <c r="AJ2377" s="106">
        <v>23071.0162022035</v>
      </c>
      <c r="AK2377" s="104">
        <v>17422.120544394038</v>
      </c>
      <c r="AL2377" s="118"/>
      <c r="AM2377" s="118">
        <v>1204</v>
      </c>
      <c r="AN2377" s="118">
        <v>44559</v>
      </c>
      <c r="AO2377" s="118">
        <v>296</v>
      </c>
      <c r="AP2377" s="118">
        <f t="shared" si="36"/>
        <v>600</v>
      </c>
    </row>
    <row r="2378" spans="1:42" ht="12.75">
      <c r="A2378" s="106">
        <v>2018</v>
      </c>
      <c r="B2378" s="106">
        <v>-179955</v>
      </c>
      <c r="C2378" s="106">
        <v>0</v>
      </c>
      <c r="D2378" s="106">
        <v>179955</v>
      </c>
      <c r="E2378" s="106" t="s">
        <v>3577</v>
      </c>
      <c r="F2378" s="106" t="s">
        <v>3578</v>
      </c>
      <c r="G2378" s="106" t="s">
        <v>264</v>
      </c>
      <c r="H2378" s="106">
        <v>7</v>
      </c>
      <c r="I2378" s="106" t="s">
        <v>3641</v>
      </c>
      <c r="J2378" s="106">
        <v>33686</v>
      </c>
      <c r="K2378" s="106">
        <v>21594</v>
      </c>
      <c r="L2378" s="106">
        <v>16395</v>
      </c>
      <c r="M2378" s="106">
        <v>0.3</v>
      </c>
      <c r="N2378" s="106">
        <v>0.67</v>
      </c>
      <c r="O2378" s="106">
        <v>1</v>
      </c>
      <c r="P2378" s="107">
        <v>23484</v>
      </c>
      <c r="Q2378" s="107">
        <v>19477.287909836065</v>
      </c>
      <c r="R2378" s="106">
        <v>0.62325312597302196</v>
      </c>
      <c r="S2378" s="106">
        <v>33917.551229508194</v>
      </c>
      <c r="T2378" s="106">
        <v>36965.146516393441</v>
      </c>
      <c r="U2378" s="106">
        <v>28319.195696721312</v>
      </c>
      <c r="V2378" s="106">
        <v>0.41575048205405774</v>
      </c>
      <c r="W2378" s="106">
        <v>72447.130257801909</v>
      </c>
      <c r="X2378" s="110">
        <v>0.49331596503052844</v>
      </c>
      <c r="Y2378" s="106">
        <v>288.81907894736844</v>
      </c>
      <c r="Z2378" s="106">
        <v>9.6315789473684212</v>
      </c>
      <c r="AA2378" s="106">
        <v>100874.21532846715</v>
      </c>
      <c r="AB2378" s="106">
        <v>944.39248983496771</v>
      </c>
      <c r="AC2378" s="106">
        <v>0.99133360962838202</v>
      </c>
      <c r="AD2378" s="106">
        <v>29.750271444082522</v>
      </c>
      <c r="AE2378" s="106">
        <v>106.81386861313868</v>
      </c>
      <c r="AF2378" s="106">
        <v>1.2945248245531397E-2</v>
      </c>
      <c r="AG2378" s="106">
        <v>32916</v>
      </c>
      <c r="AH2378" s="106">
        <v>22375.206967213115</v>
      </c>
      <c r="AI2378" s="106">
        <v>33917.551229508194</v>
      </c>
      <c r="AJ2378" s="106">
        <v>38508.7868852459</v>
      </c>
      <c r="AK2378" s="104">
        <v>28319.195696721312</v>
      </c>
      <c r="AL2378" s="118"/>
      <c r="AM2378" s="118">
        <v>928</v>
      </c>
      <c r="AN2378" s="118">
        <v>29267</v>
      </c>
      <c r="AO2378" s="118">
        <v>269</v>
      </c>
      <c r="AP2378" s="118"/>
    </row>
    <row r="2379" spans="1:42" ht="12.75">
      <c r="A2379" s="106">
        <v>2018</v>
      </c>
      <c r="B2379" s="106">
        <v>-187444</v>
      </c>
      <c r="C2379" s="106">
        <v>0</v>
      </c>
      <c r="D2379" s="106">
        <v>187444</v>
      </c>
      <c r="E2379" s="106" t="s">
        <v>3579</v>
      </c>
      <c r="F2379" s="106" t="s">
        <v>3476</v>
      </c>
      <c r="G2379" s="106" t="s">
        <v>234</v>
      </c>
      <c r="H2379" s="106">
        <v>2</v>
      </c>
      <c r="I2379" s="106" t="s">
        <v>25</v>
      </c>
      <c r="J2379" s="106">
        <v>12804</v>
      </c>
      <c r="K2379" s="106">
        <v>14992</v>
      </c>
      <c r="L2379" s="106">
        <v>12982</v>
      </c>
      <c r="M2379" s="106">
        <v>0.56999999999999995</v>
      </c>
      <c r="N2379" s="106">
        <v>0.68</v>
      </c>
      <c r="O2379" s="106">
        <v>0.32</v>
      </c>
      <c r="P2379" s="107">
        <v>5693</v>
      </c>
      <c r="Q2379" s="107">
        <v>1424.028409090909</v>
      </c>
      <c r="R2379" s="106">
        <v>0.10334393336496804</v>
      </c>
      <c r="S2379" s="106">
        <v>25561.774509803923</v>
      </c>
      <c r="T2379" s="106">
        <v>27918.827428698751</v>
      </c>
      <c r="U2379" s="106">
        <v>21854.745755042328</v>
      </c>
      <c r="V2379" s="106">
        <v>0.5653453168697794</v>
      </c>
      <c r="W2379" s="106">
        <v>124026.32243650047</v>
      </c>
      <c r="X2379" s="110">
        <v>0.7014647461539163</v>
      </c>
      <c r="Y2379" s="106">
        <v>423.94152360515017</v>
      </c>
      <c r="Z2379" s="106">
        <v>14.44635193133047</v>
      </c>
      <c r="AA2379" s="106">
        <v>79163.921669596413</v>
      </c>
      <c r="AB2379" s="106">
        <v>744.72853204431101</v>
      </c>
      <c r="AC2379" s="106">
        <v>1.2632016945467452</v>
      </c>
      <c r="AD2379" s="106">
        <v>28.710462287104622</v>
      </c>
      <c r="AE2379" s="106">
        <v>106.29903147699758</v>
      </c>
      <c r="AF2379" s="106">
        <v>-0.10320121224545918</v>
      </c>
      <c r="AG2379" s="106">
        <v>12680</v>
      </c>
      <c r="AH2379" s="106">
        <v>26394.270164884136</v>
      </c>
      <c r="AI2379" s="106">
        <v>26504.671680035652</v>
      </c>
      <c r="AJ2379" s="106">
        <v>25591.772838680929</v>
      </c>
      <c r="AK2379" s="104">
        <v>24773.737076648842</v>
      </c>
      <c r="AL2379" s="118">
        <v>78574475</v>
      </c>
      <c r="AM2379" s="118">
        <v>8838</v>
      </c>
      <c r="AN2379" s="118">
        <v>263409</v>
      </c>
      <c r="AO2379" s="118">
        <v>2032</v>
      </c>
      <c r="AP2379" s="118"/>
    </row>
    <row r="2380" spans="1:42" ht="12.75">
      <c r="A2380" s="106">
        <v>2018</v>
      </c>
      <c r="B2380" s="106">
        <v>-199272</v>
      </c>
      <c r="C2380" s="106">
        <v>0</v>
      </c>
      <c r="D2380" s="106">
        <v>199272</v>
      </c>
      <c r="E2380" s="106" t="s">
        <v>3580</v>
      </c>
      <c r="F2380" s="106" t="s">
        <v>1949</v>
      </c>
      <c r="G2380" s="106" t="s">
        <v>90</v>
      </c>
      <c r="H2380" s="106">
        <v>7</v>
      </c>
      <c r="I2380" s="106" t="s">
        <v>3641</v>
      </c>
      <c r="J2380" s="106">
        <v>28700</v>
      </c>
      <c r="K2380" s="106">
        <v>24842</v>
      </c>
      <c r="L2380" s="106">
        <v>21470</v>
      </c>
      <c r="M2380" s="106">
        <v>0.53</v>
      </c>
      <c r="N2380" s="106">
        <v>0.82</v>
      </c>
      <c r="O2380" s="106">
        <v>1</v>
      </c>
      <c r="P2380" s="107">
        <v>12781</v>
      </c>
      <c r="Q2380" s="107">
        <v>9663.8795698924732</v>
      </c>
      <c r="R2380" s="106">
        <v>0.39998720027856749</v>
      </c>
      <c r="S2380" s="106">
        <v>24180.534408602151</v>
      </c>
      <c r="T2380" s="106">
        <v>25941.987096774192</v>
      </c>
      <c r="U2380" s="106">
        <v>18223.404829876446</v>
      </c>
      <c r="V2380" s="106">
        <v>0.79549308202558144</v>
      </c>
      <c r="W2380" s="106">
        <v>58219.391812865499</v>
      </c>
      <c r="X2380" s="110">
        <v>0.41264595013654953</v>
      </c>
      <c r="Y2380" s="106">
        <v>467.56424581005581</v>
      </c>
      <c r="Z2380" s="106">
        <v>15.586592178770948</v>
      </c>
      <c r="AA2380" s="106">
        <v>66723.490125138167</v>
      </c>
      <c r="AB2380" s="106">
        <v>607.4903753597066</v>
      </c>
      <c r="AC2380" s="106">
        <v>1.4987225610119106</v>
      </c>
      <c r="AD2380" s="106">
        <v>29.534883720930232</v>
      </c>
      <c r="AE2380" s="106">
        <v>109.83464566929133</v>
      </c>
      <c r="AF2380" s="106">
        <v>-1.2102256032508538E-2</v>
      </c>
      <c r="AG2380" s="106">
        <v>28500</v>
      </c>
      <c r="AH2380" s="106">
        <v>22128.905376344086</v>
      </c>
      <c r="AI2380" s="106">
        <v>24180.534408602151</v>
      </c>
      <c r="AJ2380" s="106">
        <v>25123.04946236559</v>
      </c>
      <c r="AK2380" s="104">
        <v>18681.738709677418</v>
      </c>
      <c r="AL2380" s="118"/>
      <c r="AM2380" s="118">
        <v>930</v>
      </c>
      <c r="AN2380" s="118">
        <v>27898</v>
      </c>
      <c r="AO2380" s="118">
        <v>254</v>
      </c>
      <c r="AP2380" s="118"/>
    </row>
    <row r="2381" spans="1:42" ht="12.75">
      <c r="A2381" s="106">
        <v>2018</v>
      </c>
      <c r="B2381" s="106">
        <v>-154590</v>
      </c>
      <c r="C2381" s="106">
        <v>0</v>
      </c>
      <c r="D2381" s="106">
        <v>154590</v>
      </c>
      <c r="E2381" s="106" t="s">
        <v>3581</v>
      </c>
      <c r="F2381" s="106" t="s">
        <v>3582</v>
      </c>
      <c r="G2381" s="106" t="s">
        <v>447</v>
      </c>
      <c r="H2381" s="106">
        <v>6</v>
      </c>
      <c r="I2381" s="106" t="s">
        <v>3640</v>
      </c>
      <c r="J2381" s="106">
        <v>25000</v>
      </c>
      <c r="K2381" s="106">
        <v>18338</v>
      </c>
      <c r="L2381" s="106">
        <v>18327</v>
      </c>
      <c r="M2381" s="106">
        <v>0.61</v>
      </c>
      <c r="N2381" s="106">
        <v>0.94</v>
      </c>
      <c r="O2381" s="106">
        <v>1</v>
      </c>
      <c r="P2381" s="107">
        <v>13572</v>
      </c>
      <c r="Q2381" s="107">
        <v>10828.642512077295</v>
      </c>
      <c r="R2381" s="106">
        <v>0.50429989875885861</v>
      </c>
      <c r="S2381" s="106">
        <v>18235.824476650563</v>
      </c>
      <c r="T2381" s="106">
        <v>18156.268115942028</v>
      </c>
      <c r="U2381" s="106">
        <v>15018.621578099839</v>
      </c>
      <c r="V2381" s="106">
        <v>0.70871898804318501</v>
      </c>
      <c r="W2381" s="106">
        <v>53020.580071174372</v>
      </c>
      <c r="X2381" s="110">
        <v>0.44046494724964452</v>
      </c>
      <c r="Y2381" s="106">
        <v>497.6636771300449</v>
      </c>
      <c r="Z2381" s="106">
        <v>16.708520179372197</v>
      </c>
      <c r="AA2381" s="106">
        <v>63230.942372881356</v>
      </c>
      <c r="AB2381" s="106">
        <v>504.23399021436489</v>
      </c>
      <c r="AC2381" s="106">
        <v>1.5815041852497878</v>
      </c>
      <c r="AD2381" s="106">
        <v>24.978831498729889</v>
      </c>
      <c r="AE2381" s="106">
        <v>125.4</v>
      </c>
      <c r="AF2381" s="106">
        <v>1.347009459966589E-2</v>
      </c>
      <c r="AG2381" s="106">
        <v>24270</v>
      </c>
      <c r="AH2381" s="106">
        <v>14279.06119162641</v>
      </c>
      <c r="AI2381" s="106">
        <v>19092.309178743963</v>
      </c>
      <c r="AJ2381" s="106">
        <v>18400.762479871177</v>
      </c>
      <c r="AK2381" s="104">
        <v>15018.621578099839</v>
      </c>
      <c r="AL2381" s="118"/>
      <c r="AM2381" s="118">
        <v>1296</v>
      </c>
      <c r="AN2381" s="118">
        <v>36993</v>
      </c>
      <c r="AO2381" s="118">
        <v>282</v>
      </c>
      <c r="AP2381" s="118"/>
    </row>
    <row r="2382" spans="1:42" ht="12.75">
      <c r="A2382" s="106">
        <v>2018</v>
      </c>
      <c r="B2382" s="106">
        <v>-149842</v>
      </c>
      <c r="C2382" s="106">
        <v>0</v>
      </c>
      <c r="D2382" s="106">
        <v>149842</v>
      </c>
      <c r="E2382" s="106" t="s">
        <v>3583</v>
      </c>
      <c r="F2382" s="106" t="s">
        <v>3584</v>
      </c>
      <c r="G2382" s="106" t="s">
        <v>243</v>
      </c>
      <c r="H2382" s="106">
        <v>4</v>
      </c>
      <c r="I2382" s="106" t="s">
        <v>24</v>
      </c>
      <c r="J2382" s="106">
        <v>3498</v>
      </c>
      <c r="K2382" s="106">
        <v>6938</v>
      </c>
      <c r="L2382" s="106">
        <v>5994</v>
      </c>
      <c r="M2382" s="106">
        <v>0.41</v>
      </c>
      <c r="N2382" s="106">
        <v>7.0000000000000007E-2</v>
      </c>
      <c r="O2382" s="106">
        <v>0.05</v>
      </c>
      <c r="P2382" s="107">
        <v>2026</v>
      </c>
      <c r="Q2382" s="107"/>
      <c r="R2382" s="106"/>
      <c r="S2382" s="106">
        <v>21107.148740930432</v>
      </c>
      <c r="T2382" s="106">
        <v>19863.62782757149</v>
      </c>
      <c r="U2382" s="106">
        <v>16994.222634312842</v>
      </c>
      <c r="V2382" s="106">
        <v>0.3156110121951341</v>
      </c>
      <c r="W2382" s="106">
        <v>138806.14728148657</v>
      </c>
      <c r="X2382" s="110">
        <v>0.72225774207743454</v>
      </c>
      <c r="Y2382" s="106">
        <v>781.69323447636714</v>
      </c>
      <c r="Z2382" s="106">
        <v>26.057460611677481</v>
      </c>
      <c r="AA2382" s="106">
        <v>45363.102970316133</v>
      </c>
      <c r="AB2382" s="106">
        <v>566.49625120053759</v>
      </c>
      <c r="AC2382" s="106">
        <v>2.2044347377523121</v>
      </c>
      <c r="AD2382" s="106">
        <v>44.674895024812315</v>
      </c>
      <c r="AE2382" s="106">
        <v>80.076616348618629</v>
      </c>
      <c r="AF2382" s="106">
        <v>5.3759197039353036E-2</v>
      </c>
      <c r="AG2382" s="106">
        <v>3000</v>
      </c>
      <c r="AH2382" s="106">
        <v>20850.138817755014</v>
      </c>
      <c r="AI2382" s="106">
        <v>20891.39500640205</v>
      </c>
      <c r="AJ2382" s="106">
        <v>21338.289799402475</v>
      </c>
      <c r="AK2382" s="104">
        <v>19101.368971404183</v>
      </c>
      <c r="AL2382" s="118">
        <v>130616259</v>
      </c>
      <c r="AM2382" s="118">
        <v>13749</v>
      </c>
      <c r="AN2382" s="118">
        <v>281149</v>
      </c>
      <c r="AO2382" s="118">
        <v>1754</v>
      </c>
      <c r="AP2382" s="118"/>
    </row>
    <row r="2383" spans="1:42" ht="12.75">
      <c r="A2383" s="106">
        <v>2018</v>
      </c>
      <c r="B2383" s="106">
        <v>-179964</v>
      </c>
      <c r="C2383" s="106">
        <v>0</v>
      </c>
      <c r="D2383" s="106">
        <v>179964</v>
      </c>
      <c r="E2383" s="106" t="s">
        <v>3585</v>
      </c>
      <c r="F2383" s="106" t="s">
        <v>1597</v>
      </c>
      <c r="G2383" s="106" t="s">
        <v>264</v>
      </c>
      <c r="H2383" s="106">
        <v>6</v>
      </c>
      <c r="I2383" s="106" t="s">
        <v>3640</v>
      </c>
      <c r="J2383" s="106">
        <v>23260</v>
      </c>
      <c r="K2383" s="106">
        <v>20934</v>
      </c>
      <c r="L2383" s="106">
        <v>20660</v>
      </c>
      <c r="M2383" s="106">
        <v>0.34</v>
      </c>
      <c r="N2383" s="106">
        <v>0.6</v>
      </c>
      <c r="O2383" s="106">
        <v>0.99</v>
      </c>
      <c r="P2383" s="107">
        <v>14774</v>
      </c>
      <c r="Q2383" s="107">
        <v>5941.59375</v>
      </c>
      <c r="R2383" s="106">
        <v>0.41736156214431491</v>
      </c>
      <c r="S2383" s="106">
        <v>12897.523574561403</v>
      </c>
      <c r="T2383" s="106">
        <v>14460.694078947368</v>
      </c>
      <c r="U2383" s="106">
        <v>12059.662280701754</v>
      </c>
      <c r="V2383" s="106">
        <v>0.6877878370077426</v>
      </c>
      <c r="W2383" s="106">
        <v>45976.702194357364</v>
      </c>
      <c r="X2383" s="110">
        <v>0.55605087384109053</v>
      </c>
      <c r="Y2383" s="106">
        <v>290.55118110236225</v>
      </c>
      <c r="Z2383" s="106">
        <v>10.771653543307087</v>
      </c>
      <c r="AA2383" s="106">
        <v>24014</v>
      </c>
      <c r="AB2383" s="106">
        <v>447.08991869918697</v>
      </c>
      <c r="AC2383" s="106">
        <v>4.164237528108603</v>
      </c>
      <c r="AD2383" s="106">
        <v>60.422163588390497</v>
      </c>
      <c r="AE2383" s="106">
        <v>53.711790393013104</v>
      </c>
      <c r="AF2383" s="106">
        <v>-3.320751423789025E-2</v>
      </c>
      <c r="AG2383" s="106">
        <v>22450</v>
      </c>
      <c r="AH2383" s="106">
        <v>12645.678728070176</v>
      </c>
      <c r="AI2383" s="106">
        <v>12926.711074561403</v>
      </c>
      <c r="AJ2383" s="106">
        <v>13623.307565789473</v>
      </c>
      <c r="AK2383" s="104">
        <v>12059.662280701754</v>
      </c>
      <c r="AL2383" s="118"/>
      <c r="AM2383" s="118">
        <v>956</v>
      </c>
      <c r="AN2383" s="118">
        <v>49200</v>
      </c>
      <c r="AO2383" s="118">
        <v>234</v>
      </c>
      <c r="AP2383" s="118"/>
    </row>
    <row r="2384" spans="1:42" ht="12.75">
      <c r="A2384" s="106">
        <v>2018</v>
      </c>
      <c r="B2384" s="106">
        <v>-107877</v>
      </c>
      <c r="C2384" s="106">
        <v>0</v>
      </c>
      <c r="D2384" s="106">
        <v>107877</v>
      </c>
      <c r="E2384" s="106" t="s">
        <v>3586</v>
      </c>
      <c r="F2384" s="106" t="s">
        <v>3587</v>
      </c>
      <c r="G2384" s="106" t="s">
        <v>200</v>
      </c>
      <c r="H2384" s="106">
        <v>7</v>
      </c>
      <c r="I2384" s="106" t="s">
        <v>3641</v>
      </c>
      <c r="J2384" s="106">
        <v>17320</v>
      </c>
      <c r="K2384" s="106">
        <v>17051</v>
      </c>
      <c r="L2384" s="106">
        <v>16506</v>
      </c>
      <c r="M2384" s="106">
        <v>0.49</v>
      </c>
      <c r="N2384" s="106">
        <v>0.67</v>
      </c>
      <c r="O2384" s="106">
        <v>1</v>
      </c>
      <c r="P2384" s="107">
        <v>7980</v>
      </c>
      <c r="Q2384" s="107">
        <v>8404.6268980477216</v>
      </c>
      <c r="R2384" s="106">
        <v>0.52455355450544949</v>
      </c>
      <c r="S2384" s="106">
        <v>19805.900216919741</v>
      </c>
      <c r="T2384" s="106">
        <v>20075.898047722341</v>
      </c>
      <c r="U2384" s="106">
        <v>15191.355748373102</v>
      </c>
      <c r="V2384" s="106">
        <v>0.50145697368994102</v>
      </c>
      <c r="W2384" s="106">
        <v>47063.568561872904</v>
      </c>
      <c r="X2384" s="110">
        <v>0.5068259940665516</v>
      </c>
      <c r="Y2384" s="106">
        <v>431.3125</v>
      </c>
      <c r="Z2384" s="106">
        <v>14.40625</v>
      </c>
      <c r="AA2384" s="106">
        <v>71461.377551020414</v>
      </c>
      <c r="AB2384" s="106">
        <v>507.40581075206489</v>
      </c>
      <c r="AC2384" s="106">
        <v>1.3993572951851401</v>
      </c>
      <c r="AD2384" s="106">
        <v>20.94017094017094</v>
      </c>
      <c r="AE2384" s="106">
        <v>140.83673469387756</v>
      </c>
      <c r="AF2384" s="106">
        <v>5.5713858630016006E-3</v>
      </c>
      <c r="AG2384" s="106">
        <v>16200</v>
      </c>
      <c r="AH2384" s="106">
        <v>14342.147505422994</v>
      </c>
      <c r="AI2384" s="106">
        <v>19374.1431670282</v>
      </c>
      <c r="AJ2384" s="106">
        <v>20533.06507592191</v>
      </c>
      <c r="AK2384" s="104">
        <v>15191.355748373102</v>
      </c>
      <c r="AL2384" s="118"/>
      <c r="AM2384" s="118">
        <v>494</v>
      </c>
      <c r="AN2384" s="118">
        <v>13802</v>
      </c>
      <c r="AO2384" s="118">
        <v>98</v>
      </c>
      <c r="AP2384" s="118"/>
    </row>
    <row r="2385" spans="1:42" ht="12.75">
      <c r="A2385" s="106">
        <v>2018</v>
      </c>
      <c r="B2385" s="106">
        <v>-168342</v>
      </c>
      <c r="C2385" s="106">
        <v>0</v>
      </c>
      <c r="D2385" s="106">
        <v>168342</v>
      </c>
      <c r="E2385" s="106" t="s">
        <v>3588</v>
      </c>
      <c r="F2385" s="106" t="s">
        <v>3589</v>
      </c>
      <c r="G2385" s="106" t="s">
        <v>150</v>
      </c>
      <c r="H2385" s="106">
        <v>7</v>
      </c>
      <c r="I2385" s="106" t="s">
        <v>3641</v>
      </c>
      <c r="J2385" s="106">
        <v>53550</v>
      </c>
      <c r="K2385" s="106">
        <v>18979</v>
      </c>
      <c r="L2385" s="106">
        <v>3744</v>
      </c>
      <c r="M2385" s="106">
        <v>0.22</v>
      </c>
      <c r="N2385" s="106">
        <v>0.24</v>
      </c>
      <c r="O2385" s="106">
        <v>0.53</v>
      </c>
      <c r="P2385" s="107">
        <v>49745</v>
      </c>
      <c r="Q2385" s="107">
        <v>25947.355828220858</v>
      </c>
      <c r="R2385" s="106">
        <v>0.48489783327516817</v>
      </c>
      <c r="S2385" s="106">
        <v>81244.369042000937</v>
      </c>
      <c r="T2385" s="106">
        <v>117511.3704577631</v>
      </c>
      <c r="U2385" s="106">
        <v>96896.743275129775</v>
      </c>
      <c r="V2385" s="106">
        <v>0.28446383467932096</v>
      </c>
      <c r="W2385" s="106">
        <v>110237.99200236968</v>
      </c>
      <c r="X2385" s="110">
        <v>0.49819759793188451</v>
      </c>
      <c r="Y2385" s="106">
        <v>188.76307996051332</v>
      </c>
      <c r="Z2385" s="106">
        <v>6.2754195459032571</v>
      </c>
      <c r="AA2385" s="106">
        <v>352790.71993127145</v>
      </c>
      <c r="AB2385" s="106">
        <v>3221.3275859363966</v>
      </c>
      <c r="AC2385" s="106">
        <v>0.28345416801065909</v>
      </c>
      <c r="AD2385" s="106">
        <v>27.530747398297066</v>
      </c>
      <c r="AE2385" s="106">
        <v>109.51718213058419</v>
      </c>
      <c r="AF2385" s="106">
        <v>8.8946442691090838E-2</v>
      </c>
      <c r="AG2385" s="106">
        <v>53240</v>
      </c>
      <c r="AH2385" s="106">
        <v>48836.562529495044</v>
      </c>
      <c r="AI2385" s="106">
        <v>81244.369042000937</v>
      </c>
      <c r="AJ2385" s="106">
        <v>238414.43086361492</v>
      </c>
      <c r="AK2385" s="104">
        <v>96896.743275129775</v>
      </c>
      <c r="AL2385" s="118"/>
      <c r="AM2385" s="118">
        <v>2080</v>
      </c>
      <c r="AN2385" s="118">
        <v>63739</v>
      </c>
      <c r="AO2385" s="118">
        <v>540</v>
      </c>
      <c r="AP2385" s="118"/>
    </row>
    <row r="2386" spans="1:42" ht="12.75">
      <c r="A2386" s="106">
        <v>2018</v>
      </c>
      <c r="B2386" s="106">
        <v>-218955</v>
      </c>
      <c r="C2386" s="106">
        <v>0</v>
      </c>
      <c r="D2386" s="106">
        <v>218955</v>
      </c>
      <c r="E2386" s="106" t="s">
        <v>3590</v>
      </c>
      <c r="F2386" s="106" t="s">
        <v>3591</v>
      </c>
      <c r="G2386" s="106" t="s">
        <v>79</v>
      </c>
      <c r="H2386" s="106">
        <v>4</v>
      </c>
      <c r="I2386" s="106" t="s">
        <v>24</v>
      </c>
      <c r="J2386" s="106">
        <v>4224</v>
      </c>
      <c r="K2386" s="106">
        <v>7933</v>
      </c>
      <c r="L2386" s="106">
        <v>7744</v>
      </c>
      <c r="M2386" s="106">
        <v>0.86</v>
      </c>
      <c r="N2386" s="106">
        <v>0</v>
      </c>
      <c r="O2386" s="106">
        <v>0</v>
      </c>
      <c r="P2386" s="107"/>
      <c r="Q2386" s="107">
        <v>929.90380761523045</v>
      </c>
      <c r="R2386" s="106">
        <v>0.17852609839322586</v>
      </c>
      <c r="S2386" s="106">
        <v>13475.204408817635</v>
      </c>
      <c r="T2386" s="106">
        <v>14892.162324649298</v>
      </c>
      <c r="U2386" s="106">
        <v>13428.699398797595</v>
      </c>
      <c r="V2386" s="106">
        <v>0.31863694557807798</v>
      </c>
      <c r="W2386" s="106">
        <v>54595.862068965522</v>
      </c>
      <c r="X2386" s="110">
        <v>0.56815672431423825</v>
      </c>
      <c r="Y2386" s="106">
        <v>499.4</v>
      </c>
      <c r="Z2386" s="106">
        <v>16.633333333333333</v>
      </c>
      <c r="AA2386" s="106">
        <v>50382.864661654137</v>
      </c>
      <c r="AB2386" s="106">
        <v>447.2647844079562</v>
      </c>
      <c r="AC2386" s="106">
        <v>1.9848017906792217</v>
      </c>
      <c r="AD2386" s="106">
        <v>35.466666666666669</v>
      </c>
      <c r="AE2386" s="106">
        <v>112.64661654135338</v>
      </c>
      <c r="AF2386" s="106">
        <v>0.21591730876285709</v>
      </c>
      <c r="AG2386" s="106">
        <v>4032</v>
      </c>
      <c r="AH2386" s="106">
        <v>14248.416833667334</v>
      </c>
      <c r="AI2386" s="106">
        <v>14248.416833667334</v>
      </c>
      <c r="AJ2386" s="106">
        <v>13587.486973947896</v>
      </c>
      <c r="AK2386" s="104">
        <v>14405.573146292585</v>
      </c>
      <c r="AL2386" s="118">
        <v>3243019</v>
      </c>
      <c r="AM2386" s="118">
        <v>732</v>
      </c>
      <c r="AN2386" s="118">
        <v>14982</v>
      </c>
      <c r="AO2386" s="118">
        <v>48</v>
      </c>
      <c r="AP2386" s="118"/>
    </row>
    <row r="2387" spans="1:42" ht="12.75">
      <c r="A2387" s="106">
        <v>2018</v>
      </c>
      <c r="B2387" s="106">
        <v>-200341</v>
      </c>
      <c r="C2387" s="106">
        <v>0</v>
      </c>
      <c r="D2387" s="106">
        <v>200341</v>
      </c>
      <c r="E2387" s="106" t="s">
        <v>3592</v>
      </c>
      <c r="F2387" s="106" t="s">
        <v>3593</v>
      </c>
      <c r="G2387" s="106" t="s">
        <v>382</v>
      </c>
      <c r="H2387" s="106">
        <v>4</v>
      </c>
      <c r="I2387" s="106" t="s">
        <v>24</v>
      </c>
      <c r="J2387" s="106">
        <v>5163</v>
      </c>
      <c r="K2387" s="106">
        <v>9774</v>
      </c>
      <c r="L2387" s="106">
        <v>9873</v>
      </c>
      <c r="M2387" s="106">
        <v>0.36</v>
      </c>
      <c r="N2387" s="106">
        <v>0.34</v>
      </c>
      <c r="O2387" s="106">
        <v>0.84</v>
      </c>
      <c r="P2387" s="107">
        <v>4249</v>
      </c>
      <c r="Q2387" s="107">
        <v>2572.5019710906704</v>
      </c>
      <c r="R2387" s="106">
        <v>0.50053091190799748</v>
      </c>
      <c r="S2387" s="106">
        <v>21367.993429697766</v>
      </c>
      <c r="T2387" s="106">
        <v>24011.993429697766</v>
      </c>
      <c r="U2387" s="106">
        <v>19690.350854139291</v>
      </c>
      <c r="V2387" s="106">
        <v>0.13037069258293832</v>
      </c>
      <c r="W2387" s="106">
        <v>93766.87</v>
      </c>
      <c r="X2387" s="110">
        <v>0.51314079960151315</v>
      </c>
      <c r="Y2387" s="106">
        <v>736.35483870967744</v>
      </c>
      <c r="Z2387" s="106">
        <v>24.548387096774192</v>
      </c>
      <c r="AA2387" s="106">
        <v>46248.015432098764</v>
      </c>
      <c r="AB2387" s="106">
        <v>656.43128751040433</v>
      </c>
      <c r="AC2387" s="106">
        <v>2.1622549436055212</v>
      </c>
      <c r="AD2387" s="106">
        <v>41.698841698841697</v>
      </c>
      <c r="AE2387" s="106">
        <v>70.453703703703709</v>
      </c>
      <c r="AF2387" s="106">
        <v>-4.2435248274458076E-2</v>
      </c>
      <c r="AG2387" s="106">
        <v>3535</v>
      </c>
      <c r="AH2387" s="106">
        <v>17099.327201051248</v>
      </c>
      <c r="AI2387" s="106">
        <v>20464.498028909329</v>
      </c>
      <c r="AJ2387" s="106">
        <v>21375.91064388962</v>
      </c>
      <c r="AK2387" s="104">
        <v>20649.067017082787</v>
      </c>
      <c r="AL2387" s="118">
        <v>4100000</v>
      </c>
      <c r="AM2387" s="118">
        <v>1098</v>
      </c>
      <c r="AN2387" s="118">
        <v>22827</v>
      </c>
      <c r="AO2387" s="118">
        <v>256</v>
      </c>
      <c r="AP2387" s="118"/>
    </row>
    <row r="2388" spans="1:42" ht="12.75">
      <c r="A2388" s="106">
        <v>2018</v>
      </c>
      <c r="B2388" s="106">
        <v>-206507</v>
      </c>
      <c r="C2388" s="106">
        <v>0</v>
      </c>
      <c r="D2388" s="106">
        <v>206507</v>
      </c>
      <c r="E2388" s="106" t="s">
        <v>3594</v>
      </c>
      <c r="F2388" s="106" t="s">
        <v>589</v>
      </c>
      <c r="G2388" s="106" t="s">
        <v>82</v>
      </c>
      <c r="H2388" s="106">
        <v>7</v>
      </c>
      <c r="I2388" s="106" t="s">
        <v>3641</v>
      </c>
      <c r="J2388" s="106">
        <v>25000</v>
      </c>
      <c r="K2388" s="106">
        <v>21388</v>
      </c>
      <c r="L2388" s="106">
        <v>17107</v>
      </c>
      <c r="M2388" s="106">
        <v>0.46</v>
      </c>
      <c r="N2388" s="106">
        <v>0.95</v>
      </c>
      <c r="O2388" s="106">
        <v>1</v>
      </c>
      <c r="P2388" s="107">
        <v>12417</v>
      </c>
      <c r="Q2388" s="107">
        <v>11088.962809917355</v>
      </c>
      <c r="R2388" s="106">
        <v>0.50765442279606487</v>
      </c>
      <c r="S2388" s="106">
        <v>19925.918181818182</v>
      </c>
      <c r="T2388" s="106">
        <v>21127.256198347106</v>
      </c>
      <c r="U2388" s="106">
        <v>17617.981818181819</v>
      </c>
      <c r="V2388" s="106">
        <v>0.61043107816497399</v>
      </c>
      <c r="W2388" s="106">
        <v>60277.155737704918</v>
      </c>
      <c r="X2388" s="110">
        <v>0.47943845207201696</v>
      </c>
      <c r="Y2388" s="106">
        <v>471.33766233766232</v>
      </c>
      <c r="Z2388" s="106">
        <v>15.714285714285714</v>
      </c>
      <c r="AA2388" s="106">
        <v>76959.415162454869</v>
      </c>
      <c r="AB2388" s="106">
        <v>587.379329347257</v>
      </c>
      <c r="AC2388" s="106">
        <v>1.2993861737242725</v>
      </c>
      <c r="AD2388" s="106">
        <v>24.600355239786857</v>
      </c>
      <c r="AE2388" s="106">
        <v>131.02166064981949</v>
      </c>
      <c r="AF2388" s="106">
        <v>1.2433121876374246E-2</v>
      </c>
      <c r="AG2388" s="106">
        <v>24300</v>
      </c>
      <c r="AH2388" s="106">
        <v>18655.334710743802</v>
      </c>
      <c r="AI2388" s="106">
        <v>19925.647107438017</v>
      </c>
      <c r="AJ2388" s="106">
        <v>21742.290082644628</v>
      </c>
      <c r="AK2388" s="104">
        <v>17617.981818181819</v>
      </c>
      <c r="AL2388" s="118"/>
      <c r="AM2388" s="118">
        <v>1169</v>
      </c>
      <c r="AN2388" s="118">
        <v>36293</v>
      </c>
      <c r="AO2388" s="118">
        <v>277</v>
      </c>
      <c r="AP2388" s="118"/>
    </row>
    <row r="2389" spans="1:42" ht="12.75">
      <c r="A2389" s="106">
        <v>2018</v>
      </c>
      <c r="B2389" s="106">
        <v>-131113</v>
      </c>
      <c r="C2389" s="106">
        <v>0</v>
      </c>
      <c r="D2389" s="106">
        <v>131113</v>
      </c>
      <c r="E2389" s="106" t="s">
        <v>3595</v>
      </c>
      <c r="F2389" s="106" t="s">
        <v>3596</v>
      </c>
      <c r="G2389" s="106" t="s">
        <v>1025</v>
      </c>
      <c r="H2389" s="106">
        <v>5</v>
      </c>
      <c r="I2389" s="106" t="s">
        <v>3639</v>
      </c>
      <c r="J2389" s="106">
        <v>10940</v>
      </c>
      <c r="K2389" s="106">
        <v>13814</v>
      </c>
      <c r="L2389" s="106">
        <v>15371</v>
      </c>
      <c r="M2389" s="106">
        <v>0.53</v>
      </c>
      <c r="N2389" s="106">
        <v>0.83</v>
      </c>
      <c r="O2389" s="106">
        <v>0.19</v>
      </c>
      <c r="P2389" s="107">
        <v>4252</v>
      </c>
      <c r="Q2389" s="107">
        <v>428.93608870967739</v>
      </c>
      <c r="R2389" s="106">
        <v>3.9849878374428743E-2</v>
      </c>
      <c r="S2389" s="106">
        <v>10949.633971774194</v>
      </c>
      <c r="T2389" s="106">
        <v>10550.016834677419</v>
      </c>
      <c r="U2389" s="106">
        <v>10019.038306451614</v>
      </c>
      <c r="V2389" s="106">
        <v>1.0315224664011642</v>
      </c>
      <c r="W2389" s="106">
        <v>62923.979179060094</v>
      </c>
      <c r="X2389" s="110">
        <v>0.67379503780221572</v>
      </c>
      <c r="Y2389" s="106">
        <v>373.60337745321772</v>
      </c>
      <c r="Z2389" s="106">
        <v>13.582838886353263</v>
      </c>
      <c r="AA2389" s="106">
        <v>19580.153664302601</v>
      </c>
      <c r="AB2389" s="106">
        <v>364.25522713529165</v>
      </c>
      <c r="AC2389" s="106">
        <v>5.1072122167413934</v>
      </c>
      <c r="AD2389" s="106">
        <v>59.050721265704972</v>
      </c>
      <c r="AE2389" s="106">
        <v>53.753940110323086</v>
      </c>
      <c r="AF2389" s="106">
        <v>5.4470110076743856E-2</v>
      </c>
      <c r="AG2389" s="106">
        <v>10890</v>
      </c>
      <c r="AH2389" s="106">
        <v>10892.138205645162</v>
      </c>
      <c r="AI2389" s="106">
        <v>10926.645665322581</v>
      </c>
      <c r="AJ2389" s="106">
        <v>11702.72752016129</v>
      </c>
      <c r="AK2389" s="104">
        <v>10131.806451612903</v>
      </c>
      <c r="AL2389" s="118"/>
      <c r="AM2389" s="118">
        <v>8440</v>
      </c>
      <c r="AN2389" s="118">
        <v>272855</v>
      </c>
      <c r="AO2389" s="118">
        <v>2163</v>
      </c>
      <c r="AP2389" s="118"/>
    </row>
    <row r="2390" spans="1:42" ht="12.75">
      <c r="A2390" s="106">
        <v>2018</v>
      </c>
      <c r="B2390" s="106">
        <v>-217013</v>
      </c>
      <c r="C2390" s="106">
        <v>0</v>
      </c>
      <c r="D2390" s="106">
        <v>217013</v>
      </c>
      <c r="E2390" s="106" t="s">
        <v>3597</v>
      </c>
      <c r="F2390" s="106" t="s">
        <v>3598</v>
      </c>
      <c r="G2390" s="106" t="s">
        <v>104</v>
      </c>
      <c r="H2390" s="106">
        <v>7</v>
      </c>
      <c r="I2390" s="106" t="s">
        <v>3641</v>
      </c>
      <c r="J2390" s="106">
        <v>24452</v>
      </c>
      <c r="K2390" s="106">
        <v>20241</v>
      </c>
      <c r="L2390" s="106">
        <v>17112</v>
      </c>
      <c r="M2390" s="106">
        <v>0.44</v>
      </c>
      <c r="N2390" s="106">
        <v>0.84</v>
      </c>
      <c r="O2390" s="106">
        <v>1</v>
      </c>
      <c r="P2390" s="107">
        <v>11528</v>
      </c>
      <c r="Q2390" s="107">
        <v>6645.2502308402582</v>
      </c>
      <c r="R2390" s="106">
        <v>0.38870853630088464</v>
      </c>
      <c r="S2390" s="106">
        <v>24141.854108956602</v>
      </c>
      <c r="T2390" s="106">
        <v>24541.035087719298</v>
      </c>
      <c r="U2390" s="106">
        <v>22132.167128347184</v>
      </c>
      <c r="V2390" s="106">
        <v>0.47218441782029952</v>
      </c>
      <c r="W2390" s="106">
        <v>60669.213938411674</v>
      </c>
      <c r="X2390" s="110">
        <v>0.46947335009886582</v>
      </c>
      <c r="Y2390" s="106">
        <v>396.72727272727275</v>
      </c>
      <c r="Z2390" s="106">
        <v>14.064935064935066</v>
      </c>
      <c r="AA2390" s="106">
        <v>112005.31308411215</v>
      </c>
      <c r="AB2390" s="106">
        <v>784.63850333900746</v>
      </c>
      <c r="AC2390" s="106">
        <v>0.89281478928507096</v>
      </c>
      <c r="AD2390" s="106">
        <v>25.907990314769975</v>
      </c>
      <c r="AE2390" s="106">
        <v>142.74766355140187</v>
      </c>
      <c r="AF2390" s="106">
        <v>4.6868870749012269E-2</v>
      </c>
      <c r="AG2390" s="106">
        <v>23745</v>
      </c>
      <c r="AH2390" s="106">
        <v>18871.785780240072</v>
      </c>
      <c r="AI2390" s="106">
        <v>24141.855032317635</v>
      </c>
      <c r="AJ2390" s="106">
        <v>27814.779316712833</v>
      </c>
      <c r="AK2390" s="104">
        <v>22132.167128347184</v>
      </c>
      <c r="AL2390" s="118"/>
      <c r="AM2390" s="118">
        <v>827</v>
      </c>
      <c r="AN2390" s="118">
        <v>30548</v>
      </c>
      <c r="AO2390" s="118">
        <v>105</v>
      </c>
      <c r="AP2390" s="118"/>
    </row>
    <row r="2391" spans="1:42" ht="12.75">
      <c r="A2391" s="106">
        <v>2018</v>
      </c>
      <c r="B2391" s="106">
        <v>-199953</v>
      </c>
      <c r="C2391" s="106">
        <v>0</v>
      </c>
      <c r="D2391" s="106">
        <v>199953</v>
      </c>
      <c r="E2391" s="106" t="s">
        <v>3599</v>
      </c>
      <c r="F2391" s="106" t="s">
        <v>296</v>
      </c>
      <c r="G2391" s="106" t="s">
        <v>90</v>
      </c>
      <c r="H2391" s="106">
        <v>4</v>
      </c>
      <c r="I2391" s="106" t="s">
        <v>24</v>
      </c>
      <c r="J2391" s="106">
        <v>2268</v>
      </c>
      <c r="K2391" s="106">
        <v>13725</v>
      </c>
      <c r="L2391" s="106">
        <v>12878</v>
      </c>
      <c r="M2391" s="106">
        <v>0.67</v>
      </c>
      <c r="N2391" s="106">
        <v>0.18</v>
      </c>
      <c r="O2391" s="106">
        <v>0.15</v>
      </c>
      <c r="P2391" s="107">
        <v>724</v>
      </c>
      <c r="Q2391" s="107">
        <v>73.900077459333843</v>
      </c>
      <c r="R2391" s="106">
        <v>4.3971273606819711E-2</v>
      </c>
      <c r="S2391" s="106">
        <v>13870.991479473276</v>
      </c>
      <c r="T2391" s="106">
        <v>15231.774593338498</v>
      </c>
      <c r="U2391" s="106">
        <v>12757.168861347793</v>
      </c>
      <c r="V2391" s="106">
        <v>0.12594835121031264</v>
      </c>
      <c r="W2391" s="106">
        <v>58620.918874172188</v>
      </c>
      <c r="X2391" s="110">
        <v>0.60019387495695864</v>
      </c>
      <c r="Y2391" s="106">
        <v>377.28896103896108</v>
      </c>
      <c r="Z2391" s="106">
        <v>12.574675324675326</v>
      </c>
      <c r="AA2391" s="106">
        <v>34027.902892561986</v>
      </c>
      <c r="AB2391" s="106">
        <v>425.18407125338842</v>
      </c>
      <c r="AC2391" s="106">
        <v>2.9387647048287122</v>
      </c>
      <c r="AD2391" s="106">
        <v>52.954048140043767</v>
      </c>
      <c r="AE2391" s="106">
        <v>80.030991735537185</v>
      </c>
      <c r="AF2391" s="106">
        <v>-4.7931274048172157E-2</v>
      </c>
      <c r="AG2391" s="106">
        <v>2128</v>
      </c>
      <c r="AH2391" s="106">
        <v>12945.79860573199</v>
      </c>
      <c r="AI2391" s="106">
        <v>12956.714949651432</v>
      </c>
      <c r="AJ2391" s="106">
        <v>13894.343144848954</v>
      </c>
      <c r="AK2391" s="104">
        <v>13853.647560030984</v>
      </c>
      <c r="AL2391" s="118">
        <v>12134691</v>
      </c>
      <c r="AM2391" s="118">
        <v>1806</v>
      </c>
      <c r="AN2391" s="118">
        <v>38735</v>
      </c>
      <c r="AO2391" s="118">
        <v>230</v>
      </c>
      <c r="AP2391" s="118"/>
    </row>
    <row r="2392" spans="1:42" ht="12.75">
      <c r="A2392" s="106">
        <v>2018</v>
      </c>
      <c r="B2392" s="106">
        <v>-141990</v>
      </c>
      <c r="C2392" s="106">
        <v>0</v>
      </c>
      <c r="D2392" s="106">
        <v>141990</v>
      </c>
      <c r="E2392" s="106" t="s">
        <v>3600</v>
      </c>
      <c r="F2392" s="106" t="s">
        <v>3601</v>
      </c>
      <c r="G2392" s="106" t="s">
        <v>453</v>
      </c>
      <c r="H2392" s="106">
        <v>4</v>
      </c>
      <c r="I2392" s="106" t="s">
        <v>24</v>
      </c>
      <c r="J2392" s="106">
        <v>3064</v>
      </c>
      <c r="K2392" s="106">
        <v>10390</v>
      </c>
      <c r="L2392" s="106">
        <v>9719</v>
      </c>
      <c r="M2392" s="106">
        <v>0.53</v>
      </c>
      <c r="N2392" s="106">
        <v>0.15</v>
      </c>
      <c r="O2392" s="106">
        <v>0.45</v>
      </c>
      <c r="P2392" s="107">
        <v>1775</v>
      </c>
      <c r="Q2392" s="107">
        <v>549.60933852140079</v>
      </c>
      <c r="R2392" s="106">
        <v>0.12477231748032876</v>
      </c>
      <c r="S2392" s="106">
        <v>25416.979766536966</v>
      </c>
      <c r="T2392" s="106">
        <v>24843.424124513618</v>
      </c>
      <c r="U2392" s="106">
        <v>19348.210794516213</v>
      </c>
      <c r="V2392" s="106">
        <v>0.19925815140726066</v>
      </c>
      <c r="W2392" s="106">
        <v>128285.16176470587</v>
      </c>
      <c r="X2392" s="110">
        <v>0.7286844297984576</v>
      </c>
      <c r="Y2392" s="106">
        <v>520.8648648648649</v>
      </c>
      <c r="Z2392" s="106">
        <v>17.364864864864863</v>
      </c>
      <c r="AA2392" s="106">
        <v>72485.279507152591</v>
      </c>
      <c r="AB2392" s="106">
        <v>645.04075526549752</v>
      </c>
      <c r="AC2392" s="106">
        <v>1.3795904586410868</v>
      </c>
      <c r="AD2392" s="106">
        <v>25.635276532137517</v>
      </c>
      <c r="AE2392" s="106">
        <v>112.3731778425656</v>
      </c>
      <c r="AF2392" s="106">
        <v>1.3380622304240886E-2</v>
      </c>
      <c r="AG2392" s="106">
        <v>3024</v>
      </c>
      <c r="AH2392" s="106">
        <v>24547.435019455253</v>
      </c>
      <c r="AI2392" s="106">
        <v>24547.435019455253</v>
      </c>
      <c r="AJ2392" s="106">
        <v>25455.125291828794</v>
      </c>
      <c r="AK2392" s="104">
        <v>23261.463035019457</v>
      </c>
      <c r="AL2392" s="118">
        <v>12491540</v>
      </c>
      <c r="AM2392" s="118">
        <v>2511</v>
      </c>
      <c r="AN2392" s="118">
        <v>38544</v>
      </c>
      <c r="AO2392" s="118">
        <v>279</v>
      </c>
      <c r="AP2392" s="118"/>
    </row>
    <row r="2393" spans="1:42" ht="12.75">
      <c r="A2393" s="106">
        <v>2018</v>
      </c>
      <c r="B2393" s="106">
        <v>-199962</v>
      </c>
      <c r="C2393" s="106">
        <v>0</v>
      </c>
      <c r="D2393" s="106">
        <v>199962</v>
      </c>
      <c r="E2393" s="106" t="s">
        <v>3602</v>
      </c>
      <c r="F2393" s="106" t="s">
        <v>3603</v>
      </c>
      <c r="G2393" s="106" t="s">
        <v>90</v>
      </c>
      <c r="H2393" s="106">
        <v>6</v>
      </c>
      <c r="I2393" s="106" t="s">
        <v>3640</v>
      </c>
      <c r="J2393" s="106">
        <v>31120</v>
      </c>
      <c r="K2393" s="106">
        <v>19512</v>
      </c>
      <c r="L2393" s="106">
        <v>16724</v>
      </c>
      <c r="M2393" s="106">
        <v>0.48</v>
      </c>
      <c r="N2393" s="106">
        <v>0.64</v>
      </c>
      <c r="O2393" s="106">
        <v>0.98</v>
      </c>
      <c r="P2393" s="107">
        <v>20904</v>
      </c>
      <c r="Q2393" s="107">
        <v>13918.20068746695</v>
      </c>
      <c r="R2393" s="106">
        <v>0.53357221783654718</v>
      </c>
      <c r="S2393" s="106">
        <v>21641.178741406664</v>
      </c>
      <c r="T2393" s="106">
        <v>20447.476467477525</v>
      </c>
      <c r="U2393" s="106">
        <v>17107.744843997883</v>
      </c>
      <c r="V2393" s="106">
        <v>0.71118327087701894</v>
      </c>
      <c r="W2393" s="106">
        <v>82041.456521739121</v>
      </c>
      <c r="X2393" s="110">
        <v>0.55307956736763586</v>
      </c>
      <c r="Y2393" s="106">
        <v>426.31486880466474</v>
      </c>
      <c r="Z2393" s="106">
        <v>16.539358600583093</v>
      </c>
      <c r="AA2393" s="106">
        <v>89988.165507649508</v>
      </c>
      <c r="AB2393" s="106">
        <v>663.71395305896351</v>
      </c>
      <c r="AC2393" s="106">
        <v>1.1112572351694336</v>
      </c>
      <c r="AD2393" s="106">
        <v>21.272189349112423</v>
      </c>
      <c r="AE2393" s="106">
        <v>135.58275382475659</v>
      </c>
      <c r="AF2393" s="106">
        <v>6.6752560721929935E-2</v>
      </c>
      <c r="AG2393" s="106">
        <v>31120</v>
      </c>
      <c r="AH2393" s="106">
        <v>18270.473823373875</v>
      </c>
      <c r="AI2393" s="106">
        <v>21641.178741406664</v>
      </c>
      <c r="AJ2393" s="106">
        <v>23221.927815970386</v>
      </c>
      <c r="AK2393" s="104">
        <v>17107.744843997883</v>
      </c>
      <c r="AL2393" s="118"/>
      <c r="AM2393" s="118">
        <v>2592</v>
      </c>
      <c r="AN2393" s="118">
        <v>97484</v>
      </c>
      <c r="AO2393" s="118">
        <v>367</v>
      </c>
      <c r="AP2393" s="118"/>
    </row>
    <row r="2394" spans="1:42" ht="12.75">
      <c r="A2394" s="106">
        <v>2018</v>
      </c>
      <c r="B2394" s="106">
        <v>-175272</v>
      </c>
      <c r="C2394" s="106">
        <v>0</v>
      </c>
      <c r="D2394" s="106">
        <v>175272</v>
      </c>
      <c r="E2394" s="106" t="s">
        <v>3604</v>
      </c>
      <c r="F2394" s="106" t="s">
        <v>2009</v>
      </c>
      <c r="G2394" s="106" t="s">
        <v>113</v>
      </c>
      <c r="H2394" s="106">
        <v>2</v>
      </c>
      <c r="I2394" s="106" t="s">
        <v>25</v>
      </c>
      <c r="J2394" s="106">
        <v>9379</v>
      </c>
      <c r="K2394" s="106">
        <v>16401</v>
      </c>
      <c r="L2394" s="106">
        <v>12598</v>
      </c>
      <c r="M2394" s="106">
        <v>0.26</v>
      </c>
      <c r="N2394" s="106">
        <v>0.69</v>
      </c>
      <c r="O2394" s="106">
        <v>0.47</v>
      </c>
      <c r="P2394" s="107">
        <v>2771</v>
      </c>
      <c r="Q2394" s="107">
        <v>759.12208504801094</v>
      </c>
      <c r="R2394" s="106">
        <v>8.9199078029045309E-2</v>
      </c>
      <c r="S2394" s="106">
        <v>20108.09327846365</v>
      </c>
      <c r="T2394" s="106">
        <v>21950.480109739368</v>
      </c>
      <c r="U2394" s="106">
        <v>14686.078173790118</v>
      </c>
      <c r="V2394" s="106">
        <v>0.52779939363528783</v>
      </c>
      <c r="W2394" s="106">
        <v>125465.63285834031</v>
      </c>
      <c r="X2394" s="110">
        <v>0.62359469812959711</v>
      </c>
      <c r="Y2394" s="106">
        <v>572.15492957746471</v>
      </c>
      <c r="Z2394" s="106">
        <v>19.25176056338028</v>
      </c>
      <c r="AA2394" s="106">
        <v>57252.144324561472</v>
      </c>
      <c r="AB2394" s="106">
        <v>494.15437323189741</v>
      </c>
      <c r="AC2394" s="106">
        <v>1.7466594689117951</v>
      </c>
      <c r="AD2394" s="106">
        <v>26.102735901730878</v>
      </c>
      <c r="AE2394" s="106">
        <v>115.85882352941177</v>
      </c>
      <c r="AF2394" s="106">
        <v>-3.5199607530508367E-2</v>
      </c>
      <c r="AG2394" s="106">
        <v>7377</v>
      </c>
      <c r="AH2394" s="106">
        <v>20313.031550068587</v>
      </c>
      <c r="AI2394" s="106">
        <v>20792.592592592591</v>
      </c>
      <c r="AJ2394" s="106">
        <v>20304.252400548696</v>
      </c>
      <c r="AK2394" s="104">
        <v>15000</v>
      </c>
      <c r="AL2394" s="118">
        <v>40828000</v>
      </c>
      <c r="AM2394" s="118">
        <v>7460</v>
      </c>
      <c r="AN2394" s="118">
        <v>216656</v>
      </c>
      <c r="AO2394" s="118">
        <v>1722</v>
      </c>
      <c r="AP2394" s="118"/>
    </row>
    <row r="2395" spans="1:42" ht="12.75">
      <c r="A2395" s="106">
        <v>2018</v>
      </c>
      <c r="B2395" s="106">
        <v>-199999</v>
      </c>
      <c r="C2395" s="106">
        <v>0</v>
      </c>
      <c r="D2395" s="106">
        <v>199999</v>
      </c>
      <c r="E2395" s="106" t="s">
        <v>3605</v>
      </c>
      <c r="F2395" s="106" t="s">
        <v>1262</v>
      </c>
      <c r="G2395" s="106" t="s">
        <v>90</v>
      </c>
      <c r="H2395" s="106">
        <v>2</v>
      </c>
      <c r="I2395" s="106" t="s">
        <v>25</v>
      </c>
      <c r="J2395" s="106">
        <v>5941</v>
      </c>
      <c r="K2395" s="106">
        <v>11142</v>
      </c>
      <c r="L2395" s="106">
        <v>10165</v>
      </c>
      <c r="M2395" s="106">
        <v>0.78</v>
      </c>
      <c r="N2395" s="106">
        <v>0.86</v>
      </c>
      <c r="O2395" s="106">
        <v>0.66</v>
      </c>
      <c r="P2395" s="107">
        <v>2836</v>
      </c>
      <c r="Q2395" s="107">
        <v>1421.8223548785509</v>
      </c>
      <c r="R2395" s="106">
        <v>0.20598487645851254</v>
      </c>
      <c r="S2395" s="106">
        <v>29273.682585426101</v>
      </c>
      <c r="T2395" s="106">
        <v>29195.604569781804</v>
      </c>
      <c r="U2395" s="106">
        <v>16831.277048773602</v>
      </c>
      <c r="V2395" s="106">
        <v>0.32562797514347408</v>
      </c>
      <c r="W2395" s="106">
        <v>90519.255295836381</v>
      </c>
      <c r="X2395" s="110">
        <v>0.58247619104560899</v>
      </c>
      <c r="Y2395" s="106">
        <v>409.63823529411764</v>
      </c>
      <c r="Z2395" s="106">
        <v>14.288235294117648</v>
      </c>
      <c r="AA2395" s="106">
        <v>71850.917313657425</v>
      </c>
      <c r="AB2395" s="106">
        <v>587.07714771959581</v>
      </c>
      <c r="AC2395" s="106">
        <v>1.3917706793284321</v>
      </c>
      <c r="AD2395" s="106">
        <v>24.504737295434971</v>
      </c>
      <c r="AE2395" s="106">
        <v>122.38752196836555</v>
      </c>
      <c r="AF2395" s="106">
        <v>6.0808376498598396E-2</v>
      </c>
      <c r="AG2395" s="106">
        <v>3401</v>
      </c>
      <c r="AH2395" s="106">
        <v>28217.598394400989</v>
      </c>
      <c r="AI2395" s="106">
        <v>28261.883079456566</v>
      </c>
      <c r="AJ2395" s="106">
        <v>30037.104981473858</v>
      </c>
      <c r="AK2395" s="104">
        <v>20269.787361053932</v>
      </c>
      <c r="AL2395" s="118">
        <v>63955924</v>
      </c>
      <c r="AM2395" s="118">
        <v>4688</v>
      </c>
      <c r="AN2395" s="118">
        <v>139277</v>
      </c>
      <c r="AO2395" s="118">
        <v>999</v>
      </c>
      <c r="AP2395" s="118"/>
    </row>
    <row r="2396" spans="1:42" ht="12.75">
      <c r="A2396" s="106">
        <v>2018</v>
      </c>
      <c r="B2396" s="106">
        <v>-218964</v>
      </c>
      <c r="C2396" s="106">
        <v>0</v>
      </c>
      <c r="D2396" s="106">
        <v>218964</v>
      </c>
      <c r="E2396" s="106" t="s">
        <v>3606</v>
      </c>
      <c r="F2396" s="106" t="s">
        <v>778</v>
      </c>
      <c r="G2396" s="106" t="s">
        <v>79</v>
      </c>
      <c r="H2396" s="106">
        <v>2</v>
      </c>
      <c r="I2396" s="106" t="s">
        <v>25</v>
      </c>
      <c r="J2396" s="106">
        <v>15350</v>
      </c>
      <c r="K2396" s="106">
        <v>17903</v>
      </c>
      <c r="L2396" s="106">
        <v>15492</v>
      </c>
      <c r="M2396" s="106">
        <v>0.46</v>
      </c>
      <c r="N2396" s="106">
        <v>0.72</v>
      </c>
      <c r="O2396" s="106">
        <v>0.55000000000000004</v>
      </c>
      <c r="P2396" s="107">
        <v>8152</v>
      </c>
      <c r="Q2396" s="107">
        <v>3854.7562454077884</v>
      </c>
      <c r="R2396" s="106">
        <v>0.24635991433016696</v>
      </c>
      <c r="S2396" s="106">
        <v>24882.041329904481</v>
      </c>
      <c r="T2396" s="106">
        <v>25551.68975018369</v>
      </c>
      <c r="U2396" s="106">
        <v>16351.315542439212</v>
      </c>
      <c r="V2396" s="106">
        <v>0.72117085509133427</v>
      </c>
      <c r="W2396" s="106">
        <v>81676.401718582172</v>
      </c>
      <c r="X2396" s="110">
        <v>0.54664897153232039</v>
      </c>
      <c r="Y2396" s="106">
        <v>442.90732159406855</v>
      </c>
      <c r="Z2396" s="106">
        <v>15.136237256719184</v>
      </c>
      <c r="AA2396" s="106">
        <v>65549.750966891806</v>
      </c>
      <c r="AB2396" s="106">
        <v>558.80176154928199</v>
      </c>
      <c r="AC2396" s="106">
        <v>1.5255588087666192</v>
      </c>
      <c r="AD2396" s="106">
        <v>25.241635687732344</v>
      </c>
      <c r="AE2396" s="106">
        <v>117.30412371134021</v>
      </c>
      <c r="AF2396" s="106">
        <v>2.3318599264387965</v>
      </c>
      <c r="AG2396" s="106">
        <v>14870</v>
      </c>
      <c r="AH2396" s="106">
        <v>26047.655584129316</v>
      </c>
      <c r="AI2396" s="106">
        <v>26439.026818515798</v>
      </c>
      <c r="AJ2396" s="106">
        <v>24925.640889052167</v>
      </c>
      <c r="AK2396" s="104">
        <v>22088.601947097723</v>
      </c>
      <c r="AL2396" s="118">
        <v>16431521</v>
      </c>
      <c r="AM2396" s="118">
        <v>5014</v>
      </c>
      <c r="AN2396" s="118">
        <v>159299</v>
      </c>
      <c r="AO2396" s="118">
        <v>1008</v>
      </c>
      <c r="AP2396" s="118"/>
    </row>
    <row r="2397" spans="1:42" ht="12.75">
      <c r="A2397" s="106">
        <v>2018</v>
      </c>
      <c r="B2397" s="106">
        <v>3006</v>
      </c>
      <c r="C2397" s="106">
        <v>1</v>
      </c>
      <c r="D2397" s="106">
        <v>141255</v>
      </c>
      <c r="E2397" s="106" t="s">
        <v>3898</v>
      </c>
      <c r="F2397" s="106" t="s">
        <v>3391</v>
      </c>
      <c r="G2397" s="106" t="s">
        <v>63</v>
      </c>
      <c r="H2397" s="106">
        <v>4</v>
      </c>
      <c r="I2397" s="106" t="s">
        <v>24</v>
      </c>
      <c r="J2397" s="106">
        <v>2794</v>
      </c>
      <c r="K2397" s="106">
        <v>1551</v>
      </c>
      <c r="L2397" s="106">
        <v>-21</v>
      </c>
      <c r="M2397" s="106">
        <v>0.63</v>
      </c>
      <c r="N2397" s="106">
        <v>0.03</v>
      </c>
      <c r="O2397" s="106">
        <v>0</v>
      </c>
      <c r="P2397" s="107"/>
      <c r="Q2397" s="107"/>
      <c r="R2397" s="106"/>
      <c r="S2397" s="106">
        <v>14992.251965408805</v>
      </c>
      <c r="T2397" s="106">
        <v>14744.322327044025</v>
      </c>
      <c r="U2397" s="106">
        <v>12565.000786163522</v>
      </c>
      <c r="V2397" s="106">
        <v>0.27986355981202404</v>
      </c>
      <c r="W2397" s="106">
        <v>59705.938144329892</v>
      </c>
      <c r="X2397" s="110">
        <v>0.56613338744932096</v>
      </c>
      <c r="Y2397" s="106">
        <v>408.86785714285719</v>
      </c>
      <c r="Z2397" s="106">
        <v>13.62857142857143</v>
      </c>
      <c r="AA2397" s="106">
        <v>15412.421407907425</v>
      </c>
      <c r="AB2397" s="106">
        <v>418.82238410943108</v>
      </c>
      <c r="AC2397" s="106">
        <v>6.4882731501679851</v>
      </c>
      <c r="AD2397" s="106">
        <v>107.74025974025973</v>
      </c>
      <c r="AE2397" s="106">
        <v>36.799421407907424</v>
      </c>
      <c r="AF2397" s="106">
        <v>6.4562472889801922E-2</v>
      </c>
      <c r="AG2397" s="106">
        <v>2136</v>
      </c>
      <c r="AH2397" s="106">
        <v>11965.952437106918</v>
      </c>
      <c r="AI2397" s="106">
        <v>12881.227987421384</v>
      </c>
      <c r="AJ2397" s="106">
        <v>14992.251965408805</v>
      </c>
      <c r="AK2397" s="104">
        <v>14744.322327044025</v>
      </c>
      <c r="AL2397" s="118">
        <v>13648280</v>
      </c>
      <c r="AM2397" s="118">
        <v>3936</v>
      </c>
      <c r="AN2397" s="118">
        <v>76322</v>
      </c>
      <c r="AO2397" s="118">
        <v>219</v>
      </c>
      <c r="AP2397" s="118"/>
    </row>
    <row r="2398" spans="1:42" ht="12.75">
      <c r="A2398" s="106">
        <v>2018</v>
      </c>
      <c r="B2398" s="106">
        <v>-240198</v>
      </c>
      <c r="C2398" s="106">
        <v>0</v>
      </c>
      <c r="D2398" s="106">
        <v>240198</v>
      </c>
      <c r="E2398" s="106" t="s">
        <v>3607</v>
      </c>
      <c r="F2398" s="106" t="s">
        <v>3608</v>
      </c>
      <c r="G2398" s="106" t="s">
        <v>139</v>
      </c>
      <c r="H2398" s="106">
        <v>4</v>
      </c>
      <c r="I2398" s="106" t="s">
        <v>24</v>
      </c>
      <c r="J2398" s="106">
        <v>4662</v>
      </c>
      <c r="K2398" s="106">
        <v>9968</v>
      </c>
      <c r="L2398" s="106">
        <v>10054</v>
      </c>
      <c r="M2398" s="106">
        <v>0.53</v>
      </c>
      <c r="N2398" s="106">
        <v>0.54</v>
      </c>
      <c r="O2398" s="106">
        <v>0.19</v>
      </c>
      <c r="P2398" s="107">
        <v>556</v>
      </c>
      <c r="Q2398" s="107"/>
      <c r="R2398" s="106"/>
      <c r="S2398" s="106">
        <v>29772.30165509877</v>
      </c>
      <c r="T2398" s="106">
        <v>29191.822210357714</v>
      </c>
      <c r="U2398" s="106">
        <v>26754.25734116391</v>
      </c>
      <c r="V2398" s="106">
        <v>0.10725582412259699</v>
      </c>
      <c r="W2398" s="106">
        <v>72146.18102444704</v>
      </c>
      <c r="X2398" s="110">
        <v>0.75564231387126302</v>
      </c>
      <c r="Y2398" s="106">
        <v>178.94904458598725</v>
      </c>
      <c r="Z2398" s="106">
        <v>5.9649681528662422</v>
      </c>
      <c r="AA2398" s="106">
        <v>27028.437971952535</v>
      </c>
      <c r="AB2398" s="106">
        <v>891.8085780387969</v>
      </c>
      <c r="AC2398" s="106">
        <v>3.6998068517229963</v>
      </c>
      <c r="AD2398" s="106">
        <v>106.79723502304148</v>
      </c>
      <c r="AE2398" s="106">
        <v>30.307443365695793</v>
      </c>
      <c r="AF2398" s="106">
        <v>4.4748824787611712E-2</v>
      </c>
      <c r="AG2398" s="106">
        <v>4230</v>
      </c>
      <c r="AH2398" s="106">
        <v>29066.03363587827</v>
      </c>
      <c r="AI2398" s="106">
        <v>29066.03363587827</v>
      </c>
      <c r="AJ2398" s="106">
        <v>29888.002135611317</v>
      </c>
      <c r="AK2398" s="104">
        <v>27603.759209823813</v>
      </c>
      <c r="AL2398" s="118">
        <v>42633817</v>
      </c>
      <c r="AM2398" s="118">
        <v>3021</v>
      </c>
      <c r="AN2398" s="118">
        <v>56190</v>
      </c>
      <c r="AO2398" s="118">
        <v>358</v>
      </c>
      <c r="AP2398" s="118"/>
    </row>
    <row r="2399" spans="1:42" ht="12.75">
      <c r="A2399" s="106">
        <v>2018</v>
      </c>
      <c r="B2399" s="106">
        <v>-240338</v>
      </c>
      <c r="C2399" s="106">
        <v>0</v>
      </c>
      <c r="D2399" s="106">
        <v>240338</v>
      </c>
      <c r="E2399" s="106" t="s">
        <v>3609</v>
      </c>
      <c r="F2399" s="106" t="s">
        <v>138</v>
      </c>
      <c r="G2399" s="106" t="s">
        <v>139</v>
      </c>
      <c r="H2399" s="106">
        <v>7</v>
      </c>
      <c r="I2399" s="106" t="s">
        <v>3641</v>
      </c>
      <c r="J2399" s="106">
        <v>29140</v>
      </c>
      <c r="K2399" s="106">
        <v>21773</v>
      </c>
      <c r="L2399" s="106">
        <v>16296</v>
      </c>
      <c r="M2399" s="106">
        <v>0.34</v>
      </c>
      <c r="N2399" s="106">
        <v>0.83</v>
      </c>
      <c r="O2399" s="106">
        <v>1</v>
      </c>
      <c r="P2399" s="107">
        <v>16729</v>
      </c>
      <c r="Q2399" s="107">
        <v>11785.517117117117</v>
      </c>
      <c r="R2399" s="106">
        <v>0.49278637469777015</v>
      </c>
      <c r="S2399" s="106">
        <v>25596.102702702701</v>
      </c>
      <c r="T2399" s="106">
        <v>28205.383783783785</v>
      </c>
      <c r="U2399" s="106">
        <v>21267.10781107712</v>
      </c>
      <c r="V2399" s="106">
        <v>0.5703906929009912</v>
      </c>
      <c r="W2399" s="106">
        <v>95936.677215189877</v>
      </c>
      <c r="X2399" s="110">
        <v>0.48415761529905349</v>
      </c>
      <c r="Y2399" s="106">
        <v>502.33163265306126</v>
      </c>
      <c r="Z2399" s="106">
        <v>16.989795918367349</v>
      </c>
      <c r="AA2399" s="106">
        <v>87108.81797157049</v>
      </c>
      <c r="AB2399" s="106">
        <v>719.29338707137947</v>
      </c>
      <c r="AC2399" s="106">
        <v>1.1479894036977607</v>
      </c>
      <c r="AD2399" s="106">
        <v>27.045908183632733</v>
      </c>
      <c r="AE2399" s="106">
        <v>121.10332103321034</v>
      </c>
      <c r="AF2399" s="106">
        <v>-1.0787554903476129E-2</v>
      </c>
      <c r="AG2399" s="106">
        <v>28840</v>
      </c>
      <c r="AH2399" s="106">
        <v>18776.785585585585</v>
      </c>
      <c r="AI2399" s="106">
        <v>25596.103603603602</v>
      </c>
      <c r="AJ2399" s="106">
        <v>27654.271171171171</v>
      </c>
      <c r="AK2399" s="104">
        <v>21853.376576576578</v>
      </c>
      <c r="AL2399" s="118"/>
      <c r="AM2399" s="118">
        <v>992</v>
      </c>
      <c r="AN2399" s="118">
        <v>32819</v>
      </c>
      <c r="AO2399" s="118">
        <v>214</v>
      </c>
      <c r="AP2399" s="118"/>
    </row>
    <row r="2400" spans="1:42" ht="12.75">
      <c r="A2400" s="106">
        <v>2018</v>
      </c>
      <c r="B2400" s="106">
        <v>-206525</v>
      </c>
      <c r="C2400" s="106">
        <v>0</v>
      </c>
      <c r="D2400" s="106">
        <v>206525</v>
      </c>
      <c r="E2400" s="106" t="s">
        <v>3610</v>
      </c>
      <c r="F2400" s="106" t="s">
        <v>149</v>
      </c>
      <c r="G2400" s="106" t="s">
        <v>82</v>
      </c>
      <c r="H2400" s="106">
        <v>7</v>
      </c>
      <c r="I2400" s="106" t="s">
        <v>3641</v>
      </c>
      <c r="J2400" s="106">
        <v>38730</v>
      </c>
      <c r="K2400" s="106">
        <v>23989</v>
      </c>
      <c r="L2400" s="106">
        <v>20182</v>
      </c>
      <c r="M2400" s="106">
        <v>0.41</v>
      </c>
      <c r="N2400" s="106">
        <v>0.95</v>
      </c>
      <c r="O2400" s="106">
        <v>0.99</v>
      </c>
      <c r="P2400" s="107">
        <v>24135</v>
      </c>
      <c r="Q2400" s="107">
        <v>20565.068804966373</v>
      </c>
      <c r="R2400" s="106">
        <v>0.59769605359476208</v>
      </c>
      <c r="S2400" s="106">
        <v>33662.344024831866</v>
      </c>
      <c r="T2400" s="106">
        <v>27361.548887739264</v>
      </c>
      <c r="U2400" s="106">
        <v>23351.52753832937</v>
      </c>
      <c r="V2400" s="106">
        <v>0.59277349448443017</v>
      </c>
      <c r="W2400" s="106">
        <v>75334.641095890416</v>
      </c>
      <c r="X2400" s="110">
        <v>0.51989429961583955</v>
      </c>
      <c r="Y2400" s="106">
        <v>425.36764705882354</v>
      </c>
      <c r="Z2400" s="106">
        <v>14.213235294117647</v>
      </c>
      <c r="AA2400" s="106">
        <v>115149.2416622211</v>
      </c>
      <c r="AB2400" s="106">
        <v>780.26798153138589</v>
      </c>
      <c r="AC2400" s="106">
        <v>0.86843819860611937</v>
      </c>
      <c r="AD2400" s="106">
        <v>21.514818880351264</v>
      </c>
      <c r="AE2400" s="106">
        <v>147.57653061224491</v>
      </c>
      <c r="AF2400" s="106">
        <v>0.13170226638549448</v>
      </c>
      <c r="AG2400" s="106">
        <v>37930</v>
      </c>
      <c r="AH2400" s="106">
        <v>21752.253491981377</v>
      </c>
      <c r="AI2400" s="106">
        <v>33662.344024831866</v>
      </c>
      <c r="AJ2400" s="106">
        <v>37715.536471805484</v>
      </c>
      <c r="AK2400" s="104">
        <v>23566.076047594412</v>
      </c>
      <c r="AL2400" s="118"/>
      <c r="AM2400" s="118">
        <v>1857</v>
      </c>
      <c r="AN2400" s="118">
        <v>57850</v>
      </c>
      <c r="AO2400" s="118">
        <v>377</v>
      </c>
      <c r="AP2400" s="118"/>
    </row>
    <row r="2401" spans="1:42" ht="12.75">
      <c r="A2401" s="106">
        <v>2018</v>
      </c>
      <c r="B2401" s="106">
        <v>-218973</v>
      </c>
      <c r="C2401" s="106">
        <v>0</v>
      </c>
      <c r="D2401" s="106">
        <v>218973</v>
      </c>
      <c r="E2401" s="106" t="s">
        <v>3611</v>
      </c>
      <c r="F2401" s="106" t="s">
        <v>935</v>
      </c>
      <c r="G2401" s="106" t="s">
        <v>79</v>
      </c>
      <c r="H2401" s="106">
        <v>7</v>
      </c>
      <c r="I2401" s="106" t="s">
        <v>3641</v>
      </c>
      <c r="J2401" s="106">
        <v>41955</v>
      </c>
      <c r="K2401" s="106">
        <v>27974</v>
      </c>
      <c r="L2401" s="106">
        <v>16751</v>
      </c>
      <c r="M2401" s="106">
        <v>0.16</v>
      </c>
      <c r="N2401" s="106">
        <v>0.47</v>
      </c>
      <c r="O2401" s="106">
        <v>0.96</v>
      </c>
      <c r="P2401" s="107">
        <v>24994</v>
      </c>
      <c r="Q2401" s="107">
        <v>21096.307649043869</v>
      </c>
      <c r="R2401" s="106">
        <v>0.5571435684135011</v>
      </c>
      <c r="S2401" s="106">
        <v>40991.764904386953</v>
      </c>
      <c r="T2401" s="106">
        <v>40400.002812148479</v>
      </c>
      <c r="U2401" s="106">
        <v>32503.086806155174</v>
      </c>
      <c r="V2401" s="106">
        <v>0.51591443256017766</v>
      </c>
      <c r="W2401" s="106">
        <v>87223.992366412203</v>
      </c>
      <c r="X2401" s="110">
        <v>0.53024044355096089</v>
      </c>
      <c r="Y2401" s="106">
        <v>344.12903225806451</v>
      </c>
      <c r="Z2401" s="106">
        <v>11.470967741935484</v>
      </c>
      <c r="AA2401" s="106">
        <v>133774.27856792571</v>
      </c>
      <c r="AB2401" s="106">
        <v>1083.4362268718392</v>
      </c>
      <c r="AC2401" s="106">
        <v>0.74752785864753257</v>
      </c>
      <c r="AD2401" s="106">
        <v>25.883762732174954</v>
      </c>
      <c r="AE2401" s="106">
        <v>123.47222222222223</v>
      </c>
      <c r="AF2401" s="106">
        <v>5.1280483466324737E-2</v>
      </c>
      <c r="AG2401" s="106">
        <v>40510</v>
      </c>
      <c r="AH2401" s="106">
        <v>31179.014623172105</v>
      </c>
      <c r="AI2401" s="106">
        <v>40991.764904386953</v>
      </c>
      <c r="AJ2401" s="106">
        <v>49857.68785151856</v>
      </c>
      <c r="AK2401" s="104">
        <v>33386.370641169851</v>
      </c>
      <c r="AL2401" s="118"/>
      <c r="AM2401" s="118">
        <v>1678</v>
      </c>
      <c r="AN2401" s="118">
        <v>53340</v>
      </c>
      <c r="AO2401" s="118">
        <v>432</v>
      </c>
      <c r="AP2401" s="118"/>
    </row>
    <row r="2402" spans="1:42" ht="12.75">
      <c r="A2402" s="106">
        <v>2018</v>
      </c>
      <c r="B2402" s="106">
        <v>-125897</v>
      </c>
      <c r="C2402" s="106">
        <v>0</v>
      </c>
      <c r="D2402" s="106">
        <v>125897</v>
      </c>
      <c r="E2402" s="106" t="s">
        <v>3612</v>
      </c>
      <c r="F2402" s="106" t="s">
        <v>3613</v>
      </c>
      <c r="G2402" s="106" t="s">
        <v>121</v>
      </c>
      <c r="H2402" s="106">
        <v>6</v>
      </c>
      <c r="I2402" s="106" t="s">
        <v>3640</v>
      </c>
      <c r="J2402" s="106">
        <v>38460</v>
      </c>
      <c r="K2402" s="106">
        <v>29028</v>
      </c>
      <c r="L2402" s="106">
        <v>22509</v>
      </c>
      <c r="M2402" s="106">
        <v>0.53</v>
      </c>
      <c r="N2402" s="106">
        <v>0.9</v>
      </c>
      <c r="O2402" s="106">
        <v>0.92</v>
      </c>
      <c r="P2402" s="107">
        <v>16633</v>
      </c>
      <c r="Q2402" s="107">
        <v>9779.6527531083484</v>
      </c>
      <c r="R2402" s="106">
        <v>0.35843357091677402</v>
      </c>
      <c r="S2402" s="106">
        <v>30758.163410301953</v>
      </c>
      <c r="T2402" s="106">
        <v>34580.246003552398</v>
      </c>
      <c r="U2402" s="106">
        <v>30002.685612788631</v>
      </c>
      <c r="V2402" s="106">
        <v>0.58344007333387327</v>
      </c>
      <c r="W2402" s="106">
        <v>97646.398268398261</v>
      </c>
      <c r="X2402" s="110">
        <v>0.57929761385704737</v>
      </c>
      <c r="Y2402" s="106">
        <v>274.81666666666666</v>
      </c>
      <c r="Z2402" s="106">
        <v>9.3833333333333329</v>
      </c>
      <c r="AA2402" s="106">
        <v>90571.109919571041</v>
      </c>
      <c r="AB2402" s="106">
        <v>1024.4109406270848</v>
      </c>
      <c r="AC2402" s="106">
        <v>1.1041048308760044</v>
      </c>
      <c r="AD2402" s="106">
        <v>34.032846715328468</v>
      </c>
      <c r="AE2402" s="106">
        <v>88.41286863270777</v>
      </c>
      <c r="AF2402" s="106">
        <v>7.4721851279700421E-2</v>
      </c>
      <c r="AG2402" s="106">
        <v>37436</v>
      </c>
      <c r="AH2402" s="106">
        <v>20443.769094138544</v>
      </c>
      <c r="AI2402" s="106">
        <v>20978.510657193605</v>
      </c>
      <c r="AJ2402" s="106">
        <v>31597.675843694495</v>
      </c>
      <c r="AK2402" s="104">
        <v>30002.685612788631</v>
      </c>
      <c r="AL2402" s="118"/>
      <c r="AM2402" s="118">
        <v>1024</v>
      </c>
      <c r="AN2402" s="118">
        <v>32978</v>
      </c>
      <c r="AO2402" s="118">
        <v>274</v>
      </c>
      <c r="AP2402" s="118"/>
    </row>
    <row r="2403" spans="1:42" ht="12.75">
      <c r="A2403" s="106">
        <v>2018</v>
      </c>
      <c r="B2403" s="106">
        <v>-455512</v>
      </c>
      <c r="C2403" s="106">
        <v>0</v>
      </c>
      <c r="D2403" s="106">
        <v>455512</v>
      </c>
      <c r="E2403" s="106" t="s">
        <v>3614</v>
      </c>
      <c r="F2403" s="106" t="s">
        <v>3615</v>
      </c>
      <c r="G2403" s="106" t="s">
        <v>121</v>
      </c>
      <c r="H2403" s="106">
        <v>4</v>
      </c>
      <c r="I2403" s="106" t="s">
        <v>24</v>
      </c>
      <c r="J2403" s="106">
        <v>1124</v>
      </c>
      <c r="K2403" s="106">
        <v>5722</v>
      </c>
      <c r="L2403" s="106">
        <v>4434</v>
      </c>
      <c r="M2403" s="106">
        <v>0.55000000000000004</v>
      </c>
      <c r="N2403" s="106">
        <v>0</v>
      </c>
      <c r="O2403" s="106">
        <v>0.02</v>
      </c>
      <c r="P2403" s="107">
        <v>500</v>
      </c>
      <c r="Q2403" s="107">
        <v>30.368076923076924</v>
      </c>
      <c r="R2403" s="106">
        <v>2.7426614692137058E-2</v>
      </c>
      <c r="S2403" s="106">
        <v>12251.04576923077</v>
      </c>
      <c r="T2403" s="106">
        <v>14576.79576923077</v>
      </c>
      <c r="U2403" s="106">
        <v>9059.7945460665214</v>
      </c>
      <c r="V2403" s="106">
        <v>0.11886366507979282</v>
      </c>
      <c r="W2403" s="106">
        <v>161043.22437673129</v>
      </c>
      <c r="X2403" s="110">
        <v>0.51132024398418885</v>
      </c>
      <c r="Y2403" s="106">
        <v>1083.2916666666667</v>
      </c>
      <c r="Z2403" s="106">
        <v>36.111111111111114</v>
      </c>
      <c r="AA2403" s="106">
        <v>76727.901693071515</v>
      </c>
      <c r="AB2403" s="106">
        <v>302.0047671035162</v>
      </c>
      <c r="AC2403" s="106">
        <v>1.3033068517893529</v>
      </c>
      <c r="AD2403" s="106">
        <v>19.479695431472081</v>
      </c>
      <c r="AE2403" s="106">
        <v>254.06188925081435</v>
      </c>
      <c r="AF2403" s="106">
        <v>1.2195041018935115</v>
      </c>
      <c r="AG2403" s="106">
        <v>1104</v>
      </c>
      <c r="AH2403" s="106">
        <v>11237.023846153847</v>
      </c>
      <c r="AI2403" s="106">
        <v>11237.023846153847</v>
      </c>
      <c r="AJ2403" s="106">
        <v>11141.187307692308</v>
      </c>
      <c r="AK2403" s="104">
        <v>10736.978846153846</v>
      </c>
      <c r="AL2403" s="118">
        <v>16553536</v>
      </c>
      <c r="AM2403" s="118">
        <v>3332</v>
      </c>
      <c r="AN2403" s="118">
        <v>77997</v>
      </c>
      <c r="AO2403" s="118">
        <v>263</v>
      </c>
      <c r="AP2403" s="118"/>
    </row>
    <row r="2404" spans="1:42" ht="12.75">
      <c r="A2404" s="106">
        <v>2018</v>
      </c>
      <c r="B2404" s="106">
        <v>-168421</v>
      </c>
      <c r="C2404" s="106">
        <v>0</v>
      </c>
      <c r="D2404" s="106">
        <v>168421</v>
      </c>
      <c r="E2404" s="106" t="s">
        <v>3617</v>
      </c>
      <c r="F2404" s="106" t="s">
        <v>225</v>
      </c>
      <c r="G2404" s="106" t="s">
        <v>150</v>
      </c>
      <c r="H2404" s="106">
        <v>5</v>
      </c>
      <c r="I2404" s="106" t="s">
        <v>3639</v>
      </c>
      <c r="J2404" s="106">
        <v>48628</v>
      </c>
      <c r="K2404" s="106">
        <v>43815</v>
      </c>
      <c r="L2404" s="106">
        <v>34382</v>
      </c>
      <c r="M2404" s="106">
        <v>0.1</v>
      </c>
      <c r="N2404" s="106">
        <v>0.53</v>
      </c>
      <c r="O2404" s="106">
        <v>0.97</v>
      </c>
      <c r="P2404" s="107">
        <v>20326</v>
      </c>
      <c r="Q2404" s="107">
        <v>12874.489962461237</v>
      </c>
      <c r="R2404" s="106">
        <v>0.31384204055812176</v>
      </c>
      <c r="S2404" s="106">
        <v>40360.698547413092</v>
      </c>
      <c r="T2404" s="106">
        <v>42552.799086012732</v>
      </c>
      <c r="U2404" s="106">
        <v>32139.358252474914</v>
      </c>
      <c r="V2404" s="106">
        <v>0.87580177084146316</v>
      </c>
      <c r="W2404" s="106">
        <v>137939.8998330551</v>
      </c>
      <c r="X2404" s="110">
        <v>0.63382696445625786</v>
      </c>
      <c r="Y2404" s="106">
        <v>413.11486001435753</v>
      </c>
      <c r="Z2404" s="106">
        <v>13.195262024407754</v>
      </c>
      <c r="AA2404" s="106">
        <v>106730.54092840856</v>
      </c>
      <c r="AB2404" s="106">
        <v>1026.5601518739347</v>
      </c>
      <c r="AC2404" s="106">
        <v>0.93693894109537779</v>
      </c>
      <c r="AD2404" s="106">
        <v>32.249606712113263</v>
      </c>
      <c r="AE2404" s="106">
        <v>103.96910569105691</v>
      </c>
      <c r="AF2404" s="106">
        <v>2.8725696902740929E-2</v>
      </c>
      <c r="AG2404" s="106">
        <v>47988</v>
      </c>
      <c r="AH2404" s="106">
        <v>37990.370491268157</v>
      </c>
      <c r="AI2404" s="106">
        <v>40578.586583972581</v>
      </c>
      <c r="AJ2404" s="106">
        <v>46333.442141341606</v>
      </c>
      <c r="AK2404" s="104">
        <v>37941.570099559329</v>
      </c>
      <c r="AL2404" s="118"/>
      <c r="AM2404" s="118">
        <v>4435</v>
      </c>
      <c r="AN2404" s="118">
        <v>191823</v>
      </c>
      <c r="AO2404" s="118">
        <v>980</v>
      </c>
      <c r="AP2404" s="118"/>
    </row>
    <row r="2405" spans="1:42" ht="12.75">
      <c r="A2405" s="106">
        <v>2018</v>
      </c>
      <c r="B2405" s="106">
        <v>-168430</v>
      </c>
      <c r="C2405" s="106">
        <v>0</v>
      </c>
      <c r="D2405" s="106">
        <v>168430</v>
      </c>
      <c r="E2405" s="106" t="s">
        <v>3618</v>
      </c>
      <c r="F2405" s="106" t="s">
        <v>225</v>
      </c>
      <c r="G2405" s="106" t="s">
        <v>150</v>
      </c>
      <c r="H2405" s="106">
        <v>2</v>
      </c>
      <c r="I2405" s="106" t="s">
        <v>25</v>
      </c>
      <c r="J2405" s="106">
        <v>9532</v>
      </c>
      <c r="K2405" s="106">
        <v>15458</v>
      </c>
      <c r="L2405" s="106">
        <v>15135</v>
      </c>
      <c r="M2405" s="106">
        <v>0.36</v>
      </c>
      <c r="N2405" s="106">
        <v>0.7</v>
      </c>
      <c r="O2405" s="106">
        <v>0.43</v>
      </c>
      <c r="P2405" s="107">
        <v>1735</v>
      </c>
      <c r="Q2405" s="107">
        <v>507.34907190484773</v>
      </c>
      <c r="R2405" s="106">
        <v>5.9324267913356835E-2</v>
      </c>
      <c r="S2405" s="106">
        <v>19436.502432870788</v>
      </c>
      <c r="T2405" s="106">
        <v>19062.643719589116</v>
      </c>
      <c r="U2405" s="106">
        <v>15988.64140431132</v>
      </c>
      <c r="V2405" s="106">
        <v>0.50315623713424917</v>
      </c>
      <c r="W2405" s="106">
        <v>89867.937618147436</v>
      </c>
      <c r="X2405" s="110">
        <v>0.59924073496522601</v>
      </c>
      <c r="Y2405" s="106">
        <v>561.77172653534183</v>
      </c>
      <c r="Z2405" s="106">
        <v>19.289687137891075</v>
      </c>
      <c r="AA2405" s="106">
        <v>61697.476462116494</v>
      </c>
      <c r="AB2405" s="106">
        <v>549.00571865945255</v>
      </c>
      <c r="AC2405" s="106">
        <v>1.6208118343608759</v>
      </c>
      <c r="AD2405" s="106">
        <v>27.982097684374391</v>
      </c>
      <c r="AE2405" s="106">
        <v>112.38038942976355</v>
      </c>
      <c r="AF2405" s="106">
        <v>1.9327628366310304E-2</v>
      </c>
      <c r="AG2405" s="106">
        <v>970</v>
      </c>
      <c r="AH2405" s="106">
        <v>19268.099657595962</v>
      </c>
      <c r="AI2405" s="106">
        <v>19268.099657595962</v>
      </c>
      <c r="AJ2405" s="106">
        <v>19429.463867363487</v>
      </c>
      <c r="AK2405" s="104">
        <v>16927.857271580466</v>
      </c>
      <c r="AL2405" s="118">
        <v>35415371</v>
      </c>
      <c r="AM2405" s="118">
        <v>5495</v>
      </c>
      <c r="AN2405" s="118">
        <v>161603</v>
      </c>
      <c r="AO2405" s="118">
        <v>1095</v>
      </c>
      <c r="AP2405" s="118"/>
    </row>
    <row r="2406" spans="1:42" ht="12.75">
      <c r="A2406" s="106">
        <v>2018</v>
      </c>
      <c r="B2406" s="106">
        <v>-164313</v>
      </c>
      <c r="C2406" s="106">
        <v>0</v>
      </c>
      <c r="D2406" s="106">
        <v>164313</v>
      </c>
      <c r="E2406" s="106" t="s">
        <v>3616</v>
      </c>
      <c r="F2406" s="106" t="s">
        <v>629</v>
      </c>
      <c r="G2406" s="106" t="s">
        <v>124</v>
      </c>
      <c r="H2406" s="106">
        <v>4</v>
      </c>
      <c r="I2406" s="106" t="s">
        <v>24</v>
      </c>
      <c r="J2406" s="106">
        <v>3000</v>
      </c>
      <c r="K2406" s="106">
        <v>7827</v>
      </c>
      <c r="L2406" s="106">
        <v>7443</v>
      </c>
      <c r="M2406" s="106">
        <v>0.55000000000000004</v>
      </c>
      <c r="N2406" s="106">
        <v>0.12</v>
      </c>
      <c r="O2406" s="106">
        <v>0.2</v>
      </c>
      <c r="P2406" s="107">
        <v>2241</v>
      </c>
      <c r="Q2406" s="107">
        <v>304.47941342357586</v>
      </c>
      <c r="R2406" s="106">
        <v>5.7012835866922663E-2</v>
      </c>
      <c r="S2406" s="106">
        <v>17144.559503666103</v>
      </c>
      <c r="T2406" s="106">
        <v>17045.091934574168</v>
      </c>
      <c r="U2406" s="106">
        <v>12433.950366610265</v>
      </c>
      <c r="V2406" s="106">
        <v>0.40502510411018283</v>
      </c>
      <c r="W2406" s="106">
        <v>55413.937923250567</v>
      </c>
      <c r="X2406" s="110">
        <v>0.54153109293593304</v>
      </c>
      <c r="Y2406" s="106">
        <v>411.35567010309273</v>
      </c>
      <c r="Z2406" s="106">
        <v>13.708762886597937</v>
      </c>
      <c r="AA2406" s="106">
        <v>44179.146292585174</v>
      </c>
      <c r="AB2406" s="106">
        <v>414.37152738618846</v>
      </c>
      <c r="AC2406" s="106">
        <v>2.2635113711281369</v>
      </c>
      <c r="AD2406" s="106">
        <v>31.702668360864038</v>
      </c>
      <c r="AE2406" s="106">
        <v>106.61723446893788</v>
      </c>
      <c r="AF2406" s="106">
        <v>9.8001246493331778E-3</v>
      </c>
      <c r="AG2406" s="106">
        <v>2592</v>
      </c>
      <c r="AH2406" s="106">
        <v>17522.328257191202</v>
      </c>
      <c r="AI2406" s="106">
        <v>17522.328257191202</v>
      </c>
      <c r="AJ2406" s="106">
        <v>17189.031020868584</v>
      </c>
      <c r="AK2406" s="104">
        <v>13461.443880428653</v>
      </c>
      <c r="AL2406" s="118">
        <v>15224992</v>
      </c>
      <c r="AM2406" s="118">
        <v>3109</v>
      </c>
      <c r="AN2406" s="118">
        <v>53202</v>
      </c>
      <c r="AO2406" s="118">
        <v>363</v>
      </c>
      <c r="AP2406" s="118"/>
    </row>
    <row r="2407" spans="1:42" ht="12.75">
      <c r="A2407" s="106">
        <v>2018</v>
      </c>
      <c r="B2407" s="106">
        <v>2142</v>
      </c>
      <c r="C2407" s="106">
        <v>1</v>
      </c>
      <c r="D2407" s="106">
        <v>206604</v>
      </c>
      <c r="E2407" s="106" t="s">
        <v>3899</v>
      </c>
      <c r="F2407" s="106" t="s">
        <v>473</v>
      </c>
      <c r="G2407" s="106" t="s">
        <v>82</v>
      </c>
      <c r="H2407" s="106">
        <v>1</v>
      </c>
      <c r="I2407" s="106" t="s">
        <v>23</v>
      </c>
      <c r="J2407" s="106">
        <v>8730</v>
      </c>
      <c r="K2407" s="106">
        <v>14136</v>
      </c>
      <c r="L2407" s="106">
        <v>12619</v>
      </c>
      <c r="M2407" s="106">
        <v>0.38</v>
      </c>
      <c r="N2407" s="106">
        <v>0.6</v>
      </c>
      <c r="O2407" s="106">
        <v>0.5</v>
      </c>
      <c r="P2407" s="107">
        <v>4603</v>
      </c>
      <c r="Q2407" s="107">
        <v>2896.2649512118351</v>
      </c>
      <c r="R2407" s="106">
        <v>0.21277137737617324</v>
      </c>
      <c r="S2407" s="106">
        <v>27045.057994963801</v>
      </c>
      <c r="T2407" s="106">
        <v>20680.690352533838</v>
      </c>
      <c r="U2407" s="106">
        <v>15624.919929278494</v>
      </c>
      <c r="V2407" s="106">
        <v>0.68581686292839261</v>
      </c>
      <c r="W2407" s="106">
        <v>93479.473113616652</v>
      </c>
      <c r="X2407" s="110">
        <v>0.82022560135438871</v>
      </c>
      <c r="Y2407" s="106">
        <v>370.95</v>
      </c>
      <c r="Z2407" s="106">
        <v>13.33006993006993</v>
      </c>
      <c r="AA2407" s="106">
        <v>49332.04533199282</v>
      </c>
      <c r="AB2407" s="106">
        <v>561.48072599818204</v>
      </c>
      <c r="AC2407" s="106">
        <v>2.0270799503045942</v>
      </c>
      <c r="AD2407" s="106">
        <v>29.59558823529412</v>
      </c>
      <c r="AE2407" s="106">
        <v>87.860621118012418</v>
      </c>
      <c r="AF2407" s="106">
        <v>2.3710320280583739</v>
      </c>
      <c r="AG2407" s="106">
        <v>8730</v>
      </c>
      <c r="AH2407" s="106">
        <v>25386.771797293044</v>
      </c>
      <c r="AI2407" s="106">
        <v>26233.486229146994</v>
      </c>
      <c r="AJ2407" s="106">
        <v>27222.496852376455</v>
      </c>
      <c r="AK2407" s="104">
        <v>22325.09537299339</v>
      </c>
      <c r="AL2407" s="118">
        <v>91055767</v>
      </c>
      <c r="AM2407" s="118">
        <v>13152</v>
      </c>
      <c r="AN2407" s="118">
        <v>353639</v>
      </c>
      <c r="AO2407" s="118">
        <v>2437</v>
      </c>
      <c r="AP2407" s="118"/>
    </row>
    <row r="2408" spans="1:42" ht="12.75">
      <c r="A2408" s="106">
        <v>2018</v>
      </c>
      <c r="B2408" s="106">
        <v>-234377</v>
      </c>
      <c r="C2408" s="106">
        <v>0</v>
      </c>
      <c r="D2408" s="106">
        <v>234377</v>
      </c>
      <c r="E2408" s="106" t="s">
        <v>3619</v>
      </c>
      <c r="F2408" s="106" t="s">
        <v>3620</v>
      </c>
      <c r="G2408" s="106" t="s">
        <v>261</v>
      </c>
      <c r="H2408" s="106">
        <v>4</v>
      </c>
      <c r="I2408" s="106" t="s">
        <v>24</v>
      </c>
      <c r="J2408" s="106">
        <v>4613</v>
      </c>
      <c r="K2408" s="106">
        <v>2304</v>
      </c>
      <c r="L2408" s="106">
        <v>1398</v>
      </c>
      <c r="M2408" s="106">
        <v>0.7</v>
      </c>
      <c r="N2408" s="106">
        <v>0.05</v>
      </c>
      <c r="O2408" s="106">
        <v>0.52</v>
      </c>
      <c r="P2408" s="107">
        <v>1565</v>
      </c>
      <c r="Q2408" s="107">
        <v>42.959927140255012</v>
      </c>
      <c r="R2408" s="106">
        <v>9.003608314852321E-3</v>
      </c>
      <c r="S2408" s="106">
        <v>12080.855494839101</v>
      </c>
      <c r="T2408" s="106">
        <v>12179.787492410444</v>
      </c>
      <c r="U2408" s="106">
        <v>10410.174481662023</v>
      </c>
      <c r="V2408" s="106">
        <v>0.45421451349474118</v>
      </c>
      <c r="W2408" s="106">
        <v>85714.748299319734</v>
      </c>
      <c r="X2408" s="110">
        <v>0.62811559856850241</v>
      </c>
      <c r="Y2408" s="106">
        <v>752.60406091370555</v>
      </c>
      <c r="Z2408" s="106">
        <v>25.081218274111674</v>
      </c>
      <c r="AA2408" s="106">
        <v>21703.237178857409</v>
      </c>
      <c r="AB2408" s="106">
        <v>346.92858038682647</v>
      </c>
      <c r="AC2408" s="106">
        <v>4.6076075737409701</v>
      </c>
      <c r="AD2408" s="106">
        <v>52.007899934167213</v>
      </c>
      <c r="AE2408" s="106">
        <v>62.558227848101268</v>
      </c>
      <c r="AF2408" s="106">
        <v>8.3731489780840038E-2</v>
      </c>
      <c r="AG2408" s="106">
        <v>4253</v>
      </c>
      <c r="AH2408" s="106">
        <v>11634.481481481482</v>
      </c>
      <c r="AI2408" s="106">
        <v>11745.887067395264</v>
      </c>
      <c r="AJ2408" s="106">
        <v>12100.825743776564</v>
      </c>
      <c r="AK2408" s="104">
        <v>11880.969034608379</v>
      </c>
      <c r="AL2408" s="118">
        <v>8552580</v>
      </c>
      <c r="AM2408" s="118">
        <v>2676</v>
      </c>
      <c r="AN2408" s="118">
        <v>49421</v>
      </c>
      <c r="AO2408" s="118">
        <v>353</v>
      </c>
      <c r="AP2408" s="118"/>
    </row>
    <row r="2409" spans="1:42" ht="12.75">
      <c r="A2409" s="106">
        <v>2018</v>
      </c>
      <c r="B2409" s="106">
        <v>-206622</v>
      </c>
      <c r="C2409" s="106">
        <v>0</v>
      </c>
      <c r="D2409" s="106">
        <v>206622</v>
      </c>
      <c r="E2409" s="106" t="s">
        <v>3621</v>
      </c>
      <c r="F2409" s="106" t="s">
        <v>737</v>
      </c>
      <c r="G2409" s="106" t="s">
        <v>82</v>
      </c>
      <c r="H2409" s="106">
        <v>6</v>
      </c>
      <c r="I2409" s="106" t="s">
        <v>3640</v>
      </c>
      <c r="J2409" s="106">
        <v>37230</v>
      </c>
      <c r="K2409" s="106">
        <v>31240</v>
      </c>
      <c r="L2409" s="106">
        <v>25913</v>
      </c>
      <c r="M2409" s="106">
        <v>0.17</v>
      </c>
      <c r="N2409" s="106">
        <v>0.62</v>
      </c>
      <c r="O2409" s="106">
        <v>0.99</v>
      </c>
      <c r="P2409" s="107">
        <v>20117</v>
      </c>
      <c r="Q2409" s="107">
        <v>12822.767020612117</v>
      </c>
      <c r="R2409" s="106">
        <v>0.42194155700683905</v>
      </c>
      <c r="S2409" s="106">
        <v>30235.321673953778</v>
      </c>
      <c r="T2409" s="106">
        <v>29157.870081199249</v>
      </c>
      <c r="U2409" s="106">
        <v>20712.632302049158</v>
      </c>
      <c r="V2409" s="106">
        <v>0.84813679294172861</v>
      </c>
      <c r="W2409" s="106">
        <v>95153.56489945155</v>
      </c>
      <c r="X2409" s="110">
        <v>0.55748766916407377</v>
      </c>
      <c r="Y2409" s="106">
        <v>366.07942973523421</v>
      </c>
      <c r="Z2409" s="106">
        <v>13.042769857433809</v>
      </c>
      <c r="AA2409" s="106">
        <v>79048.687283863401</v>
      </c>
      <c r="AB2409" s="106">
        <v>737.95486529429354</v>
      </c>
      <c r="AC2409" s="106">
        <v>1.2650431453833071</v>
      </c>
      <c r="AD2409" s="106">
        <v>29.490333919156413</v>
      </c>
      <c r="AE2409" s="106">
        <v>107.11859356376638</v>
      </c>
      <c r="AF2409" s="106">
        <v>7.6009233849145347E-2</v>
      </c>
      <c r="AG2409" s="106">
        <v>37000</v>
      </c>
      <c r="AH2409" s="106">
        <v>26703.935040599627</v>
      </c>
      <c r="AI2409" s="106">
        <v>30235.321673953778</v>
      </c>
      <c r="AJ2409" s="106">
        <v>32235.009369144285</v>
      </c>
      <c r="AK2409" s="104">
        <v>21100.718301061836</v>
      </c>
      <c r="AL2409" s="118"/>
      <c r="AM2409" s="118">
        <v>4634</v>
      </c>
      <c r="AN2409" s="118">
        <v>179745</v>
      </c>
      <c r="AO2409" s="118">
        <v>945</v>
      </c>
      <c r="AP2409" s="118"/>
    </row>
    <row r="2410" spans="1:42" ht="12.75">
      <c r="A2410" s="106">
        <v>2018</v>
      </c>
      <c r="B2410" s="106">
        <v>-160904</v>
      </c>
      <c r="C2410" s="106">
        <v>0</v>
      </c>
      <c r="D2410" s="106">
        <v>160904</v>
      </c>
      <c r="E2410" s="106" t="s">
        <v>3622</v>
      </c>
      <c r="F2410" s="106" t="s">
        <v>1031</v>
      </c>
      <c r="G2410" s="106" t="s">
        <v>306</v>
      </c>
      <c r="H2410" s="106">
        <v>6</v>
      </c>
      <c r="I2410" s="106" t="s">
        <v>3640</v>
      </c>
      <c r="J2410" s="106">
        <v>23606</v>
      </c>
      <c r="K2410" s="106">
        <v>18227</v>
      </c>
      <c r="L2410" s="106">
        <v>17314</v>
      </c>
      <c r="M2410" s="106">
        <v>0.56999999999999995</v>
      </c>
      <c r="N2410" s="106">
        <v>0.76</v>
      </c>
      <c r="O2410" s="106">
        <v>0.8</v>
      </c>
      <c r="P2410" s="107">
        <v>11815</v>
      </c>
      <c r="Q2410" s="107">
        <v>7413.7270596115204</v>
      </c>
      <c r="R2410" s="106">
        <v>0.30271704455993992</v>
      </c>
      <c r="S2410" s="106">
        <v>80164.166778298721</v>
      </c>
      <c r="T2410" s="106">
        <v>38648.497655726722</v>
      </c>
      <c r="U2410" s="106">
        <v>24245.555661694514</v>
      </c>
      <c r="V2410" s="106">
        <v>0.70433071209168496</v>
      </c>
      <c r="W2410" s="106">
        <v>84859.933668801474</v>
      </c>
      <c r="X2410" s="110">
        <v>0.53580797178173789</v>
      </c>
      <c r="Y2410" s="106">
        <v>310.02202643171807</v>
      </c>
      <c r="Z2410" s="106">
        <v>13.154185022026432</v>
      </c>
      <c r="AA2410" s="106">
        <v>145668.46922700165</v>
      </c>
      <c r="AB2410" s="106">
        <v>1028.7350508819868</v>
      </c>
      <c r="AC2410" s="106">
        <v>0.68649036082177517</v>
      </c>
      <c r="AD2410" s="106">
        <v>16.864608076009503</v>
      </c>
      <c r="AE2410" s="106">
        <v>141.59959758551307</v>
      </c>
      <c r="AF2410" s="106">
        <v>0.50481883480573253</v>
      </c>
      <c r="AG2410" s="106">
        <v>21212</v>
      </c>
      <c r="AH2410" s="106">
        <v>76111.494641661091</v>
      </c>
      <c r="AI2410" s="106">
        <v>78953.633623576694</v>
      </c>
      <c r="AJ2410" s="106">
        <v>84275.392163429337</v>
      </c>
      <c r="AK2410" s="104">
        <v>35352.678499665104</v>
      </c>
      <c r="AL2410" s="118"/>
      <c r="AM2410" s="118">
        <v>2293</v>
      </c>
      <c r="AN2410" s="118">
        <v>70375</v>
      </c>
      <c r="AO2410" s="118">
        <v>299</v>
      </c>
      <c r="AP2410" s="118"/>
    </row>
    <row r="2411" spans="1:42" ht="12.75">
      <c r="A2411" s="106">
        <v>2018</v>
      </c>
      <c r="B2411" s="106">
        <v>-237109</v>
      </c>
      <c r="C2411" s="106">
        <v>0</v>
      </c>
      <c r="D2411" s="106">
        <v>237109</v>
      </c>
      <c r="E2411" s="106" t="s">
        <v>4244</v>
      </c>
      <c r="F2411" s="106" t="s">
        <v>3623</v>
      </c>
      <c r="G2411" s="106" t="s">
        <v>182</v>
      </c>
      <c r="H2411" s="106">
        <v>4</v>
      </c>
      <c r="I2411" s="106" t="s">
        <v>24</v>
      </c>
      <c r="J2411" s="106">
        <v>4409</v>
      </c>
      <c r="K2411" s="106">
        <v>8264</v>
      </c>
      <c r="L2411" s="106">
        <v>7111</v>
      </c>
      <c r="M2411" s="106">
        <v>0.53</v>
      </c>
      <c r="N2411" s="106">
        <v>0.08</v>
      </c>
      <c r="O2411" s="106">
        <v>0.14000000000000001</v>
      </c>
      <c r="P2411" s="107">
        <v>946</v>
      </c>
      <c r="Q2411" s="107">
        <v>695.95219457646067</v>
      </c>
      <c r="R2411" s="106">
        <v>0.18432255627328906</v>
      </c>
      <c r="S2411" s="106">
        <v>16066.048644115181</v>
      </c>
      <c r="T2411" s="106">
        <v>16103.246575342466</v>
      </c>
      <c r="U2411" s="106">
        <v>11674.393625943529</v>
      </c>
      <c r="V2411" s="106">
        <v>0.26380622800580067</v>
      </c>
      <c r="W2411" s="106">
        <v>82528.366925064605</v>
      </c>
      <c r="X2411" s="110">
        <v>0.55447482594710995</v>
      </c>
      <c r="Y2411" s="106">
        <v>889.39226519337012</v>
      </c>
      <c r="Z2411" s="106">
        <v>19.762430939226519</v>
      </c>
      <c r="AA2411" s="106">
        <v>29553.648973814579</v>
      </c>
      <c r="AB2411" s="106">
        <v>259.40679587526398</v>
      </c>
      <c r="AC2411" s="106">
        <v>3.3836769222170502</v>
      </c>
      <c r="AD2411" s="106">
        <v>42.948328267477201</v>
      </c>
      <c r="AE2411" s="106">
        <v>113.92781316348196</v>
      </c>
      <c r="AF2411" s="106">
        <v>4.9267499637765111E-3</v>
      </c>
      <c r="AG2411" s="106">
        <v>3936</v>
      </c>
      <c r="AH2411" s="106">
        <v>14329.924797316187</v>
      </c>
      <c r="AI2411" s="106">
        <v>14329.924797316187</v>
      </c>
      <c r="AJ2411" s="106">
        <v>16134.172211350293</v>
      </c>
      <c r="AK2411" s="104">
        <v>15078.868604976236</v>
      </c>
      <c r="AL2411" s="118">
        <v>19965153</v>
      </c>
      <c r="AM2411" s="118">
        <v>4007</v>
      </c>
      <c r="AN2411" s="118">
        <v>160980</v>
      </c>
      <c r="AO2411" s="118">
        <v>905</v>
      </c>
      <c r="AP2411" s="118"/>
    </row>
    <row r="2412" spans="1:42" ht="12.75">
      <c r="A2412" s="106">
        <v>2018</v>
      </c>
      <c r="B2412" s="106">
        <v>-130794</v>
      </c>
      <c r="C2412" s="106">
        <v>0</v>
      </c>
      <c r="D2412" s="106">
        <v>130794</v>
      </c>
      <c r="E2412" s="106" t="s">
        <v>3624</v>
      </c>
      <c r="F2412" s="106" t="s">
        <v>98</v>
      </c>
      <c r="G2412" s="106" t="s">
        <v>99</v>
      </c>
      <c r="H2412" s="106">
        <v>5</v>
      </c>
      <c r="I2412" s="106" t="s">
        <v>3639</v>
      </c>
      <c r="J2412" s="106">
        <v>51400</v>
      </c>
      <c r="K2412" s="106">
        <v>18748</v>
      </c>
      <c r="L2412" s="106">
        <v>2315</v>
      </c>
      <c r="M2412" s="106">
        <v>0.16</v>
      </c>
      <c r="N2412" s="106">
        <v>0.08</v>
      </c>
      <c r="O2412" s="106">
        <v>0.51</v>
      </c>
      <c r="P2412" s="107">
        <v>50382</v>
      </c>
      <c r="Q2412" s="107">
        <v>23909.539388860238</v>
      </c>
      <c r="R2412" s="106">
        <v>0.62643577533517436</v>
      </c>
      <c r="S2412" s="106">
        <v>179874.64356627126</v>
      </c>
      <c r="T2412" s="106">
        <v>235808.93082774626</v>
      </c>
      <c r="U2412" s="106">
        <v>157960.9451116506</v>
      </c>
      <c r="V2412" s="106">
        <v>9.026309322611592E-2</v>
      </c>
      <c r="W2412" s="106">
        <v>154803.01800512453</v>
      </c>
      <c r="X2412" s="110">
        <v>0.61112295427237973</v>
      </c>
      <c r="Y2412" s="106">
        <v>75.637020878778443</v>
      </c>
      <c r="Z2412" s="106">
        <v>2.9003427859146154</v>
      </c>
      <c r="AA2412" s="106">
        <v>545235.91022962262</v>
      </c>
      <c r="AB2412" s="106">
        <v>6057.0985251399743</v>
      </c>
      <c r="AC2412" s="106">
        <v>0.18340684852889758</v>
      </c>
      <c r="AD2412" s="106">
        <v>34.796747967479675</v>
      </c>
      <c r="AE2412" s="106">
        <v>90.01602136181576</v>
      </c>
      <c r="AF2412" s="106">
        <v>0.11284548300606104</v>
      </c>
      <c r="AG2412" s="106">
        <v>51400</v>
      </c>
      <c r="AH2412" s="106">
        <v>141323.16245487364</v>
      </c>
      <c r="AI2412" s="106">
        <v>175311.83296802474</v>
      </c>
      <c r="AJ2412" s="106">
        <v>406243.28371583292</v>
      </c>
      <c r="AK2412" s="104">
        <v>235808.93082774626</v>
      </c>
      <c r="AL2412" s="118"/>
      <c r="AM2412" s="118">
        <v>5746</v>
      </c>
      <c r="AN2412" s="118">
        <v>404532</v>
      </c>
      <c r="AO2412" s="118">
        <v>1313</v>
      </c>
      <c r="AP2412" s="118"/>
    </row>
    <row r="2413" spans="1:42" ht="12.75">
      <c r="A2413" s="106">
        <v>2018</v>
      </c>
      <c r="B2413" s="106">
        <v>-106148</v>
      </c>
      <c r="C2413" s="106">
        <v>0</v>
      </c>
      <c r="D2413" s="106">
        <v>106148</v>
      </c>
      <c r="E2413" s="106" t="s">
        <v>3625</v>
      </c>
      <c r="F2413" s="106" t="s">
        <v>1175</v>
      </c>
      <c r="G2413" s="106" t="s">
        <v>147</v>
      </c>
      <c r="H2413" s="106">
        <v>4</v>
      </c>
      <c r="I2413" s="106" t="s">
        <v>24</v>
      </c>
      <c r="J2413" s="106">
        <v>2280</v>
      </c>
      <c r="K2413" s="106">
        <v>6697</v>
      </c>
      <c r="L2413" s="106">
        <v>6303</v>
      </c>
      <c r="M2413" s="106">
        <v>0.56000000000000005</v>
      </c>
      <c r="N2413" s="106">
        <v>0.14000000000000001</v>
      </c>
      <c r="O2413" s="106">
        <v>0.23</v>
      </c>
      <c r="P2413" s="107">
        <v>3899</v>
      </c>
      <c r="Q2413" s="107">
        <v>336.11688311688312</v>
      </c>
      <c r="R2413" s="106">
        <v>0.10580511509570208</v>
      </c>
      <c r="S2413" s="106">
        <v>19705.708719851576</v>
      </c>
      <c r="T2413" s="106">
        <v>16605.135701033661</v>
      </c>
      <c r="U2413" s="106">
        <v>13334.641445756173</v>
      </c>
      <c r="V2413" s="106">
        <v>0.2130269269254195</v>
      </c>
      <c r="W2413" s="106">
        <v>84555.569124423957</v>
      </c>
      <c r="X2413" s="110">
        <v>0.58573707242563056</v>
      </c>
      <c r="Y2413" s="106">
        <v>898.31746031746036</v>
      </c>
      <c r="Z2413" s="106">
        <v>29.944444444444443</v>
      </c>
      <c r="AA2413" s="106">
        <v>32480.053050250513</v>
      </c>
      <c r="AB2413" s="106">
        <v>444.49590217017743</v>
      </c>
      <c r="AC2413" s="106">
        <v>3.0788127053021768</v>
      </c>
      <c r="AD2413" s="106">
        <v>43.05169538632574</v>
      </c>
      <c r="AE2413" s="106">
        <v>73.071659134925753</v>
      </c>
      <c r="AF2413" s="106">
        <v>0.10577584991965149</v>
      </c>
      <c r="AG2413" s="106">
        <v>2280</v>
      </c>
      <c r="AH2413" s="106">
        <v>17709.234826398093</v>
      </c>
      <c r="AI2413" s="106">
        <v>18078.440233236153</v>
      </c>
      <c r="AJ2413" s="106">
        <v>19757.524251258947</v>
      </c>
      <c r="AK2413" s="104">
        <v>15916.648290485025</v>
      </c>
      <c r="AL2413" s="118">
        <v>50666380</v>
      </c>
      <c r="AM2413" s="118">
        <v>7370</v>
      </c>
      <c r="AN2413" s="118">
        <v>113188</v>
      </c>
      <c r="AO2413" s="118">
        <v>484</v>
      </c>
      <c r="AP2413" s="118"/>
    </row>
    <row r="2414" spans="1:42" ht="12.75">
      <c r="A2414" s="106">
        <v>2018</v>
      </c>
      <c r="B2414" s="106">
        <v>-197708</v>
      </c>
      <c r="C2414" s="106">
        <v>0</v>
      </c>
      <c r="D2414" s="106">
        <v>197708</v>
      </c>
      <c r="E2414" s="106" t="s">
        <v>3626</v>
      </c>
      <c r="F2414" s="106" t="s">
        <v>290</v>
      </c>
      <c r="G2414" s="106" t="s">
        <v>69</v>
      </c>
      <c r="H2414" s="106">
        <v>5</v>
      </c>
      <c r="I2414" s="106" t="s">
        <v>3639</v>
      </c>
      <c r="J2414" s="106">
        <v>42000</v>
      </c>
      <c r="K2414" s="106">
        <v>32995</v>
      </c>
      <c r="L2414" s="106">
        <v>24449</v>
      </c>
      <c r="M2414" s="106">
        <v>0.18</v>
      </c>
      <c r="N2414" s="106">
        <v>0.37</v>
      </c>
      <c r="O2414" s="106">
        <v>0.89</v>
      </c>
      <c r="P2414" s="107">
        <v>26246</v>
      </c>
      <c r="Q2414" s="107">
        <v>14786.211699164345</v>
      </c>
      <c r="R2414" s="106">
        <v>0.4523602818596773</v>
      </c>
      <c r="S2414" s="106">
        <v>29790.912256267409</v>
      </c>
      <c r="T2414" s="106">
        <v>43237.639275766014</v>
      </c>
      <c r="U2414" s="106">
        <v>36243.680593589743</v>
      </c>
      <c r="V2414" s="106">
        <v>0.49389553237514089</v>
      </c>
      <c r="W2414" s="106">
        <v>38644.575578756238</v>
      </c>
      <c r="X2414" s="110">
        <v>0.4570517440619753</v>
      </c>
      <c r="Y2414" s="106">
        <v>87.707119741100328</v>
      </c>
      <c r="Z2414" s="106">
        <v>4.6472491909385116</v>
      </c>
      <c r="AA2414" s="106">
        <v>102654.68507375715</v>
      </c>
      <c r="AB2414" s="106">
        <v>1920.4075542827841</v>
      </c>
      <c r="AC2414" s="106">
        <v>0.97413965985235096</v>
      </c>
      <c r="AD2414" s="106">
        <v>35.906515580736539</v>
      </c>
      <c r="AE2414" s="106">
        <v>53.454635108481263</v>
      </c>
      <c r="AF2414" s="106">
        <v>-6.3906575651542091E-2</v>
      </c>
      <c r="AG2414" s="106">
        <v>40000</v>
      </c>
      <c r="AH2414" s="106">
        <v>23641.016713091922</v>
      </c>
      <c r="AI2414" s="106">
        <v>29803.795264623954</v>
      </c>
      <c r="AJ2414" s="106">
        <v>36255.22284122563</v>
      </c>
      <c r="AK2414" s="104">
        <v>37365.250696378833</v>
      </c>
      <c r="AL2414" s="118">
        <v>355000</v>
      </c>
      <c r="AM2414" s="118">
        <v>2757</v>
      </c>
      <c r="AN2414" s="118">
        <v>108406</v>
      </c>
      <c r="AO2414" s="118">
        <v>1064</v>
      </c>
      <c r="AP2414" s="118"/>
    </row>
    <row r="2415" spans="1:42" ht="12.75">
      <c r="A2415" s="106">
        <v>2018</v>
      </c>
      <c r="B2415" s="106">
        <v>-181853</v>
      </c>
      <c r="C2415" s="106">
        <v>0</v>
      </c>
      <c r="D2415" s="106">
        <v>181853</v>
      </c>
      <c r="E2415" s="106" t="s">
        <v>3627</v>
      </c>
      <c r="F2415" s="106" t="s">
        <v>2441</v>
      </c>
      <c r="G2415" s="106" t="s">
        <v>323</v>
      </c>
      <c r="H2415" s="106">
        <v>7</v>
      </c>
      <c r="I2415" s="106" t="s">
        <v>3641</v>
      </c>
      <c r="J2415" s="106">
        <v>18760</v>
      </c>
      <c r="K2415" s="106">
        <v>15099</v>
      </c>
      <c r="L2415" s="106">
        <v>15952</v>
      </c>
      <c r="M2415" s="106">
        <v>0.5</v>
      </c>
      <c r="N2415" s="106">
        <v>0.75</v>
      </c>
      <c r="O2415" s="106">
        <v>0.97</v>
      </c>
      <c r="P2415" s="107">
        <v>10614</v>
      </c>
      <c r="Q2415" s="107">
        <v>8330.5823927765232</v>
      </c>
      <c r="R2415" s="106">
        <v>0.4813339444271556</v>
      </c>
      <c r="S2415" s="106">
        <v>18375.180586907449</v>
      </c>
      <c r="T2415" s="106">
        <v>23408.600451467268</v>
      </c>
      <c r="U2415" s="106">
        <v>19285.627539503384</v>
      </c>
      <c r="V2415" s="106">
        <v>0.4654606004330995</v>
      </c>
      <c r="W2415" s="106">
        <v>51442.128712871287</v>
      </c>
      <c r="X2415" s="110">
        <v>0.50102699997396338</v>
      </c>
      <c r="Y2415" s="106">
        <v>384.64705882352939</v>
      </c>
      <c r="Z2415" s="106">
        <v>13.029411764705882</v>
      </c>
      <c r="AA2415" s="106">
        <v>76281.544642857145</v>
      </c>
      <c r="AB2415" s="106">
        <v>653.27519498394247</v>
      </c>
      <c r="AC2415" s="106">
        <v>1.3109330765153011</v>
      </c>
      <c r="AD2415" s="106">
        <v>26.229508196721312</v>
      </c>
      <c r="AE2415" s="106">
        <v>116.76785714285714</v>
      </c>
      <c r="AF2415" s="106">
        <v>-4.025929944923063E-2</v>
      </c>
      <c r="AG2415" s="106">
        <v>18360</v>
      </c>
      <c r="AH2415" s="106">
        <v>15770.704288939052</v>
      </c>
      <c r="AI2415" s="106">
        <v>18375.180586907449</v>
      </c>
      <c r="AJ2415" s="106">
        <v>21410.426636568849</v>
      </c>
      <c r="AK2415" s="104">
        <v>19285.627539503384</v>
      </c>
      <c r="AL2415" s="118"/>
      <c r="AM2415" s="118">
        <v>431</v>
      </c>
      <c r="AN2415" s="118">
        <v>13078</v>
      </c>
      <c r="AO2415" s="118">
        <v>96</v>
      </c>
      <c r="AP2415" s="118"/>
    </row>
    <row r="2416" spans="1:42" ht="12.75">
      <c r="A2416" s="106">
        <v>2018</v>
      </c>
      <c r="B2416" s="106">
        <v>-217059</v>
      </c>
      <c r="C2416" s="106">
        <v>0</v>
      </c>
      <c r="D2416" s="106">
        <v>217059</v>
      </c>
      <c r="E2416" s="106" t="s">
        <v>4245</v>
      </c>
      <c r="F2416" s="106" t="s">
        <v>2441</v>
      </c>
      <c r="G2416" s="106" t="s">
        <v>104</v>
      </c>
      <c r="H2416" s="106">
        <v>6</v>
      </c>
      <c r="I2416" s="106" t="s">
        <v>3640</v>
      </c>
      <c r="J2416" s="106">
        <v>19430</v>
      </c>
      <c r="K2416" s="106">
        <v>21474</v>
      </c>
      <c r="L2416" s="106">
        <v>17346</v>
      </c>
      <c r="M2416" s="106">
        <v>0.32</v>
      </c>
      <c r="N2416" s="106">
        <v>0.77</v>
      </c>
      <c r="O2416" s="106">
        <v>0.99</v>
      </c>
      <c r="P2416" s="107">
        <v>7183</v>
      </c>
      <c r="Q2416" s="107">
        <v>5492.5749213265553</v>
      </c>
      <c r="R2416" s="106">
        <v>0.26819048326437844</v>
      </c>
      <c r="S2416" s="106">
        <v>23642.32994432341</v>
      </c>
      <c r="T2416" s="106">
        <v>24759.911643669813</v>
      </c>
      <c r="U2416" s="106">
        <v>18718.514914836636</v>
      </c>
      <c r="V2416" s="106">
        <v>0.80068057035751672</v>
      </c>
      <c r="W2416" s="106">
        <v>88675.129639591178</v>
      </c>
      <c r="X2416" s="110">
        <v>0.53722434071403424</v>
      </c>
      <c r="Y2416" s="106">
        <v>443.54347826086956</v>
      </c>
      <c r="Z2416" s="106">
        <v>14.967391304347826</v>
      </c>
      <c r="AA2416" s="106">
        <v>80130.76177532658</v>
      </c>
      <c r="AB2416" s="106">
        <v>631.65698764225965</v>
      </c>
      <c r="AC2416" s="106">
        <v>1.2479601813893082</v>
      </c>
      <c r="AD2416" s="106">
        <v>23.680981595092025</v>
      </c>
      <c r="AE2416" s="106">
        <v>126.8580310880829</v>
      </c>
      <c r="AF2416" s="106">
        <v>2.8063105678031143E-2</v>
      </c>
      <c r="AG2416" s="106">
        <v>17560</v>
      </c>
      <c r="AH2416" s="106">
        <v>22332.537158073104</v>
      </c>
      <c r="AI2416" s="106">
        <v>23659.300411522632</v>
      </c>
      <c r="AJ2416" s="106">
        <v>27414.105301379812</v>
      </c>
      <c r="AK2416" s="104">
        <v>18770.11304768821</v>
      </c>
      <c r="AL2416" s="118"/>
      <c r="AM2416" s="118">
        <v>4171</v>
      </c>
      <c r="AN2416" s="118">
        <v>122418</v>
      </c>
      <c r="AO2416" s="118">
        <v>910</v>
      </c>
      <c r="AP2416" s="118"/>
    </row>
    <row r="2417" spans="1:42" ht="12.75">
      <c r="A2417" s="106">
        <v>2018</v>
      </c>
      <c r="B2417" s="106">
        <v>-420440</v>
      </c>
      <c r="C2417" s="106">
        <v>0</v>
      </c>
      <c r="D2417" s="106">
        <v>420440</v>
      </c>
      <c r="E2417" s="106" t="s">
        <v>3628</v>
      </c>
      <c r="F2417" s="106" t="s">
        <v>3629</v>
      </c>
      <c r="G2417" s="106" t="s">
        <v>301</v>
      </c>
      <c r="H2417" s="106">
        <v>4</v>
      </c>
      <c r="I2417" s="106" t="s">
        <v>24</v>
      </c>
      <c r="J2417" s="106">
        <v>3570</v>
      </c>
      <c r="K2417" s="106">
        <v>8350</v>
      </c>
      <c r="L2417" s="106">
        <v>7254</v>
      </c>
      <c r="M2417" s="106">
        <v>0.57999999999999996</v>
      </c>
      <c r="N2417" s="106">
        <v>0.18</v>
      </c>
      <c r="O2417" s="106">
        <v>0.39</v>
      </c>
      <c r="P2417" s="107">
        <v>1171</v>
      </c>
      <c r="Q2417" s="107">
        <v>224.81349693251533</v>
      </c>
      <c r="R2417" s="106">
        <v>6.1245780688741341E-2</v>
      </c>
      <c r="S2417" s="106">
        <v>11533.684662576687</v>
      </c>
      <c r="T2417" s="106">
        <v>12001.41226993865</v>
      </c>
      <c r="U2417" s="106">
        <v>11935.559585311043</v>
      </c>
      <c r="V2417" s="106">
        <v>0.2887056764327805</v>
      </c>
      <c r="W2417" s="106">
        <v>70991.257053291527</v>
      </c>
      <c r="X2417" s="110">
        <v>0.77176367075817565</v>
      </c>
      <c r="Y2417" s="106">
        <v>439.32934131736528</v>
      </c>
      <c r="Z2417" s="106">
        <v>14.640718562874252</v>
      </c>
      <c r="AA2417" s="106">
        <v>42110.307627829003</v>
      </c>
      <c r="AB2417" s="106">
        <v>397.75437774077932</v>
      </c>
      <c r="AC2417" s="106">
        <v>2.3747154944532878</v>
      </c>
      <c r="AD2417" s="106">
        <v>27.565632458233893</v>
      </c>
      <c r="AE2417" s="106">
        <v>105.87012987012987</v>
      </c>
      <c r="AF2417" s="106">
        <v>-1.0167438680863396E-2</v>
      </c>
      <c r="AG2417" s="106">
        <v>2760</v>
      </c>
      <c r="AH2417" s="106">
        <v>11900.168098159509</v>
      </c>
      <c r="AI2417" s="106">
        <v>11959.715337423313</v>
      </c>
      <c r="AJ2417" s="106">
        <v>11589.655214723927</v>
      </c>
      <c r="AK2417" s="104">
        <v>12001.41226993865</v>
      </c>
      <c r="AL2417" s="118">
        <v>4918959</v>
      </c>
      <c r="AM2417" s="118">
        <v>1708</v>
      </c>
      <c r="AN2417" s="118">
        <v>24456</v>
      </c>
      <c r="AO2417" s="118">
        <v>199</v>
      </c>
      <c r="AP2417" s="118"/>
    </row>
    <row r="2418" spans="1:42" ht="12.75">
      <c r="A2418" s="106">
        <v>2018</v>
      </c>
      <c r="B2418" s="106">
        <v>-218991</v>
      </c>
      <c r="C2418" s="106">
        <v>0</v>
      </c>
      <c r="D2418" s="106">
        <v>218991</v>
      </c>
      <c r="E2418" s="106" t="s">
        <v>3630</v>
      </c>
      <c r="F2418" s="106" t="s">
        <v>778</v>
      </c>
      <c r="G2418" s="106" t="s">
        <v>79</v>
      </c>
      <c r="H2418" s="106">
        <v>4</v>
      </c>
      <c r="I2418" s="106" t="s">
        <v>24</v>
      </c>
      <c r="J2418" s="106">
        <v>4457</v>
      </c>
      <c r="K2418" s="106">
        <v>7733</v>
      </c>
      <c r="L2418" s="106">
        <v>6270</v>
      </c>
      <c r="M2418" s="106">
        <v>0.51</v>
      </c>
      <c r="N2418" s="106">
        <v>0.24</v>
      </c>
      <c r="O2418" s="106">
        <v>0</v>
      </c>
      <c r="P2418" s="107"/>
      <c r="Q2418" s="107">
        <v>221.91859088217879</v>
      </c>
      <c r="R2418" s="106">
        <v>3.4311559012562214E-2</v>
      </c>
      <c r="S2418" s="106">
        <v>12387.916222616934</v>
      </c>
      <c r="T2418" s="106">
        <v>12978.343694493784</v>
      </c>
      <c r="U2418" s="106">
        <v>9477.0686796921254</v>
      </c>
      <c r="V2418" s="106">
        <v>0.65904677577342441</v>
      </c>
      <c r="W2418" s="106">
        <v>67252.711794019939</v>
      </c>
      <c r="X2418" s="110">
        <v>0.61565316544423354</v>
      </c>
      <c r="Y2418" s="106">
        <v>532.41330998248691</v>
      </c>
      <c r="Z2418" s="106">
        <v>17.747810858143609</v>
      </c>
      <c r="AA2418" s="106">
        <v>31633.930830039524</v>
      </c>
      <c r="AB2418" s="106">
        <v>315.91475882213626</v>
      </c>
      <c r="AC2418" s="106">
        <v>3.1611626306345775</v>
      </c>
      <c r="AD2418" s="106">
        <v>33.521033454786355</v>
      </c>
      <c r="AE2418" s="106">
        <v>100.13438735177866</v>
      </c>
      <c r="AF2418" s="106">
        <v>-2.1148282084311902E-2</v>
      </c>
      <c r="AG2418" s="106">
        <v>3960</v>
      </c>
      <c r="AH2418" s="106">
        <v>12795.666074600354</v>
      </c>
      <c r="AI2418" s="106">
        <v>12795.666074600354</v>
      </c>
      <c r="AJ2418" s="106">
        <v>12382.536412078152</v>
      </c>
      <c r="AK2418" s="104">
        <v>11057.158081705151</v>
      </c>
      <c r="AL2418" s="118">
        <v>11827793</v>
      </c>
      <c r="AM2418" s="118">
        <v>4538</v>
      </c>
      <c r="AN2418" s="118">
        <v>101336</v>
      </c>
      <c r="AO2418" s="118">
        <v>605</v>
      </c>
      <c r="AP2418" s="118"/>
    </row>
    <row r="2419" spans="1:42" ht="12.75">
      <c r="A2419" s="106">
        <v>2018</v>
      </c>
      <c r="B2419" s="106">
        <v>-141361</v>
      </c>
      <c r="C2419" s="106">
        <v>0</v>
      </c>
      <c r="D2419" s="106">
        <v>141361</v>
      </c>
      <c r="E2419" s="106" t="s">
        <v>3631</v>
      </c>
      <c r="F2419" s="106" t="s">
        <v>3632</v>
      </c>
      <c r="G2419" s="106" t="s">
        <v>63</v>
      </c>
      <c r="H2419" s="106">
        <v>7</v>
      </c>
      <c r="I2419" s="106" t="s">
        <v>3641</v>
      </c>
      <c r="J2419" s="106">
        <v>29062</v>
      </c>
      <c r="K2419" s="106">
        <v>18153</v>
      </c>
      <c r="L2419" s="106">
        <v>14757</v>
      </c>
      <c r="M2419" s="106">
        <v>0.43</v>
      </c>
      <c r="N2419" s="106">
        <v>0.69</v>
      </c>
      <c r="O2419" s="106">
        <v>1</v>
      </c>
      <c r="P2419" s="107">
        <v>18599</v>
      </c>
      <c r="Q2419" s="107">
        <v>16409.574450084601</v>
      </c>
      <c r="R2419" s="106">
        <v>0.65748011317701383</v>
      </c>
      <c r="S2419" s="106">
        <v>24764.043147208122</v>
      </c>
      <c r="T2419" s="106">
        <v>28691.530456852794</v>
      </c>
      <c r="U2419" s="106">
        <v>21259.128595600676</v>
      </c>
      <c r="V2419" s="106">
        <v>0.40211940406609442</v>
      </c>
      <c r="W2419" s="106">
        <v>73002.923076923078</v>
      </c>
      <c r="X2419" s="110">
        <v>0.43841864344492376</v>
      </c>
      <c r="Y2419" s="106">
        <v>351.8327402135231</v>
      </c>
      <c r="Z2419" s="106">
        <v>12.619217081850532</v>
      </c>
      <c r="AA2419" s="106">
        <v>96276.973180076631</v>
      </c>
      <c r="AB2419" s="106">
        <v>762.50311030192688</v>
      </c>
      <c r="AC2419" s="106">
        <v>1.0386699612269676</v>
      </c>
      <c r="AD2419" s="106">
        <v>23.988970588235293</v>
      </c>
      <c r="AE2419" s="106">
        <v>126.26436781609195</v>
      </c>
      <c r="AF2419" s="106">
        <v>2.3492758230531176E-2</v>
      </c>
      <c r="AG2419" s="106">
        <v>28012</v>
      </c>
      <c r="AH2419" s="106">
        <v>17710.514382402707</v>
      </c>
      <c r="AI2419" s="106">
        <v>24813.530456852794</v>
      </c>
      <c r="AJ2419" s="106">
        <v>31555.995769881556</v>
      </c>
      <c r="AK2419" s="104">
        <v>21259.128595600676</v>
      </c>
      <c r="AL2419" s="118"/>
      <c r="AM2419" s="118">
        <v>1202</v>
      </c>
      <c r="AN2419" s="118">
        <v>32955</v>
      </c>
      <c r="AO2419" s="118">
        <v>261</v>
      </c>
      <c r="AP2419" s="118"/>
    </row>
    <row r="2420" spans="1:42" ht="12.75">
      <c r="A2420" s="106">
        <v>2018</v>
      </c>
      <c r="B2420" s="106">
        <v>-206695</v>
      </c>
      <c r="C2420" s="106">
        <v>0</v>
      </c>
      <c r="D2420" s="106">
        <v>206695</v>
      </c>
      <c r="E2420" s="106" t="s">
        <v>3633</v>
      </c>
      <c r="F2420" s="106" t="s">
        <v>3634</v>
      </c>
      <c r="G2420" s="106" t="s">
        <v>82</v>
      </c>
      <c r="H2420" s="106">
        <v>2</v>
      </c>
      <c r="I2420" s="106" t="s">
        <v>25</v>
      </c>
      <c r="J2420" s="106">
        <v>8451</v>
      </c>
      <c r="K2420" s="106">
        <v>11033</v>
      </c>
      <c r="L2420" s="106">
        <v>8556</v>
      </c>
      <c r="M2420" s="106">
        <v>0.43</v>
      </c>
      <c r="N2420" s="106">
        <v>0.56999999999999995</v>
      </c>
      <c r="O2420" s="106">
        <v>0.71</v>
      </c>
      <c r="P2420" s="107">
        <v>5322</v>
      </c>
      <c r="Q2420" s="107">
        <v>2263.462094854422</v>
      </c>
      <c r="R2420" s="106">
        <v>0.22655491713552928</v>
      </c>
      <c r="S2420" s="106">
        <v>17548.59668558872</v>
      </c>
      <c r="T2420" s="106">
        <v>15306.783739241897</v>
      </c>
      <c r="U2420" s="106">
        <v>12175.887534448155</v>
      </c>
      <c r="V2420" s="106">
        <v>0.63464167610709588</v>
      </c>
      <c r="W2420" s="106">
        <v>61299.036943955769</v>
      </c>
      <c r="X2420" s="110">
        <v>0.48631785780621128</v>
      </c>
      <c r="Y2420" s="106">
        <v>536.31197301854979</v>
      </c>
      <c r="Z2420" s="106">
        <v>18.418212478920744</v>
      </c>
      <c r="AA2420" s="106">
        <v>56206.696386831252</v>
      </c>
      <c r="AB2420" s="106">
        <v>418.14856839146489</v>
      </c>
      <c r="AC2420" s="106">
        <v>1.7791474402226055</v>
      </c>
      <c r="AD2420" s="106">
        <v>22.040055891942245</v>
      </c>
      <c r="AE2420" s="106">
        <v>134.41800507185121</v>
      </c>
      <c r="AF2420" s="106">
        <v>0.63243953645847506</v>
      </c>
      <c r="AG2420" s="106">
        <v>7847</v>
      </c>
      <c r="AH2420" s="106">
        <v>15087.546786302875</v>
      </c>
      <c r="AI2420" s="106">
        <v>16111.174143929684</v>
      </c>
      <c r="AJ2420" s="106">
        <v>17954.313770371726</v>
      </c>
      <c r="AK2420" s="104">
        <v>15839.001739608131</v>
      </c>
      <c r="AL2420" s="118">
        <v>43261001</v>
      </c>
      <c r="AM2420" s="118">
        <v>11269</v>
      </c>
      <c r="AN2420" s="118">
        <v>318033</v>
      </c>
      <c r="AO2420" s="118">
        <v>1741</v>
      </c>
      <c r="AP2420" s="118"/>
    </row>
    <row r="2421" spans="1:42" ht="12.75">
      <c r="A2421" s="106">
        <v>2018</v>
      </c>
      <c r="B2421" s="106">
        <v>-126119</v>
      </c>
      <c r="C2421" s="106">
        <v>0</v>
      </c>
      <c r="D2421" s="106">
        <v>126119</v>
      </c>
      <c r="E2421" s="106" t="s">
        <v>3635</v>
      </c>
      <c r="F2421" s="106" t="s">
        <v>3636</v>
      </c>
      <c r="G2421" s="106" t="s">
        <v>121</v>
      </c>
      <c r="H2421" s="106">
        <v>4</v>
      </c>
      <c r="I2421" s="106" t="s">
        <v>24</v>
      </c>
      <c r="J2421" s="106">
        <v>1124</v>
      </c>
      <c r="K2421" s="106">
        <v>4310</v>
      </c>
      <c r="L2421" s="106">
        <v>2643</v>
      </c>
      <c r="M2421" s="106">
        <v>0.48</v>
      </c>
      <c r="N2421" s="106">
        <v>0</v>
      </c>
      <c r="O2421" s="106">
        <v>0.01</v>
      </c>
      <c r="P2421" s="107">
        <v>509</v>
      </c>
      <c r="Q2421" s="107">
        <v>30.202677651905251</v>
      </c>
      <c r="R2421" s="106">
        <v>2.7426530867612757E-2</v>
      </c>
      <c r="S2421" s="106">
        <v>12184.355921730175</v>
      </c>
      <c r="T2421" s="106">
        <v>14497.445726055612</v>
      </c>
      <c r="U2421" s="106">
        <v>9010.4767268887117</v>
      </c>
      <c r="V2421" s="106">
        <v>0.11886369279374773</v>
      </c>
      <c r="W2421" s="106">
        <v>126722.97535211267</v>
      </c>
      <c r="X2421" s="110">
        <v>0.51132022986854075</v>
      </c>
      <c r="Y2421" s="106">
        <v>767.93145869947273</v>
      </c>
      <c r="Z2421" s="106">
        <v>25.597539543057994</v>
      </c>
      <c r="AA2421" s="106">
        <v>40618.258597070278</v>
      </c>
      <c r="AB2421" s="106">
        <v>300.34716211385222</v>
      </c>
      <c r="AC2421" s="106">
        <v>2.4619470025042585</v>
      </c>
      <c r="AD2421" s="106">
        <v>37.447844228094574</v>
      </c>
      <c r="AE2421" s="106">
        <v>135.2376973073352</v>
      </c>
      <c r="AF2421" s="106">
        <v>1.2195036846023544</v>
      </c>
      <c r="AG2421" s="106">
        <v>1104</v>
      </c>
      <c r="AH2421" s="106">
        <v>10949.384757981463</v>
      </c>
      <c r="AI2421" s="106">
        <v>10949.384757981463</v>
      </c>
      <c r="AJ2421" s="106">
        <v>11080.539237899073</v>
      </c>
      <c r="AK2421" s="104">
        <v>11011.60123583934</v>
      </c>
      <c r="AL2421" s="118">
        <v>31012469</v>
      </c>
      <c r="AM2421" s="118">
        <v>5529</v>
      </c>
      <c r="AN2421" s="118">
        <v>145651</v>
      </c>
      <c r="AO2421" s="118">
        <v>863</v>
      </c>
      <c r="AP2421" s="118"/>
    </row>
    <row r="2422" spans="1:42" ht="12.75">
      <c r="A2422" s="106">
        <v>2018</v>
      </c>
      <c r="B2422" s="106">
        <v>-204255</v>
      </c>
      <c r="C2422" s="106">
        <v>0</v>
      </c>
      <c r="D2422" s="106">
        <v>204255</v>
      </c>
      <c r="E2422" s="106" t="s">
        <v>3637</v>
      </c>
      <c r="F2422" s="106" t="s">
        <v>3638</v>
      </c>
      <c r="G2422" s="106" t="s">
        <v>82</v>
      </c>
      <c r="H2422" s="106">
        <v>4</v>
      </c>
      <c r="I2422" s="106" t="s">
        <v>24</v>
      </c>
      <c r="J2422" s="106">
        <v>4646</v>
      </c>
      <c r="K2422" s="107">
        <v>4857</v>
      </c>
      <c r="L2422" s="107">
        <v>3981</v>
      </c>
      <c r="M2422" s="107">
        <v>0.5</v>
      </c>
      <c r="N2422" s="107">
        <v>0.38</v>
      </c>
      <c r="O2422" s="107">
        <v>0.32</v>
      </c>
      <c r="P2422" s="107">
        <v>2913</v>
      </c>
      <c r="Q2422" s="106">
        <v>1401.0753228120516</v>
      </c>
      <c r="R2422" s="106">
        <v>0.28830144440116123</v>
      </c>
      <c r="S2422" s="106">
        <v>13808.947632711621</v>
      </c>
      <c r="T2422" s="106">
        <v>9975.1922525107602</v>
      </c>
      <c r="U2422" s="106">
        <v>11794.03156384505</v>
      </c>
      <c r="V2422" s="106">
        <v>0.29325705193395973</v>
      </c>
      <c r="W2422" s="106">
        <v>32504.080536912752</v>
      </c>
      <c r="X2422" s="110">
        <v>0.34828927832302486</v>
      </c>
      <c r="Y2422" s="106">
        <v>578.05990783410141</v>
      </c>
      <c r="Z2422" s="106">
        <v>19.271889400921662</v>
      </c>
      <c r="AA2422" s="106">
        <v>32750.756972111554</v>
      </c>
      <c r="AB2422" s="106">
        <v>393.20020089445865</v>
      </c>
      <c r="AC2422" s="106">
        <v>3.0533645400976104</v>
      </c>
      <c r="AD2422" s="106">
        <v>38.030303030303031</v>
      </c>
      <c r="AE2422" s="107">
        <v>83.292828685258968</v>
      </c>
      <c r="AF2422" s="106">
        <v>1.0000768678937153</v>
      </c>
      <c r="AG2422" s="106">
        <v>4560</v>
      </c>
      <c r="AH2422" s="106">
        <v>11793.890243902439</v>
      </c>
      <c r="AI2422" s="106">
        <v>11793.890243902439</v>
      </c>
      <c r="AJ2422" s="106">
        <v>13814.686513629842</v>
      </c>
      <c r="AK2422" s="104">
        <v>13809.088952654232</v>
      </c>
      <c r="AL2422" s="118">
        <v>8895285</v>
      </c>
      <c r="AM2422" s="118">
        <v>2514</v>
      </c>
      <c r="AN2422" s="118">
        <v>41813</v>
      </c>
      <c r="AO2422" s="118">
        <v>395</v>
      </c>
      <c r="AP2422" s="118">
        <f t="shared" si="36"/>
        <v>86</v>
      </c>
    </row>
  </sheetData>
  <sheetProtection algorithmName="SHA-512" hashValue="fQFX63vikYuDpanfQclIOR6ezJLKEaivtg5+tYOI6E+szmMmO53yEA/nfRcxdHcGlkYNVcnunWQFSPNsuR40xQ==" saltValue="Q1uDBCI6rN/cS9zBQcvbhw==" spinCount="100000" sheet="1" objects="1" scenarios="1"/>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E8C62-E8E1-49F0-B084-26BAFF29BCE2}">
  <sheetPr codeName="Sheet7"/>
  <dimension ref="A3:BT12"/>
  <sheetViews>
    <sheetView workbookViewId="0">
      <selection activeCell="A8" sqref="A8"/>
    </sheetView>
  </sheetViews>
  <sheetFormatPr defaultRowHeight="15"/>
  <cols>
    <col min="1" max="1" width="26.28515625" style="48" customWidth="1"/>
    <col min="2" max="3" width="9.28515625" style="54" customWidth="1"/>
    <col min="4" max="4" width="17.5703125" style="54" customWidth="1"/>
    <col min="5" max="5" width="15" style="54" customWidth="1"/>
    <col min="6" max="6" width="13.42578125" style="54" customWidth="1"/>
    <col min="7" max="8" width="15.5703125" style="49" customWidth="1"/>
    <col min="9" max="9" width="15.5703125" style="50" customWidth="1"/>
    <col min="10" max="17" width="15.5703125" style="49" customWidth="1"/>
    <col min="18" max="18" width="15.5703125" style="50" customWidth="1"/>
    <col min="19" max="20" width="15.5703125" style="51" customWidth="1"/>
    <col min="21" max="21" width="15.5703125" style="52" customWidth="1"/>
    <col min="22" max="22" width="15.5703125" style="53" customWidth="1"/>
    <col min="23" max="24" width="15.5703125" style="49" customWidth="1"/>
    <col min="25" max="27" width="15.5703125" style="53" customWidth="1"/>
    <col min="28" max="30" width="15.5703125" style="49" customWidth="1"/>
    <col min="31" max="31" width="15.5703125" style="53" customWidth="1"/>
    <col min="32" max="32" width="15.5703125" style="52" customWidth="1"/>
    <col min="33" max="33" width="12.85546875" style="55" customWidth="1"/>
    <col min="34" max="34" width="12.85546875" style="48" customWidth="1"/>
    <col min="35" max="35" width="15.28515625" style="48" customWidth="1"/>
    <col min="36" max="36" width="17.7109375" style="56" customWidth="1"/>
    <col min="37" max="72" width="17" style="48" customWidth="1"/>
    <col min="73" max="257" width="9.140625" style="48"/>
    <col min="258" max="259" width="9.28515625" style="48" customWidth="1"/>
    <col min="260" max="262" width="9.28515625" style="48" bestFit="1" customWidth="1"/>
    <col min="263" max="288" width="15.5703125" style="48" customWidth="1"/>
    <col min="289" max="290" width="12.85546875" style="48" customWidth="1"/>
    <col min="291" max="291" width="15.28515625" style="48" customWidth="1"/>
    <col min="292" max="292" width="17.7109375" style="48" customWidth="1"/>
    <col min="293" max="513" width="9.140625" style="48"/>
    <col min="514" max="515" width="9.28515625" style="48" customWidth="1"/>
    <col min="516" max="518" width="9.28515625" style="48" bestFit="1" customWidth="1"/>
    <col min="519" max="544" width="15.5703125" style="48" customWidth="1"/>
    <col min="545" max="546" width="12.85546875" style="48" customWidth="1"/>
    <col min="547" max="547" width="15.28515625" style="48" customWidth="1"/>
    <col min="548" max="548" width="17.7109375" style="48" customWidth="1"/>
    <col min="549" max="769" width="9.140625" style="48"/>
    <col min="770" max="771" width="9.28515625" style="48" customWidth="1"/>
    <col min="772" max="774" width="9.28515625" style="48" bestFit="1" customWidth="1"/>
    <col min="775" max="800" width="15.5703125" style="48" customWidth="1"/>
    <col min="801" max="802" width="12.85546875" style="48" customWidth="1"/>
    <col min="803" max="803" width="15.28515625" style="48" customWidth="1"/>
    <col min="804" max="804" width="17.7109375" style="48" customWidth="1"/>
    <col min="805" max="1025" width="9.140625" style="48"/>
    <col min="1026" max="1027" width="9.28515625" style="48" customWidth="1"/>
    <col min="1028" max="1030" width="9.28515625" style="48" bestFit="1" customWidth="1"/>
    <col min="1031" max="1056" width="15.5703125" style="48" customWidth="1"/>
    <col min="1057" max="1058" width="12.85546875" style="48" customWidth="1"/>
    <col min="1059" max="1059" width="15.28515625" style="48" customWidth="1"/>
    <col min="1060" max="1060" width="17.7109375" style="48" customWidth="1"/>
    <col min="1061" max="1281" width="9.140625" style="48"/>
    <col min="1282" max="1283" width="9.28515625" style="48" customWidth="1"/>
    <col min="1284" max="1286" width="9.28515625" style="48" bestFit="1" customWidth="1"/>
    <col min="1287" max="1312" width="15.5703125" style="48" customWidth="1"/>
    <col min="1313" max="1314" width="12.85546875" style="48" customWidth="1"/>
    <col min="1315" max="1315" width="15.28515625" style="48" customWidth="1"/>
    <col min="1316" max="1316" width="17.7109375" style="48" customWidth="1"/>
    <col min="1317" max="1537" width="9.140625" style="48"/>
    <col min="1538" max="1539" width="9.28515625" style="48" customWidth="1"/>
    <col min="1540" max="1542" width="9.28515625" style="48" bestFit="1" customWidth="1"/>
    <col min="1543" max="1568" width="15.5703125" style="48" customWidth="1"/>
    <col min="1569" max="1570" width="12.85546875" style="48" customWidth="1"/>
    <col min="1571" max="1571" width="15.28515625" style="48" customWidth="1"/>
    <col min="1572" max="1572" width="17.7109375" style="48" customWidth="1"/>
    <col min="1573" max="1793" width="9.140625" style="48"/>
    <col min="1794" max="1795" width="9.28515625" style="48" customWidth="1"/>
    <col min="1796" max="1798" width="9.28515625" style="48" bestFit="1" customWidth="1"/>
    <col min="1799" max="1824" width="15.5703125" style="48" customWidth="1"/>
    <col min="1825" max="1826" width="12.85546875" style="48" customWidth="1"/>
    <col min="1827" max="1827" width="15.28515625" style="48" customWidth="1"/>
    <col min="1828" max="1828" width="17.7109375" style="48" customWidth="1"/>
    <col min="1829" max="2049" width="9.140625" style="48"/>
    <col min="2050" max="2051" width="9.28515625" style="48" customWidth="1"/>
    <col min="2052" max="2054" width="9.28515625" style="48" bestFit="1" customWidth="1"/>
    <col min="2055" max="2080" width="15.5703125" style="48" customWidth="1"/>
    <col min="2081" max="2082" width="12.85546875" style="48" customWidth="1"/>
    <col min="2083" max="2083" width="15.28515625" style="48" customWidth="1"/>
    <col min="2084" max="2084" width="17.7109375" style="48" customWidth="1"/>
    <col min="2085" max="2305" width="9.140625" style="48"/>
    <col min="2306" max="2307" width="9.28515625" style="48" customWidth="1"/>
    <col min="2308" max="2310" width="9.28515625" style="48" bestFit="1" customWidth="1"/>
    <col min="2311" max="2336" width="15.5703125" style="48" customWidth="1"/>
    <col min="2337" max="2338" width="12.85546875" style="48" customWidth="1"/>
    <col min="2339" max="2339" width="15.28515625" style="48" customWidth="1"/>
    <col min="2340" max="2340" width="17.7109375" style="48" customWidth="1"/>
    <col min="2341" max="2561" width="9.140625" style="48"/>
    <col min="2562" max="2563" width="9.28515625" style="48" customWidth="1"/>
    <col min="2564" max="2566" width="9.28515625" style="48" bestFit="1" customWidth="1"/>
    <col min="2567" max="2592" width="15.5703125" style="48" customWidth="1"/>
    <col min="2593" max="2594" width="12.85546875" style="48" customWidth="1"/>
    <col min="2595" max="2595" width="15.28515625" style="48" customWidth="1"/>
    <col min="2596" max="2596" width="17.7109375" style="48" customWidth="1"/>
    <col min="2597" max="2817" width="9.140625" style="48"/>
    <col min="2818" max="2819" width="9.28515625" style="48" customWidth="1"/>
    <col min="2820" max="2822" width="9.28515625" style="48" bestFit="1" customWidth="1"/>
    <col min="2823" max="2848" width="15.5703125" style="48" customWidth="1"/>
    <col min="2849" max="2850" width="12.85546875" style="48" customWidth="1"/>
    <col min="2851" max="2851" width="15.28515625" style="48" customWidth="1"/>
    <col min="2852" max="2852" width="17.7109375" style="48" customWidth="1"/>
    <col min="2853" max="3073" width="9.140625" style="48"/>
    <col min="3074" max="3075" width="9.28515625" style="48" customWidth="1"/>
    <col min="3076" max="3078" width="9.28515625" style="48" bestFit="1" customWidth="1"/>
    <col min="3079" max="3104" width="15.5703125" style="48" customWidth="1"/>
    <col min="3105" max="3106" width="12.85546875" style="48" customWidth="1"/>
    <col min="3107" max="3107" width="15.28515625" style="48" customWidth="1"/>
    <col min="3108" max="3108" width="17.7109375" style="48" customWidth="1"/>
    <col min="3109" max="3329" width="9.140625" style="48"/>
    <col min="3330" max="3331" width="9.28515625" style="48" customWidth="1"/>
    <col min="3332" max="3334" width="9.28515625" style="48" bestFit="1" customWidth="1"/>
    <col min="3335" max="3360" width="15.5703125" style="48" customWidth="1"/>
    <col min="3361" max="3362" width="12.85546875" style="48" customWidth="1"/>
    <col min="3363" max="3363" width="15.28515625" style="48" customWidth="1"/>
    <col min="3364" max="3364" width="17.7109375" style="48" customWidth="1"/>
    <col min="3365" max="3585" width="9.140625" style="48"/>
    <col min="3586" max="3587" width="9.28515625" style="48" customWidth="1"/>
    <col min="3588" max="3590" width="9.28515625" style="48" bestFit="1" customWidth="1"/>
    <col min="3591" max="3616" width="15.5703125" style="48" customWidth="1"/>
    <col min="3617" max="3618" width="12.85546875" style="48" customWidth="1"/>
    <col min="3619" max="3619" width="15.28515625" style="48" customWidth="1"/>
    <col min="3620" max="3620" width="17.7109375" style="48" customWidth="1"/>
    <col min="3621" max="3841" width="9.140625" style="48"/>
    <col min="3842" max="3843" width="9.28515625" style="48" customWidth="1"/>
    <col min="3844" max="3846" width="9.28515625" style="48" bestFit="1" customWidth="1"/>
    <col min="3847" max="3872" width="15.5703125" style="48" customWidth="1"/>
    <col min="3873" max="3874" width="12.85546875" style="48" customWidth="1"/>
    <col min="3875" max="3875" width="15.28515625" style="48" customWidth="1"/>
    <col min="3876" max="3876" width="17.7109375" style="48" customWidth="1"/>
    <col min="3877" max="4097" width="9.140625" style="48"/>
    <col min="4098" max="4099" width="9.28515625" style="48" customWidth="1"/>
    <col min="4100" max="4102" width="9.28515625" style="48" bestFit="1" customWidth="1"/>
    <col min="4103" max="4128" width="15.5703125" style="48" customWidth="1"/>
    <col min="4129" max="4130" width="12.85546875" style="48" customWidth="1"/>
    <col min="4131" max="4131" width="15.28515625" style="48" customWidth="1"/>
    <col min="4132" max="4132" width="17.7109375" style="48" customWidth="1"/>
    <col min="4133" max="4353" width="9.140625" style="48"/>
    <col min="4354" max="4355" width="9.28515625" style="48" customWidth="1"/>
    <col min="4356" max="4358" width="9.28515625" style="48" bestFit="1" customWidth="1"/>
    <col min="4359" max="4384" width="15.5703125" style="48" customWidth="1"/>
    <col min="4385" max="4386" width="12.85546875" style="48" customWidth="1"/>
    <col min="4387" max="4387" width="15.28515625" style="48" customWidth="1"/>
    <col min="4388" max="4388" width="17.7109375" style="48" customWidth="1"/>
    <col min="4389" max="4609" width="9.140625" style="48"/>
    <col min="4610" max="4611" width="9.28515625" style="48" customWidth="1"/>
    <col min="4612" max="4614" width="9.28515625" style="48" bestFit="1" customWidth="1"/>
    <col min="4615" max="4640" width="15.5703125" style="48" customWidth="1"/>
    <col min="4641" max="4642" width="12.85546875" style="48" customWidth="1"/>
    <col min="4643" max="4643" width="15.28515625" style="48" customWidth="1"/>
    <col min="4644" max="4644" width="17.7109375" style="48" customWidth="1"/>
    <col min="4645" max="4865" width="9.140625" style="48"/>
    <col min="4866" max="4867" width="9.28515625" style="48" customWidth="1"/>
    <col min="4868" max="4870" width="9.28515625" style="48" bestFit="1" customWidth="1"/>
    <col min="4871" max="4896" width="15.5703125" style="48" customWidth="1"/>
    <col min="4897" max="4898" width="12.85546875" style="48" customWidth="1"/>
    <col min="4899" max="4899" width="15.28515625" style="48" customWidth="1"/>
    <col min="4900" max="4900" width="17.7109375" style="48" customWidth="1"/>
    <col min="4901" max="5121" width="9.140625" style="48"/>
    <col min="5122" max="5123" width="9.28515625" style="48" customWidth="1"/>
    <col min="5124" max="5126" width="9.28515625" style="48" bestFit="1" customWidth="1"/>
    <col min="5127" max="5152" width="15.5703125" style="48" customWidth="1"/>
    <col min="5153" max="5154" width="12.85546875" style="48" customWidth="1"/>
    <col min="5155" max="5155" width="15.28515625" style="48" customWidth="1"/>
    <col min="5156" max="5156" width="17.7109375" style="48" customWidth="1"/>
    <col min="5157" max="5377" width="9.140625" style="48"/>
    <col min="5378" max="5379" width="9.28515625" style="48" customWidth="1"/>
    <col min="5380" max="5382" width="9.28515625" style="48" bestFit="1" customWidth="1"/>
    <col min="5383" max="5408" width="15.5703125" style="48" customWidth="1"/>
    <col min="5409" max="5410" width="12.85546875" style="48" customWidth="1"/>
    <col min="5411" max="5411" width="15.28515625" style="48" customWidth="1"/>
    <col min="5412" max="5412" width="17.7109375" style="48" customWidth="1"/>
    <col min="5413" max="5633" width="9.140625" style="48"/>
    <col min="5634" max="5635" width="9.28515625" style="48" customWidth="1"/>
    <col min="5636" max="5638" width="9.28515625" style="48" bestFit="1" customWidth="1"/>
    <col min="5639" max="5664" width="15.5703125" style="48" customWidth="1"/>
    <col min="5665" max="5666" width="12.85546875" style="48" customWidth="1"/>
    <col min="5667" max="5667" width="15.28515625" style="48" customWidth="1"/>
    <col min="5668" max="5668" width="17.7109375" style="48" customWidth="1"/>
    <col min="5669" max="5889" width="9.140625" style="48"/>
    <col min="5890" max="5891" width="9.28515625" style="48" customWidth="1"/>
    <col min="5892" max="5894" width="9.28515625" style="48" bestFit="1" customWidth="1"/>
    <col min="5895" max="5920" width="15.5703125" style="48" customWidth="1"/>
    <col min="5921" max="5922" width="12.85546875" style="48" customWidth="1"/>
    <col min="5923" max="5923" width="15.28515625" style="48" customWidth="1"/>
    <col min="5924" max="5924" width="17.7109375" style="48" customWidth="1"/>
    <col min="5925" max="6145" width="9.140625" style="48"/>
    <col min="6146" max="6147" width="9.28515625" style="48" customWidth="1"/>
    <col min="6148" max="6150" width="9.28515625" style="48" bestFit="1" customWidth="1"/>
    <col min="6151" max="6176" width="15.5703125" style="48" customWidth="1"/>
    <col min="6177" max="6178" width="12.85546875" style="48" customWidth="1"/>
    <col min="6179" max="6179" width="15.28515625" style="48" customWidth="1"/>
    <col min="6180" max="6180" width="17.7109375" style="48" customWidth="1"/>
    <col min="6181" max="6401" width="9.140625" style="48"/>
    <col min="6402" max="6403" width="9.28515625" style="48" customWidth="1"/>
    <col min="6404" max="6406" width="9.28515625" style="48" bestFit="1" customWidth="1"/>
    <col min="6407" max="6432" width="15.5703125" style="48" customWidth="1"/>
    <col min="6433" max="6434" width="12.85546875" style="48" customWidth="1"/>
    <col min="6435" max="6435" width="15.28515625" style="48" customWidth="1"/>
    <col min="6436" max="6436" width="17.7109375" style="48" customWidth="1"/>
    <col min="6437" max="6657" width="9.140625" style="48"/>
    <col min="6658" max="6659" width="9.28515625" style="48" customWidth="1"/>
    <col min="6660" max="6662" width="9.28515625" style="48" bestFit="1" customWidth="1"/>
    <col min="6663" max="6688" width="15.5703125" style="48" customWidth="1"/>
    <col min="6689" max="6690" width="12.85546875" style="48" customWidth="1"/>
    <col min="6691" max="6691" width="15.28515625" style="48" customWidth="1"/>
    <col min="6692" max="6692" width="17.7109375" style="48" customWidth="1"/>
    <col min="6693" max="6913" width="9.140625" style="48"/>
    <col min="6914" max="6915" width="9.28515625" style="48" customWidth="1"/>
    <col min="6916" max="6918" width="9.28515625" style="48" bestFit="1" customWidth="1"/>
    <col min="6919" max="6944" width="15.5703125" style="48" customWidth="1"/>
    <col min="6945" max="6946" width="12.85546875" style="48" customWidth="1"/>
    <col min="6947" max="6947" width="15.28515625" style="48" customWidth="1"/>
    <col min="6948" max="6948" width="17.7109375" style="48" customWidth="1"/>
    <col min="6949" max="7169" width="9.140625" style="48"/>
    <col min="7170" max="7171" width="9.28515625" style="48" customWidth="1"/>
    <col min="7172" max="7174" width="9.28515625" style="48" bestFit="1" customWidth="1"/>
    <col min="7175" max="7200" width="15.5703125" style="48" customWidth="1"/>
    <col min="7201" max="7202" width="12.85546875" style="48" customWidth="1"/>
    <col min="7203" max="7203" width="15.28515625" style="48" customWidth="1"/>
    <col min="7204" max="7204" width="17.7109375" style="48" customWidth="1"/>
    <col min="7205" max="7425" width="9.140625" style="48"/>
    <col min="7426" max="7427" width="9.28515625" style="48" customWidth="1"/>
    <col min="7428" max="7430" width="9.28515625" style="48" bestFit="1" customWidth="1"/>
    <col min="7431" max="7456" width="15.5703125" style="48" customWidth="1"/>
    <col min="7457" max="7458" width="12.85546875" style="48" customWidth="1"/>
    <col min="7459" max="7459" width="15.28515625" style="48" customWidth="1"/>
    <col min="7460" max="7460" width="17.7109375" style="48" customWidth="1"/>
    <col min="7461" max="7681" width="9.140625" style="48"/>
    <col min="7682" max="7683" width="9.28515625" style="48" customWidth="1"/>
    <col min="7684" max="7686" width="9.28515625" style="48" bestFit="1" customWidth="1"/>
    <col min="7687" max="7712" width="15.5703125" style="48" customWidth="1"/>
    <col min="7713" max="7714" width="12.85546875" style="48" customWidth="1"/>
    <col min="7715" max="7715" width="15.28515625" style="48" customWidth="1"/>
    <col min="7716" max="7716" width="17.7109375" style="48" customWidth="1"/>
    <col min="7717" max="7937" width="9.140625" style="48"/>
    <col min="7938" max="7939" width="9.28515625" style="48" customWidth="1"/>
    <col min="7940" max="7942" width="9.28515625" style="48" bestFit="1" customWidth="1"/>
    <col min="7943" max="7968" width="15.5703125" style="48" customWidth="1"/>
    <col min="7969" max="7970" width="12.85546875" style="48" customWidth="1"/>
    <col min="7971" max="7971" width="15.28515625" style="48" customWidth="1"/>
    <col min="7972" max="7972" width="17.7109375" style="48" customWidth="1"/>
    <col min="7973" max="8193" width="9.140625" style="48"/>
    <col min="8194" max="8195" width="9.28515625" style="48" customWidth="1"/>
    <col min="8196" max="8198" width="9.28515625" style="48" bestFit="1" customWidth="1"/>
    <col min="8199" max="8224" width="15.5703125" style="48" customWidth="1"/>
    <col min="8225" max="8226" width="12.85546875" style="48" customWidth="1"/>
    <col min="8227" max="8227" width="15.28515625" style="48" customWidth="1"/>
    <col min="8228" max="8228" width="17.7109375" style="48" customWidth="1"/>
    <col min="8229" max="8449" width="9.140625" style="48"/>
    <col min="8450" max="8451" width="9.28515625" style="48" customWidth="1"/>
    <col min="8452" max="8454" width="9.28515625" style="48" bestFit="1" customWidth="1"/>
    <col min="8455" max="8480" width="15.5703125" style="48" customWidth="1"/>
    <col min="8481" max="8482" width="12.85546875" style="48" customWidth="1"/>
    <col min="8483" max="8483" width="15.28515625" style="48" customWidth="1"/>
    <col min="8484" max="8484" width="17.7109375" style="48" customWidth="1"/>
    <col min="8485" max="8705" width="9.140625" style="48"/>
    <col min="8706" max="8707" width="9.28515625" style="48" customWidth="1"/>
    <col min="8708" max="8710" width="9.28515625" style="48" bestFit="1" customWidth="1"/>
    <col min="8711" max="8736" width="15.5703125" style="48" customWidth="1"/>
    <col min="8737" max="8738" width="12.85546875" style="48" customWidth="1"/>
    <col min="8739" max="8739" width="15.28515625" style="48" customWidth="1"/>
    <col min="8740" max="8740" width="17.7109375" style="48" customWidth="1"/>
    <col min="8741" max="8961" width="9.140625" style="48"/>
    <col min="8962" max="8963" width="9.28515625" style="48" customWidth="1"/>
    <col min="8964" max="8966" width="9.28515625" style="48" bestFit="1" customWidth="1"/>
    <col min="8967" max="8992" width="15.5703125" style="48" customWidth="1"/>
    <col min="8993" max="8994" width="12.85546875" style="48" customWidth="1"/>
    <col min="8995" max="8995" width="15.28515625" style="48" customWidth="1"/>
    <col min="8996" max="8996" width="17.7109375" style="48" customWidth="1"/>
    <col min="8997" max="9217" width="9.140625" style="48"/>
    <col min="9218" max="9219" width="9.28515625" style="48" customWidth="1"/>
    <col min="9220" max="9222" width="9.28515625" style="48" bestFit="1" customWidth="1"/>
    <col min="9223" max="9248" width="15.5703125" style="48" customWidth="1"/>
    <col min="9249" max="9250" width="12.85546875" style="48" customWidth="1"/>
    <col min="9251" max="9251" width="15.28515625" style="48" customWidth="1"/>
    <col min="9252" max="9252" width="17.7109375" style="48" customWidth="1"/>
    <col min="9253" max="9473" width="9.140625" style="48"/>
    <col min="9474" max="9475" width="9.28515625" style="48" customWidth="1"/>
    <col min="9476" max="9478" width="9.28515625" style="48" bestFit="1" customWidth="1"/>
    <col min="9479" max="9504" width="15.5703125" style="48" customWidth="1"/>
    <col min="9505" max="9506" width="12.85546875" style="48" customWidth="1"/>
    <col min="9507" max="9507" width="15.28515625" style="48" customWidth="1"/>
    <col min="9508" max="9508" width="17.7109375" style="48" customWidth="1"/>
    <col min="9509" max="9729" width="9.140625" style="48"/>
    <col min="9730" max="9731" width="9.28515625" style="48" customWidth="1"/>
    <col min="9732" max="9734" width="9.28515625" style="48" bestFit="1" customWidth="1"/>
    <col min="9735" max="9760" width="15.5703125" style="48" customWidth="1"/>
    <col min="9761" max="9762" width="12.85546875" style="48" customWidth="1"/>
    <col min="9763" max="9763" width="15.28515625" style="48" customWidth="1"/>
    <col min="9764" max="9764" width="17.7109375" style="48" customWidth="1"/>
    <col min="9765" max="9985" width="9.140625" style="48"/>
    <col min="9986" max="9987" width="9.28515625" style="48" customWidth="1"/>
    <col min="9988" max="9990" width="9.28515625" style="48" bestFit="1" customWidth="1"/>
    <col min="9991" max="10016" width="15.5703125" style="48" customWidth="1"/>
    <col min="10017" max="10018" width="12.85546875" style="48" customWidth="1"/>
    <col min="10019" max="10019" width="15.28515625" style="48" customWidth="1"/>
    <col min="10020" max="10020" width="17.7109375" style="48" customWidth="1"/>
    <col min="10021" max="10241" width="9.140625" style="48"/>
    <col min="10242" max="10243" width="9.28515625" style="48" customWidth="1"/>
    <col min="10244" max="10246" width="9.28515625" style="48" bestFit="1" customWidth="1"/>
    <col min="10247" max="10272" width="15.5703125" style="48" customWidth="1"/>
    <col min="10273" max="10274" width="12.85546875" style="48" customWidth="1"/>
    <col min="10275" max="10275" width="15.28515625" style="48" customWidth="1"/>
    <col min="10276" max="10276" width="17.7109375" style="48" customWidth="1"/>
    <col min="10277" max="10497" width="9.140625" style="48"/>
    <col min="10498" max="10499" width="9.28515625" style="48" customWidth="1"/>
    <col min="10500" max="10502" width="9.28515625" style="48" bestFit="1" customWidth="1"/>
    <col min="10503" max="10528" width="15.5703125" style="48" customWidth="1"/>
    <col min="10529" max="10530" width="12.85546875" style="48" customWidth="1"/>
    <col min="10531" max="10531" width="15.28515625" style="48" customWidth="1"/>
    <col min="10532" max="10532" width="17.7109375" style="48" customWidth="1"/>
    <col min="10533" max="10753" width="9.140625" style="48"/>
    <col min="10754" max="10755" width="9.28515625" style="48" customWidth="1"/>
    <col min="10756" max="10758" width="9.28515625" style="48" bestFit="1" customWidth="1"/>
    <col min="10759" max="10784" width="15.5703125" style="48" customWidth="1"/>
    <col min="10785" max="10786" width="12.85546875" style="48" customWidth="1"/>
    <col min="10787" max="10787" width="15.28515625" style="48" customWidth="1"/>
    <col min="10788" max="10788" width="17.7109375" style="48" customWidth="1"/>
    <col min="10789" max="11009" width="9.140625" style="48"/>
    <col min="11010" max="11011" width="9.28515625" style="48" customWidth="1"/>
    <col min="11012" max="11014" width="9.28515625" style="48" bestFit="1" customWidth="1"/>
    <col min="11015" max="11040" width="15.5703125" style="48" customWidth="1"/>
    <col min="11041" max="11042" width="12.85546875" style="48" customWidth="1"/>
    <col min="11043" max="11043" width="15.28515625" style="48" customWidth="1"/>
    <col min="11044" max="11044" width="17.7109375" style="48" customWidth="1"/>
    <col min="11045" max="11265" width="9.140625" style="48"/>
    <col min="11266" max="11267" width="9.28515625" style="48" customWidth="1"/>
    <col min="11268" max="11270" width="9.28515625" style="48" bestFit="1" customWidth="1"/>
    <col min="11271" max="11296" width="15.5703125" style="48" customWidth="1"/>
    <col min="11297" max="11298" width="12.85546875" style="48" customWidth="1"/>
    <col min="11299" max="11299" width="15.28515625" style="48" customWidth="1"/>
    <col min="11300" max="11300" width="17.7109375" style="48" customWidth="1"/>
    <col min="11301" max="11521" width="9.140625" style="48"/>
    <col min="11522" max="11523" width="9.28515625" style="48" customWidth="1"/>
    <col min="11524" max="11526" width="9.28515625" style="48" bestFit="1" customWidth="1"/>
    <col min="11527" max="11552" width="15.5703125" style="48" customWidth="1"/>
    <col min="11553" max="11554" width="12.85546875" style="48" customWidth="1"/>
    <col min="11555" max="11555" width="15.28515625" style="48" customWidth="1"/>
    <col min="11556" max="11556" width="17.7109375" style="48" customWidth="1"/>
    <col min="11557" max="11777" width="9.140625" style="48"/>
    <col min="11778" max="11779" width="9.28515625" style="48" customWidth="1"/>
    <col min="11780" max="11782" width="9.28515625" style="48" bestFit="1" customWidth="1"/>
    <col min="11783" max="11808" width="15.5703125" style="48" customWidth="1"/>
    <col min="11809" max="11810" width="12.85546875" style="48" customWidth="1"/>
    <col min="11811" max="11811" width="15.28515625" style="48" customWidth="1"/>
    <col min="11812" max="11812" width="17.7109375" style="48" customWidth="1"/>
    <col min="11813" max="12033" width="9.140625" style="48"/>
    <col min="12034" max="12035" width="9.28515625" style="48" customWidth="1"/>
    <col min="12036" max="12038" width="9.28515625" style="48" bestFit="1" customWidth="1"/>
    <col min="12039" max="12064" width="15.5703125" style="48" customWidth="1"/>
    <col min="12065" max="12066" width="12.85546875" style="48" customWidth="1"/>
    <col min="12067" max="12067" width="15.28515625" style="48" customWidth="1"/>
    <col min="12068" max="12068" width="17.7109375" style="48" customWidth="1"/>
    <col min="12069" max="12289" width="9.140625" style="48"/>
    <col min="12290" max="12291" width="9.28515625" style="48" customWidth="1"/>
    <col min="12292" max="12294" width="9.28515625" style="48" bestFit="1" customWidth="1"/>
    <col min="12295" max="12320" width="15.5703125" style="48" customWidth="1"/>
    <col min="12321" max="12322" width="12.85546875" style="48" customWidth="1"/>
    <col min="12323" max="12323" width="15.28515625" style="48" customWidth="1"/>
    <col min="12324" max="12324" width="17.7109375" style="48" customWidth="1"/>
    <col min="12325" max="12545" width="9.140625" style="48"/>
    <col min="12546" max="12547" width="9.28515625" style="48" customWidth="1"/>
    <col min="12548" max="12550" width="9.28515625" style="48" bestFit="1" customWidth="1"/>
    <col min="12551" max="12576" width="15.5703125" style="48" customWidth="1"/>
    <col min="12577" max="12578" width="12.85546875" style="48" customWidth="1"/>
    <col min="12579" max="12579" width="15.28515625" style="48" customWidth="1"/>
    <col min="12580" max="12580" width="17.7109375" style="48" customWidth="1"/>
    <col min="12581" max="12801" width="9.140625" style="48"/>
    <col min="12802" max="12803" width="9.28515625" style="48" customWidth="1"/>
    <col min="12804" max="12806" width="9.28515625" style="48" bestFit="1" customWidth="1"/>
    <col min="12807" max="12832" width="15.5703125" style="48" customWidth="1"/>
    <col min="12833" max="12834" width="12.85546875" style="48" customWidth="1"/>
    <col min="12835" max="12835" width="15.28515625" style="48" customWidth="1"/>
    <col min="12836" max="12836" width="17.7109375" style="48" customWidth="1"/>
    <col min="12837" max="13057" width="9.140625" style="48"/>
    <col min="13058" max="13059" width="9.28515625" style="48" customWidth="1"/>
    <col min="13060" max="13062" width="9.28515625" style="48" bestFit="1" customWidth="1"/>
    <col min="13063" max="13088" width="15.5703125" style="48" customWidth="1"/>
    <col min="13089" max="13090" width="12.85546875" style="48" customWidth="1"/>
    <col min="13091" max="13091" width="15.28515625" style="48" customWidth="1"/>
    <col min="13092" max="13092" width="17.7109375" style="48" customWidth="1"/>
    <col min="13093" max="13313" width="9.140625" style="48"/>
    <col min="13314" max="13315" width="9.28515625" style="48" customWidth="1"/>
    <col min="13316" max="13318" width="9.28515625" style="48" bestFit="1" customWidth="1"/>
    <col min="13319" max="13344" width="15.5703125" style="48" customWidth="1"/>
    <col min="13345" max="13346" width="12.85546875" style="48" customWidth="1"/>
    <col min="13347" max="13347" width="15.28515625" style="48" customWidth="1"/>
    <col min="13348" max="13348" width="17.7109375" style="48" customWidth="1"/>
    <col min="13349" max="13569" width="9.140625" style="48"/>
    <col min="13570" max="13571" width="9.28515625" style="48" customWidth="1"/>
    <col min="13572" max="13574" width="9.28515625" style="48" bestFit="1" customWidth="1"/>
    <col min="13575" max="13600" width="15.5703125" style="48" customWidth="1"/>
    <col min="13601" max="13602" width="12.85546875" style="48" customWidth="1"/>
    <col min="13603" max="13603" width="15.28515625" style="48" customWidth="1"/>
    <col min="13604" max="13604" width="17.7109375" style="48" customWidth="1"/>
    <col min="13605" max="13825" width="9.140625" style="48"/>
    <col min="13826" max="13827" width="9.28515625" style="48" customWidth="1"/>
    <col min="13828" max="13830" width="9.28515625" style="48" bestFit="1" customWidth="1"/>
    <col min="13831" max="13856" width="15.5703125" style="48" customWidth="1"/>
    <col min="13857" max="13858" width="12.85546875" style="48" customWidth="1"/>
    <col min="13859" max="13859" width="15.28515625" style="48" customWidth="1"/>
    <col min="13860" max="13860" width="17.7109375" style="48" customWidth="1"/>
    <col min="13861" max="14081" width="9.140625" style="48"/>
    <col min="14082" max="14083" width="9.28515625" style="48" customWidth="1"/>
    <col min="14084" max="14086" width="9.28515625" style="48" bestFit="1" customWidth="1"/>
    <col min="14087" max="14112" width="15.5703125" style="48" customWidth="1"/>
    <col min="14113" max="14114" width="12.85546875" style="48" customWidth="1"/>
    <col min="14115" max="14115" width="15.28515625" style="48" customWidth="1"/>
    <col min="14116" max="14116" width="17.7109375" style="48" customWidth="1"/>
    <col min="14117" max="14337" width="9.140625" style="48"/>
    <col min="14338" max="14339" width="9.28515625" style="48" customWidth="1"/>
    <col min="14340" max="14342" width="9.28515625" style="48" bestFit="1" customWidth="1"/>
    <col min="14343" max="14368" width="15.5703125" style="48" customWidth="1"/>
    <col min="14369" max="14370" width="12.85546875" style="48" customWidth="1"/>
    <col min="14371" max="14371" width="15.28515625" style="48" customWidth="1"/>
    <col min="14372" max="14372" width="17.7109375" style="48" customWidth="1"/>
    <col min="14373" max="14593" width="9.140625" style="48"/>
    <col min="14594" max="14595" width="9.28515625" style="48" customWidth="1"/>
    <col min="14596" max="14598" width="9.28515625" style="48" bestFit="1" customWidth="1"/>
    <col min="14599" max="14624" width="15.5703125" style="48" customWidth="1"/>
    <col min="14625" max="14626" width="12.85546875" style="48" customWidth="1"/>
    <col min="14627" max="14627" width="15.28515625" style="48" customWidth="1"/>
    <col min="14628" max="14628" width="17.7109375" style="48" customWidth="1"/>
    <col min="14629" max="14849" width="9.140625" style="48"/>
    <col min="14850" max="14851" width="9.28515625" style="48" customWidth="1"/>
    <col min="14852" max="14854" width="9.28515625" style="48" bestFit="1" customWidth="1"/>
    <col min="14855" max="14880" width="15.5703125" style="48" customWidth="1"/>
    <col min="14881" max="14882" width="12.85546875" style="48" customWidth="1"/>
    <col min="14883" max="14883" width="15.28515625" style="48" customWidth="1"/>
    <col min="14884" max="14884" width="17.7109375" style="48" customWidth="1"/>
    <col min="14885" max="15105" width="9.140625" style="48"/>
    <col min="15106" max="15107" width="9.28515625" style="48" customWidth="1"/>
    <col min="15108" max="15110" width="9.28515625" style="48" bestFit="1" customWidth="1"/>
    <col min="15111" max="15136" width="15.5703125" style="48" customWidth="1"/>
    <col min="15137" max="15138" width="12.85546875" style="48" customWidth="1"/>
    <col min="15139" max="15139" width="15.28515625" style="48" customWidth="1"/>
    <col min="15140" max="15140" width="17.7109375" style="48" customWidth="1"/>
    <col min="15141" max="15361" width="9.140625" style="48"/>
    <col min="15362" max="15363" width="9.28515625" style="48" customWidth="1"/>
    <col min="15364" max="15366" width="9.28515625" style="48" bestFit="1" customWidth="1"/>
    <col min="15367" max="15392" width="15.5703125" style="48" customWidth="1"/>
    <col min="15393" max="15394" width="12.85546875" style="48" customWidth="1"/>
    <col min="15395" max="15395" width="15.28515625" style="48" customWidth="1"/>
    <col min="15396" max="15396" width="17.7109375" style="48" customWidth="1"/>
    <col min="15397" max="15617" width="9.140625" style="48"/>
    <col min="15618" max="15619" width="9.28515625" style="48" customWidth="1"/>
    <col min="15620" max="15622" width="9.28515625" style="48" bestFit="1" customWidth="1"/>
    <col min="15623" max="15648" width="15.5703125" style="48" customWidth="1"/>
    <col min="15649" max="15650" width="12.85546875" style="48" customWidth="1"/>
    <col min="15651" max="15651" width="15.28515625" style="48" customWidth="1"/>
    <col min="15652" max="15652" width="17.7109375" style="48" customWidth="1"/>
    <col min="15653" max="15873" width="9.140625" style="48"/>
    <col min="15874" max="15875" width="9.28515625" style="48" customWidth="1"/>
    <col min="15876" max="15878" width="9.28515625" style="48" bestFit="1" customWidth="1"/>
    <col min="15879" max="15904" width="15.5703125" style="48" customWidth="1"/>
    <col min="15905" max="15906" width="12.85546875" style="48" customWidth="1"/>
    <col min="15907" max="15907" width="15.28515625" style="48" customWidth="1"/>
    <col min="15908" max="15908" width="17.7109375" style="48" customWidth="1"/>
    <col min="15909" max="16129" width="9.140625" style="48"/>
    <col min="16130" max="16131" width="9.28515625" style="48" customWidth="1"/>
    <col min="16132" max="16134" width="9.28515625" style="48" bestFit="1" customWidth="1"/>
    <col min="16135" max="16160" width="15.5703125" style="48" customWidth="1"/>
    <col min="16161" max="16162" width="12.85546875" style="48" customWidth="1"/>
    <col min="16163" max="16163" width="15.28515625" style="48" customWidth="1"/>
    <col min="16164" max="16164" width="17.7109375" style="48" customWidth="1"/>
    <col min="16165" max="16384" width="9.140625" style="48"/>
  </cols>
  <sheetData>
    <row r="3" spans="1:72" s="58" customFormat="1">
      <c r="A3" s="66" t="s">
        <v>47</v>
      </c>
      <c r="B3" s="58">
        <v>2</v>
      </c>
      <c r="C3" s="58">
        <v>3</v>
      </c>
      <c r="D3" s="112">
        <v>4</v>
      </c>
      <c r="E3" s="58">
        <v>5</v>
      </c>
      <c r="F3" s="113">
        <v>6</v>
      </c>
      <c r="G3" s="112">
        <v>7</v>
      </c>
      <c r="H3" s="58">
        <v>8</v>
      </c>
      <c r="I3" s="113">
        <v>9</v>
      </c>
      <c r="J3" s="112">
        <v>10</v>
      </c>
      <c r="K3" s="58">
        <v>11</v>
      </c>
      <c r="L3" s="113">
        <v>12</v>
      </c>
      <c r="M3" s="112">
        <v>13</v>
      </c>
      <c r="N3" s="58">
        <v>14</v>
      </c>
      <c r="O3" s="113">
        <v>15</v>
      </c>
      <c r="P3" s="112">
        <v>16</v>
      </c>
      <c r="Q3" s="58">
        <v>17</v>
      </c>
      <c r="R3" s="113">
        <v>18</v>
      </c>
      <c r="S3" s="112">
        <v>19</v>
      </c>
      <c r="T3" s="58">
        <v>20</v>
      </c>
      <c r="U3" s="113">
        <v>21</v>
      </c>
      <c r="V3" s="112">
        <v>22</v>
      </c>
      <c r="W3" s="58">
        <v>23</v>
      </c>
      <c r="X3" s="113">
        <v>24</v>
      </c>
      <c r="Y3" s="112">
        <v>25</v>
      </c>
      <c r="Z3" s="58">
        <v>26</v>
      </c>
      <c r="AA3" s="113">
        <v>27</v>
      </c>
      <c r="AB3" s="112">
        <v>28</v>
      </c>
      <c r="AC3" s="58">
        <v>29</v>
      </c>
      <c r="AD3" s="113">
        <v>30</v>
      </c>
      <c r="AE3" s="112">
        <v>31</v>
      </c>
      <c r="AF3" s="58">
        <v>32</v>
      </c>
      <c r="AG3" s="113">
        <v>33</v>
      </c>
      <c r="AH3" s="112">
        <v>34</v>
      </c>
      <c r="AI3" s="58">
        <v>35</v>
      </c>
      <c r="AJ3" s="113">
        <v>36</v>
      </c>
      <c r="AK3" s="112">
        <v>37</v>
      </c>
      <c r="AL3" s="58">
        <v>38</v>
      </c>
      <c r="AM3" s="113">
        <v>39</v>
      </c>
      <c r="AN3" s="112">
        <v>40</v>
      </c>
      <c r="AO3" s="58">
        <v>41</v>
      </c>
      <c r="AP3" s="113">
        <v>42</v>
      </c>
      <c r="AQ3" s="112">
        <v>43</v>
      </c>
      <c r="AR3" s="58">
        <v>44</v>
      </c>
      <c r="AS3" s="113">
        <v>45</v>
      </c>
      <c r="AT3" s="112">
        <v>46</v>
      </c>
      <c r="AU3" s="58">
        <v>47</v>
      </c>
      <c r="AV3" s="113">
        <v>48</v>
      </c>
      <c r="AW3" s="112">
        <v>49</v>
      </c>
      <c r="AX3" s="58">
        <v>50</v>
      </c>
      <c r="AY3" s="113">
        <v>51</v>
      </c>
      <c r="AZ3" s="112">
        <v>52</v>
      </c>
      <c r="BA3" s="58">
        <v>53</v>
      </c>
      <c r="BB3" s="113">
        <v>54</v>
      </c>
      <c r="BC3" s="112">
        <v>55</v>
      </c>
      <c r="BD3" s="58">
        <v>56</v>
      </c>
      <c r="BE3" s="113">
        <v>57</v>
      </c>
      <c r="BF3" s="112">
        <v>58</v>
      </c>
      <c r="BG3" s="58">
        <v>59</v>
      </c>
      <c r="BH3" s="113">
        <v>60</v>
      </c>
      <c r="BI3" s="112">
        <v>61</v>
      </c>
      <c r="BJ3" s="58">
        <v>62</v>
      </c>
      <c r="BK3" s="113">
        <v>63</v>
      </c>
      <c r="BL3" s="112">
        <v>64</v>
      </c>
      <c r="BM3" s="58">
        <v>65</v>
      </c>
      <c r="BN3" s="113">
        <v>66</v>
      </c>
      <c r="BO3" s="112">
        <v>67</v>
      </c>
      <c r="BP3" s="58">
        <v>68</v>
      </c>
      <c r="BQ3" s="113">
        <v>69</v>
      </c>
      <c r="BR3" s="112">
        <v>70</v>
      </c>
      <c r="BS3" s="58">
        <v>71</v>
      </c>
      <c r="BT3" s="113">
        <v>72</v>
      </c>
    </row>
    <row r="4" spans="1:72">
      <c r="D4" s="105"/>
      <c r="E4" s="105"/>
      <c r="F4" s="105"/>
    </row>
    <row r="5" spans="1:72" s="65" customFormat="1">
      <c r="A5" s="104" t="s">
        <v>3688</v>
      </c>
      <c r="B5" s="59" t="s">
        <v>53</v>
      </c>
      <c r="C5" s="104" t="s">
        <v>3687</v>
      </c>
      <c r="D5" s="104" t="s">
        <v>3695</v>
      </c>
      <c r="E5" s="104" t="s">
        <v>3696</v>
      </c>
      <c r="F5" s="104" t="s">
        <v>3697</v>
      </c>
      <c r="G5" s="104" t="s">
        <v>3698</v>
      </c>
      <c r="H5" s="104" t="s">
        <v>3699</v>
      </c>
      <c r="I5" s="104" t="s">
        <v>3700</v>
      </c>
      <c r="J5" s="104" t="s">
        <v>3701</v>
      </c>
      <c r="K5" s="104" t="s">
        <v>3702</v>
      </c>
      <c r="L5" s="104" t="s">
        <v>3703</v>
      </c>
      <c r="M5" s="104" t="s">
        <v>3704</v>
      </c>
      <c r="N5" s="104" t="s">
        <v>3705</v>
      </c>
      <c r="O5" s="104" t="s">
        <v>3706</v>
      </c>
      <c r="P5" s="104" t="s">
        <v>3707</v>
      </c>
      <c r="Q5" s="104" t="s">
        <v>3708</v>
      </c>
      <c r="R5" s="104" t="s">
        <v>3709</v>
      </c>
      <c r="S5" s="104" t="s">
        <v>3710</v>
      </c>
      <c r="T5" s="104" t="s">
        <v>3711</v>
      </c>
      <c r="U5" s="104" t="s">
        <v>3712</v>
      </c>
      <c r="V5" s="104" t="s">
        <v>3713</v>
      </c>
      <c r="W5" s="104" t="s">
        <v>3714</v>
      </c>
      <c r="X5" s="104" t="s">
        <v>3715</v>
      </c>
      <c r="Y5" s="104" t="s">
        <v>3716</v>
      </c>
      <c r="Z5" s="104" t="s">
        <v>3717</v>
      </c>
      <c r="AA5" s="104" t="s">
        <v>3718</v>
      </c>
      <c r="AB5" s="104" t="s">
        <v>3719</v>
      </c>
      <c r="AC5" s="104" t="s">
        <v>3720</v>
      </c>
      <c r="AD5" s="104" t="s">
        <v>3721</v>
      </c>
      <c r="AE5" s="104" t="s">
        <v>3722</v>
      </c>
      <c r="AF5" s="104" t="s">
        <v>3723</v>
      </c>
      <c r="AG5" s="104" t="s">
        <v>3724</v>
      </c>
      <c r="AH5" s="104" t="s">
        <v>3725</v>
      </c>
      <c r="AI5" s="104" t="s">
        <v>3726</v>
      </c>
      <c r="AJ5" s="104" t="s">
        <v>3727</v>
      </c>
      <c r="AK5" s="104" t="s">
        <v>3728</v>
      </c>
      <c r="AL5" s="104" t="s">
        <v>3729</v>
      </c>
      <c r="AM5" s="104" t="s">
        <v>3730</v>
      </c>
      <c r="AN5" s="104" t="s">
        <v>3731</v>
      </c>
      <c r="AO5" s="104" t="s">
        <v>3732</v>
      </c>
      <c r="AP5" s="104" t="s">
        <v>3733</v>
      </c>
      <c r="AQ5" s="104" t="s">
        <v>3734</v>
      </c>
      <c r="AR5" s="104" t="s">
        <v>3735</v>
      </c>
      <c r="AS5" s="104" t="s">
        <v>3736</v>
      </c>
      <c r="AT5" s="104" t="s">
        <v>3737</v>
      </c>
      <c r="AU5" s="104" t="s">
        <v>3738</v>
      </c>
      <c r="AV5" s="104" t="s">
        <v>3739</v>
      </c>
      <c r="AW5" s="104" t="s">
        <v>3740</v>
      </c>
      <c r="AX5" s="104" t="s">
        <v>3741</v>
      </c>
      <c r="AY5" s="104" t="s">
        <v>3742</v>
      </c>
      <c r="AZ5" s="104" t="s">
        <v>3743</v>
      </c>
      <c r="BA5" s="104" t="s">
        <v>3744</v>
      </c>
      <c r="BB5" s="104" t="s">
        <v>3745</v>
      </c>
      <c r="BC5" s="104" t="s">
        <v>3746</v>
      </c>
      <c r="BD5" s="104" t="s">
        <v>3747</v>
      </c>
      <c r="BE5" s="104" t="s">
        <v>3748</v>
      </c>
      <c r="BF5" s="104" t="s">
        <v>3749</v>
      </c>
      <c r="BG5" s="104" t="s">
        <v>3750</v>
      </c>
      <c r="BH5" s="104" t="s">
        <v>3751</v>
      </c>
      <c r="BI5" s="104" t="s">
        <v>3752</v>
      </c>
      <c r="BJ5" s="104" t="s">
        <v>3753</v>
      </c>
      <c r="BK5" s="104" t="s">
        <v>3754</v>
      </c>
      <c r="BL5" s="104" t="s">
        <v>3755</v>
      </c>
      <c r="BM5" s="104" t="s">
        <v>3756</v>
      </c>
      <c r="BN5" s="104" t="s">
        <v>3757</v>
      </c>
      <c r="BO5" s="104" t="s">
        <v>3758</v>
      </c>
      <c r="BP5" s="104" t="s">
        <v>3759</v>
      </c>
      <c r="BQ5" s="104" t="s">
        <v>3760</v>
      </c>
      <c r="BR5" s="104" t="s">
        <v>3761</v>
      </c>
      <c r="BS5" s="104" t="s">
        <v>3762</v>
      </c>
      <c r="BT5" s="104" t="s">
        <v>3763</v>
      </c>
    </row>
    <row r="6" spans="1:72">
      <c r="A6" s="104" t="s">
        <v>23</v>
      </c>
      <c r="B6" s="47"/>
      <c r="C6" s="104">
        <v>1</v>
      </c>
      <c r="D6" s="104">
        <v>10788.11387371307</v>
      </c>
      <c r="E6" s="104">
        <v>184</v>
      </c>
      <c r="F6" s="104">
        <v>3070.6972044033123</v>
      </c>
      <c r="G6" s="104">
        <v>15609.718368814216</v>
      </c>
      <c r="H6" s="104">
        <v>182</v>
      </c>
      <c r="I6" s="104">
        <v>3639.0519855889715</v>
      </c>
      <c r="J6" s="104">
        <v>10753.747786463098</v>
      </c>
      <c r="K6" s="104">
        <v>182</v>
      </c>
      <c r="L6" s="104">
        <v>3762.0598267234486</v>
      </c>
      <c r="M6" s="104">
        <v>0.34737704918032791</v>
      </c>
      <c r="N6" s="104">
        <v>183</v>
      </c>
      <c r="O6" s="105">
        <v>0.14046256494474071</v>
      </c>
      <c r="P6" s="105">
        <v>0.49928961748633882</v>
      </c>
      <c r="Q6" s="104">
        <v>183</v>
      </c>
      <c r="R6" s="105">
        <v>0.1403548907472921</v>
      </c>
      <c r="S6" s="105">
        <v>0.58306010928961749</v>
      </c>
      <c r="T6" s="104">
        <v>183</v>
      </c>
      <c r="U6" s="104">
        <v>0.19677573624800476</v>
      </c>
      <c r="V6" s="104">
        <v>6712.5300546448088</v>
      </c>
      <c r="W6" s="104">
        <v>183</v>
      </c>
      <c r="X6" s="104">
        <v>2980.4879414812767</v>
      </c>
      <c r="Y6" s="104">
        <v>3285.3909037461544</v>
      </c>
      <c r="Z6" s="104">
        <v>184</v>
      </c>
      <c r="AA6" s="104">
        <v>1670.3031494179838</v>
      </c>
      <c r="AB6" s="105">
        <v>0.2122257436875736</v>
      </c>
      <c r="AC6" s="104">
        <v>184</v>
      </c>
      <c r="AD6" s="105">
        <v>8.4092738186875307E-2</v>
      </c>
      <c r="AE6" s="104">
        <v>50370.118817702205</v>
      </c>
      <c r="AF6" s="104">
        <v>184</v>
      </c>
      <c r="AG6" s="104">
        <v>34109.744719525719</v>
      </c>
      <c r="AH6" s="104">
        <v>51063.727549706673</v>
      </c>
      <c r="AI6" s="104">
        <v>184</v>
      </c>
      <c r="AJ6" s="104">
        <v>34466.230178871541</v>
      </c>
      <c r="AK6" s="104">
        <v>20588.499569451094</v>
      </c>
      <c r="AL6" s="104">
        <v>184</v>
      </c>
      <c r="AM6" s="104">
        <v>8723.1420658704919</v>
      </c>
      <c r="AN6" s="104">
        <v>0.61811231188697169</v>
      </c>
      <c r="AO6" s="104">
        <v>184</v>
      </c>
      <c r="AP6" s="104">
        <v>0.17101180524795506</v>
      </c>
      <c r="AQ6" s="104">
        <v>137328.31572687061</v>
      </c>
      <c r="AR6" s="104">
        <v>184</v>
      </c>
      <c r="AS6" s="104">
        <v>46575.274448278913</v>
      </c>
      <c r="AT6" s="104">
        <v>0.59027576994875219</v>
      </c>
      <c r="AU6" s="104">
        <v>184</v>
      </c>
      <c r="AV6" s="104">
        <v>5.6828144107402973E-2</v>
      </c>
      <c r="AW6" s="104">
        <v>395.27002372082774</v>
      </c>
      <c r="AX6" s="104">
        <v>184</v>
      </c>
      <c r="AY6" s="104">
        <v>155.00027761570814</v>
      </c>
      <c r="AZ6" s="104">
        <v>13.679906985910744</v>
      </c>
      <c r="BA6" s="104">
        <v>184</v>
      </c>
      <c r="BB6" s="104">
        <v>5.068533292847885</v>
      </c>
      <c r="BC6" s="104">
        <v>74936.466966013686</v>
      </c>
      <c r="BD6" s="104">
        <v>184</v>
      </c>
      <c r="BE6" s="104">
        <v>31334.589523659237</v>
      </c>
      <c r="BF6" s="104">
        <v>712.54773240400834</v>
      </c>
      <c r="BG6" s="104">
        <v>184</v>
      </c>
      <c r="BH6" s="104">
        <v>283.67653225907048</v>
      </c>
      <c r="BI6" s="104">
        <v>1.5308507551328874</v>
      </c>
      <c r="BJ6" s="104">
        <v>184</v>
      </c>
      <c r="BK6" s="104">
        <v>0.55601664135194007</v>
      </c>
      <c r="BL6" s="104">
        <v>28.886958409951163</v>
      </c>
      <c r="BM6" s="104">
        <v>184</v>
      </c>
      <c r="BN6" s="104">
        <v>3.8126302471578128</v>
      </c>
      <c r="BO6" s="104">
        <v>105.16694329121151</v>
      </c>
      <c r="BP6" s="104">
        <v>184</v>
      </c>
      <c r="BQ6" s="104">
        <v>19.851945474598658</v>
      </c>
      <c r="BR6" s="104">
        <v>0.13660303309813621</v>
      </c>
      <c r="BS6" s="104">
        <v>174</v>
      </c>
      <c r="BT6" s="104">
        <v>0.51824838567161058</v>
      </c>
    </row>
    <row r="7" spans="1:72">
      <c r="A7" s="104" t="s">
        <v>25</v>
      </c>
      <c r="B7" s="47"/>
      <c r="C7" s="104">
        <v>2</v>
      </c>
      <c r="D7" s="104">
        <v>8557.0963247070104</v>
      </c>
      <c r="E7" s="104">
        <v>251</v>
      </c>
      <c r="F7" s="104">
        <v>2210.8308736544805</v>
      </c>
      <c r="G7" s="104">
        <v>12892.425875820587</v>
      </c>
      <c r="H7" s="104">
        <v>250</v>
      </c>
      <c r="I7" s="104">
        <v>3970.4208117503458</v>
      </c>
      <c r="J7" s="104">
        <v>9924.8508825118133</v>
      </c>
      <c r="K7" s="104">
        <v>250</v>
      </c>
      <c r="L7" s="104">
        <v>3736.5986210149049</v>
      </c>
      <c r="M7" s="104">
        <v>0.46444000000000002</v>
      </c>
      <c r="N7" s="104">
        <v>250</v>
      </c>
      <c r="O7" s="105">
        <v>0.16073047750815653</v>
      </c>
      <c r="P7" s="105">
        <v>0.57896000000000003</v>
      </c>
      <c r="Q7" s="104">
        <v>250</v>
      </c>
      <c r="R7" s="105">
        <v>0.19238014034717818</v>
      </c>
      <c r="S7" s="105">
        <v>0.52036000000000004</v>
      </c>
      <c r="T7" s="104">
        <v>250</v>
      </c>
      <c r="U7" s="104">
        <v>0.22912937480820741</v>
      </c>
      <c r="V7" s="104">
        <v>4355.88</v>
      </c>
      <c r="W7" s="104">
        <v>250</v>
      </c>
      <c r="X7" s="104">
        <v>2109.7555502000696</v>
      </c>
      <c r="Y7" s="104">
        <v>1677.705700788046</v>
      </c>
      <c r="Z7" s="104">
        <v>249</v>
      </c>
      <c r="AA7" s="104">
        <v>883.28521003139747</v>
      </c>
      <c r="AB7" s="105">
        <v>0.17313348135667453</v>
      </c>
      <c r="AC7" s="104">
        <v>249</v>
      </c>
      <c r="AD7" s="105">
        <v>9.4062453849945132E-2</v>
      </c>
      <c r="AE7" s="104">
        <v>22466.886327832548</v>
      </c>
      <c r="AF7" s="104">
        <v>251</v>
      </c>
      <c r="AG7" s="104">
        <v>9664.1342773134857</v>
      </c>
      <c r="AH7" s="104">
        <v>23354.947501629398</v>
      </c>
      <c r="AI7" s="104">
        <v>251</v>
      </c>
      <c r="AJ7" s="104">
        <v>10032.727499276005</v>
      </c>
      <c r="AK7" s="104">
        <v>14880.151494016485</v>
      </c>
      <c r="AL7" s="104">
        <v>251</v>
      </c>
      <c r="AM7" s="104">
        <v>4138.919064953252</v>
      </c>
      <c r="AN7" s="104">
        <v>0.54400903432714764</v>
      </c>
      <c r="AO7" s="104">
        <v>251</v>
      </c>
      <c r="AP7" s="104">
        <v>0.15623771718834578</v>
      </c>
      <c r="AQ7" s="104">
        <v>103868.04801765089</v>
      </c>
      <c r="AR7" s="104">
        <v>251</v>
      </c>
      <c r="AS7" s="104">
        <v>25098.973769407981</v>
      </c>
      <c r="AT7" s="104">
        <v>0.58718758678885985</v>
      </c>
      <c r="AU7" s="104">
        <v>251</v>
      </c>
      <c r="AV7" s="104">
        <v>7.2199913643313254E-2</v>
      </c>
      <c r="AW7" s="104">
        <v>559.28475018294728</v>
      </c>
      <c r="AX7" s="104">
        <v>251</v>
      </c>
      <c r="AY7" s="104">
        <v>166.800866374008</v>
      </c>
      <c r="AZ7" s="104">
        <v>18.643856738028632</v>
      </c>
      <c r="BA7" s="104">
        <v>251</v>
      </c>
      <c r="BB7" s="104">
        <v>4.2523003358836613</v>
      </c>
      <c r="BC7" s="104">
        <v>54646.511432747757</v>
      </c>
      <c r="BD7" s="104">
        <v>251</v>
      </c>
      <c r="BE7" s="104">
        <v>17512.227490237241</v>
      </c>
      <c r="BF7" s="104">
        <v>496.03249973087628</v>
      </c>
      <c r="BG7" s="104">
        <v>251</v>
      </c>
      <c r="BH7" s="104">
        <v>157.07056452905567</v>
      </c>
      <c r="BI7" s="104">
        <v>2.0269468618884345</v>
      </c>
      <c r="BJ7" s="104">
        <v>251</v>
      </c>
      <c r="BK7" s="104">
        <v>0.70178978045743157</v>
      </c>
      <c r="BL7" s="104">
        <v>28.105070841979725</v>
      </c>
      <c r="BM7" s="104">
        <v>251</v>
      </c>
      <c r="BN7" s="104">
        <v>6.1406767157965838</v>
      </c>
      <c r="BO7" s="104">
        <v>110.16719965404759</v>
      </c>
      <c r="BP7" s="104">
        <v>251</v>
      </c>
      <c r="BQ7" s="104">
        <v>24.180125447662821</v>
      </c>
      <c r="BR7" s="104">
        <v>7.9912030764375822E-2</v>
      </c>
      <c r="BS7" s="104">
        <v>250</v>
      </c>
      <c r="BT7" s="104">
        <v>0.44933889821908241</v>
      </c>
    </row>
    <row r="8" spans="1:72">
      <c r="A8" s="104" t="s">
        <v>26</v>
      </c>
      <c r="B8" s="47"/>
      <c r="C8" s="104">
        <v>3</v>
      </c>
      <c r="D8" s="104">
        <v>6511.9707589739546</v>
      </c>
      <c r="E8" s="104">
        <v>99</v>
      </c>
      <c r="F8" s="104">
        <v>3224.3773166548963</v>
      </c>
      <c r="G8" s="104">
        <v>9908.449669549871</v>
      </c>
      <c r="H8" s="104">
        <v>97</v>
      </c>
      <c r="I8" s="104">
        <v>4860.8730145318377</v>
      </c>
      <c r="J8" s="104">
        <v>8133.7510823505618</v>
      </c>
      <c r="K8" s="104">
        <v>97</v>
      </c>
      <c r="L8" s="104">
        <v>4424.778132371589</v>
      </c>
      <c r="M8" s="104">
        <v>0.49855670103092786</v>
      </c>
      <c r="N8" s="104">
        <v>97</v>
      </c>
      <c r="O8" s="105">
        <v>0.14967311247991766</v>
      </c>
      <c r="P8" s="105">
        <v>0.53144329896907216</v>
      </c>
      <c r="Q8" s="104">
        <v>97</v>
      </c>
      <c r="R8" s="105">
        <v>0.23242775040026337</v>
      </c>
      <c r="S8" s="105">
        <v>0.50546391752577324</v>
      </c>
      <c r="T8" s="104">
        <v>97</v>
      </c>
      <c r="U8" s="104">
        <v>0.30640926952465453</v>
      </c>
      <c r="V8" s="104">
        <v>3707.6458333333335</v>
      </c>
      <c r="W8" s="104">
        <v>96</v>
      </c>
      <c r="X8" s="104">
        <v>2083.3659813066865</v>
      </c>
      <c r="Y8" s="104">
        <v>1205.6488457206328</v>
      </c>
      <c r="Z8" s="104">
        <v>97</v>
      </c>
      <c r="AA8" s="104">
        <v>1062.1733033275127</v>
      </c>
      <c r="AB8" s="105">
        <v>0.18856569444713078</v>
      </c>
      <c r="AC8" s="104">
        <v>97</v>
      </c>
      <c r="AD8" s="105">
        <v>0.13497906687854927</v>
      </c>
      <c r="AE8" s="104">
        <v>17817.029932905865</v>
      </c>
      <c r="AF8" s="104">
        <v>99</v>
      </c>
      <c r="AG8" s="104">
        <v>7647.2461998997387</v>
      </c>
      <c r="AH8" s="104">
        <v>18821.541744933042</v>
      </c>
      <c r="AI8" s="104">
        <v>99</v>
      </c>
      <c r="AJ8" s="104">
        <v>8092.7382626023773</v>
      </c>
      <c r="AK8" s="104">
        <v>13508.717008326055</v>
      </c>
      <c r="AL8" s="104">
        <v>99</v>
      </c>
      <c r="AM8" s="104">
        <v>5266.1564906102667</v>
      </c>
      <c r="AN8" s="104">
        <v>0.48358922752156464</v>
      </c>
      <c r="AO8" s="104">
        <v>99</v>
      </c>
      <c r="AP8" s="104">
        <v>0.1938122344246854</v>
      </c>
      <c r="AQ8" s="104">
        <v>82952.860552878745</v>
      </c>
      <c r="AR8" s="104">
        <v>99</v>
      </c>
      <c r="AS8" s="104">
        <v>19518.154825510843</v>
      </c>
      <c r="AT8" s="104">
        <v>0.57546242084281707</v>
      </c>
      <c r="AU8" s="104">
        <v>99</v>
      </c>
      <c r="AV8" s="104">
        <v>8.7607645528398739E-2</v>
      </c>
      <c r="AW8" s="104">
        <v>560.69625047266129</v>
      </c>
      <c r="AX8" s="104">
        <v>99</v>
      </c>
      <c r="AY8" s="104">
        <v>158.08833160810372</v>
      </c>
      <c r="AZ8" s="104">
        <v>18.691125311956437</v>
      </c>
      <c r="BA8" s="104">
        <v>99</v>
      </c>
      <c r="BB8" s="104">
        <v>5.2913561386166545</v>
      </c>
      <c r="BC8" s="104">
        <v>49469.063394816454</v>
      </c>
      <c r="BD8" s="104">
        <v>99</v>
      </c>
      <c r="BE8" s="104">
        <v>27112.198670434314</v>
      </c>
      <c r="BF8" s="104">
        <v>450.32069002339591</v>
      </c>
      <c r="BG8" s="104">
        <v>99</v>
      </c>
      <c r="BH8" s="104">
        <v>175.82344741947932</v>
      </c>
      <c r="BI8" s="104">
        <v>2.6279866096624676</v>
      </c>
      <c r="BJ8" s="104">
        <v>99</v>
      </c>
      <c r="BK8" s="104">
        <v>1.2612561394284176</v>
      </c>
      <c r="BL8" s="104">
        <v>29.286471193029325</v>
      </c>
      <c r="BM8" s="104">
        <v>99</v>
      </c>
      <c r="BN8" s="104">
        <v>11.007834900641479</v>
      </c>
      <c r="BO8" s="104">
        <v>109.85296587693173</v>
      </c>
      <c r="BP8" s="104">
        <v>99</v>
      </c>
      <c r="BQ8" s="104">
        <v>37.146618246708556</v>
      </c>
      <c r="BR8" s="104">
        <v>2.1987983091596001E-2</v>
      </c>
      <c r="BS8" s="104">
        <v>92</v>
      </c>
      <c r="BT8" s="104">
        <v>0.2596732808487327</v>
      </c>
    </row>
    <row r="9" spans="1:72">
      <c r="A9" s="104" t="s">
        <v>24</v>
      </c>
      <c r="B9" s="47"/>
      <c r="C9" s="104">
        <v>4</v>
      </c>
      <c r="D9" s="104">
        <v>3156.8316485950377</v>
      </c>
      <c r="E9" s="104">
        <v>916</v>
      </c>
      <c r="F9" s="104">
        <v>1436.7254564156685</v>
      </c>
      <c r="G9" s="104">
        <v>6976.0234265647659</v>
      </c>
      <c r="H9" s="104">
        <v>918</v>
      </c>
      <c r="I9" s="104">
        <v>2359.6728237620555</v>
      </c>
      <c r="J9" s="104">
        <v>5735.6792502695434</v>
      </c>
      <c r="K9" s="104">
        <v>918</v>
      </c>
      <c r="L9" s="104">
        <v>2480.1336114682917</v>
      </c>
      <c r="M9" s="104">
        <v>0.53931447225244833</v>
      </c>
      <c r="N9" s="104">
        <v>919</v>
      </c>
      <c r="O9" s="105">
        <v>0.13466061041485136</v>
      </c>
      <c r="P9" s="105">
        <v>0.211860718171926</v>
      </c>
      <c r="Q9" s="104">
        <v>919</v>
      </c>
      <c r="R9" s="105">
        <v>0.19459373759595291</v>
      </c>
      <c r="S9" s="105">
        <v>0.20083786724700761</v>
      </c>
      <c r="T9" s="104">
        <v>919</v>
      </c>
      <c r="U9" s="104">
        <v>0.18765854332172544</v>
      </c>
      <c r="V9" s="104">
        <v>1869.6855123674911</v>
      </c>
      <c r="W9" s="104">
        <v>849</v>
      </c>
      <c r="X9" s="104">
        <v>1114.8896796014149</v>
      </c>
      <c r="Y9" s="104">
        <v>413.01360408834614</v>
      </c>
      <c r="Z9" s="104">
        <v>782</v>
      </c>
      <c r="AA9" s="104">
        <v>534.59364464670023</v>
      </c>
      <c r="AB9" s="105">
        <v>0.13247277528121865</v>
      </c>
      <c r="AC9" s="104">
        <v>782</v>
      </c>
      <c r="AD9" s="105">
        <v>0.18453302985086381</v>
      </c>
      <c r="AE9" s="104">
        <v>13901.963685095097</v>
      </c>
      <c r="AF9" s="104">
        <v>919</v>
      </c>
      <c r="AG9" s="104">
        <v>3926.4759498738249</v>
      </c>
      <c r="AH9" s="104">
        <v>14088.98843885331</v>
      </c>
      <c r="AI9" s="104">
        <v>919</v>
      </c>
      <c r="AJ9" s="104">
        <v>4113.9816070913994</v>
      </c>
      <c r="AK9" s="104">
        <v>10862.116981275678</v>
      </c>
      <c r="AL9" s="104">
        <v>919</v>
      </c>
      <c r="AM9" s="104">
        <v>3354.8828717293741</v>
      </c>
      <c r="AN9" s="104">
        <v>0.3497846420153144</v>
      </c>
      <c r="AO9" s="104">
        <v>919</v>
      </c>
      <c r="AP9" s="104">
        <v>0.18263015839553604</v>
      </c>
      <c r="AQ9" s="104">
        <v>84843.015782953938</v>
      </c>
      <c r="AR9" s="104">
        <v>919</v>
      </c>
      <c r="AS9" s="104">
        <v>28793.808964463293</v>
      </c>
      <c r="AT9" s="104">
        <v>0.59009769144394919</v>
      </c>
      <c r="AU9" s="104">
        <v>919</v>
      </c>
      <c r="AV9" s="104">
        <v>8.5422542750250616E-2</v>
      </c>
      <c r="AW9" s="104">
        <v>671.0994437031153</v>
      </c>
      <c r="AX9" s="104">
        <v>919</v>
      </c>
      <c r="AY9" s="104">
        <v>222.22441231985067</v>
      </c>
      <c r="AZ9" s="104">
        <v>21.861646520467183</v>
      </c>
      <c r="BA9" s="104">
        <v>919</v>
      </c>
      <c r="BB9" s="104">
        <v>6.5730200912831709</v>
      </c>
      <c r="BC9" s="104">
        <v>34180.906294557193</v>
      </c>
      <c r="BD9" s="104">
        <v>919</v>
      </c>
      <c r="BE9" s="104">
        <v>16327.85311438349</v>
      </c>
      <c r="BF9" s="104">
        <v>353.84288295381668</v>
      </c>
      <c r="BG9" s="104">
        <v>919</v>
      </c>
      <c r="BH9" s="104">
        <v>114.28244138847936</v>
      </c>
      <c r="BI9" s="104">
        <v>3.7342658491695611</v>
      </c>
      <c r="BJ9" s="104">
        <v>919</v>
      </c>
      <c r="BK9" s="104">
        <v>2.1157299318466984</v>
      </c>
      <c r="BL9" s="104">
        <v>36.305939838722296</v>
      </c>
      <c r="BM9" s="104">
        <v>919</v>
      </c>
      <c r="BN9" s="104">
        <v>15.734529622219837</v>
      </c>
      <c r="BO9" s="104">
        <v>96.599106386487534</v>
      </c>
      <c r="BP9" s="104">
        <v>919</v>
      </c>
      <c r="BQ9" s="104">
        <v>38.964054982245678</v>
      </c>
      <c r="BR9" s="104">
        <v>0.14667860834704805</v>
      </c>
      <c r="BS9" s="104">
        <v>813</v>
      </c>
      <c r="BT9" s="104">
        <v>2.1314997991432549</v>
      </c>
    </row>
    <row r="10" spans="1:72">
      <c r="A10" s="104" t="s">
        <v>3639</v>
      </c>
      <c r="B10" s="47"/>
      <c r="C10" s="104">
        <v>5</v>
      </c>
      <c r="D10" s="104">
        <v>43182.059328076182</v>
      </c>
      <c r="E10" s="104">
        <v>112</v>
      </c>
      <c r="F10" s="104">
        <v>12500.91701466926</v>
      </c>
      <c r="G10" s="104">
        <v>29517.629285435378</v>
      </c>
      <c r="H10" s="104">
        <v>111</v>
      </c>
      <c r="I10" s="104">
        <v>7418.3493962624634</v>
      </c>
      <c r="J10" s="104">
        <v>17232.180543752056</v>
      </c>
      <c r="K10" s="104">
        <v>111</v>
      </c>
      <c r="L10" s="104">
        <v>8730.411429559912</v>
      </c>
      <c r="M10" s="104">
        <v>0.26270270270270268</v>
      </c>
      <c r="N10" s="104">
        <v>111</v>
      </c>
      <c r="O10" s="105">
        <v>0.15672289165106085</v>
      </c>
      <c r="P10" s="105">
        <v>0.49819819819819822</v>
      </c>
      <c r="Q10" s="104">
        <v>111</v>
      </c>
      <c r="R10" s="105">
        <v>0.22125847343960767</v>
      </c>
      <c r="S10" s="105">
        <v>0.78207207207207208</v>
      </c>
      <c r="T10" s="104">
        <v>111</v>
      </c>
      <c r="U10" s="104">
        <v>0.2303937761809414</v>
      </c>
      <c r="V10" s="104">
        <v>26058.837837837837</v>
      </c>
      <c r="W10" s="104">
        <v>111</v>
      </c>
      <c r="X10" s="104">
        <v>11783.363213546128</v>
      </c>
      <c r="Y10" s="104">
        <v>13664.936954473762</v>
      </c>
      <c r="Z10" s="104">
        <v>115</v>
      </c>
      <c r="AA10" s="104">
        <v>6075.9434449664632</v>
      </c>
      <c r="AB10" s="105">
        <v>0.3431379071077314</v>
      </c>
      <c r="AC10" s="104">
        <v>115</v>
      </c>
      <c r="AD10" s="105">
        <v>0.12078452425911673</v>
      </c>
      <c r="AE10" s="104">
        <v>90593.887888432204</v>
      </c>
      <c r="AF10" s="104">
        <v>115</v>
      </c>
      <c r="AG10" s="104">
        <v>90858.337405674349</v>
      </c>
      <c r="AH10" s="104">
        <v>93314.059396055192</v>
      </c>
      <c r="AI10" s="104">
        <v>115</v>
      </c>
      <c r="AJ10" s="104">
        <v>94284.086927800614</v>
      </c>
      <c r="AK10" s="104">
        <v>46991.305622651955</v>
      </c>
      <c r="AL10" s="104">
        <v>115</v>
      </c>
      <c r="AM10" s="104">
        <v>33707.715021263648</v>
      </c>
      <c r="AN10" s="104">
        <v>0.74566589604449607</v>
      </c>
      <c r="AO10" s="104">
        <v>115</v>
      </c>
      <c r="AP10" s="104">
        <v>0.25438168608521705</v>
      </c>
      <c r="AQ10" s="104">
        <v>153514.98024797509</v>
      </c>
      <c r="AR10" s="104">
        <v>115</v>
      </c>
      <c r="AS10" s="104">
        <v>57186.57983756996</v>
      </c>
      <c r="AT10" s="104">
        <v>0.58026611206172796</v>
      </c>
      <c r="AU10" s="104">
        <v>115</v>
      </c>
      <c r="AV10" s="104">
        <v>5.506445734331681E-2</v>
      </c>
      <c r="AW10" s="104">
        <v>230.84443746882488</v>
      </c>
      <c r="AX10" s="104">
        <v>115</v>
      </c>
      <c r="AY10" s="104">
        <v>164.27493801303575</v>
      </c>
      <c r="AZ10" s="104">
        <v>8.469360068112632</v>
      </c>
      <c r="BA10" s="104">
        <v>115</v>
      </c>
      <c r="BB10" s="104">
        <v>5.7106844865928048</v>
      </c>
      <c r="BC10" s="104">
        <v>145216.7274259621</v>
      </c>
      <c r="BD10" s="104">
        <v>115</v>
      </c>
      <c r="BE10" s="104">
        <v>103404.33205299625</v>
      </c>
      <c r="BF10" s="104">
        <v>1724.0453863771891</v>
      </c>
      <c r="BG10" s="104">
        <v>115</v>
      </c>
      <c r="BH10" s="104">
        <v>1295.5234580541555</v>
      </c>
      <c r="BI10" s="104">
        <v>1.0852246632683058</v>
      </c>
      <c r="BJ10" s="104">
        <v>115</v>
      </c>
      <c r="BK10" s="104">
        <v>0.85912988105562682</v>
      </c>
      <c r="BL10" s="104">
        <v>35.228128270402998</v>
      </c>
      <c r="BM10" s="104">
        <v>115</v>
      </c>
      <c r="BN10" s="104">
        <v>6.5695131122234747</v>
      </c>
      <c r="BO10" s="104">
        <v>84.230223040190538</v>
      </c>
      <c r="BP10" s="104">
        <v>115</v>
      </c>
      <c r="BQ10" s="104">
        <v>19.953846147360245</v>
      </c>
      <c r="BR10" s="104">
        <v>6.7576024698776438E-2</v>
      </c>
      <c r="BS10" s="104">
        <v>115</v>
      </c>
      <c r="BT10" s="104">
        <v>5.886197623369082E-2</v>
      </c>
    </row>
    <row r="11" spans="1:72">
      <c r="A11" s="104" t="s">
        <v>3640</v>
      </c>
      <c r="B11" s="47"/>
      <c r="C11" s="104">
        <v>6</v>
      </c>
      <c r="D11" s="104">
        <v>29876.744850701587</v>
      </c>
      <c r="E11" s="104">
        <v>369</v>
      </c>
      <c r="F11" s="104">
        <v>10298.386551258231</v>
      </c>
      <c r="G11" s="104">
        <v>26376.872431725398</v>
      </c>
      <c r="H11" s="104">
        <v>359</v>
      </c>
      <c r="I11" s="104">
        <v>7507.9893495041433</v>
      </c>
      <c r="J11" s="104">
        <v>21816.356361689544</v>
      </c>
      <c r="K11" s="104">
        <v>358</v>
      </c>
      <c r="L11" s="104">
        <v>7383.1849120964753</v>
      </c>
      <c r="M11" s="104">
        <v>0.4054945054945055</v>
      </c>
      <c r="N11" s="104">
        <v>364</v>
      </c>
      <c r="O11" s="105">
        <v>0.15442387602405896</v>
      </c>
      <c r="P11" s="105">
        <v>0.71060439560439559</v>
      </c>
      <c r="Q11" s="104">
        <v>364</v>
      </c>
      <c r="R11" s="105">
        <v>0.15370396686887461</v>
      </c>
      <c r="S11" s="105">
        <v>0.93431318681318687</v>
      </c>
      <c r="T11" s="104">
        <v>364</v>
      </c>
      <c r="U11" s="104">
        <v>0.15301124264431853</v>
      </c>
      <c r="V11" s="104">
        <v>16936.279778393353</v>
      </c>
      <c r="W11" s="104">
        <v>361</v>
      </c>
      <c r="X11" s="104">
        <v>5526.8045961122689</v>
      </c>
      <c r="Y11" s="104">
        <v>8879.7925056883632</v>
      </c>
      <c r="Z11" s="104">
        <v>367</v>
      </c>
      <c r="AA11" s="104">
        <v>4893.9037106298292</v>
      </c>
      <c r="AB11" s="105">
        <v>0.36502036838058827</v>
      </c>
      <c r="AC11" s="104">
        <v>367</v>
      </c>
      <c r="AD11" s="105">
        <v>0.12009647714063243</v>
      </c>
      <c r="AE11" s="104">
        <v>23242.836397944102</v>
      </c>
      <c r="AF11" s="104">
        <v>371</v>
      </c>
      <c r="AG11" s="104">
        <v>9615.3170882454033</v>
      </c>
      <c r="AH11" s="104">
        <v>22695.334178455527</v>
      </c>
      <c r="AI11" s="104">
        <v>371</v>
      </c>
      <c r="AJ11" s="104">
        <v>9148.4873443358392</v>
      </c>
      <c r="AK11" s="104">
        <v>18895.327998831752</v>
      </c>
      <c r="AL11" s="104">
        <v>371</v>
      </c>
      <c r="AM11" s="104">
        <v>6816.5492838748605</v>
      </c>
      <c r="AN11" s="104">
        <v>0.79872667914607243</v>
      </c>
      <c r="AO11" s="104">
        <v>371</v>
      </c>
      <c r="AP11" s="104">
        <v>0.15298876225217345</v>
      </c>
      <c r="AQ11" s="104">
        <v>81985.253908866478</v>
      </c>
      <c r="AR11" s="104">
        <v>371</v>
      </c>
      <c r="AS11" s="104">
        <v>17555.215425517621</v>
      </c>
      <c r="AT11" s="104">
        <v>0.55089696679035804</v>
      </c>
      <c r="AU11" s="104">
        <v>371</v>
      </c>
      <c r="AV11" s="104">
        <v>6.2656679758907527E-2</v>
      </c>
      <c r="AW11" s="104">
        <v>440.23144315890784</v>
      </c>
      <c r="AX11" s="104">
        <v>371</v>
      </c>
      <c r="AY11" s="104">
        <v>170.23488774346282</v>
      </c>
      <c r="AZ11" s="104">
        <v>15.667952643315759</v>
      </c>
      <c r="BA11" s="104">
        <v>371</v>
      </c>
      <c r="BB11" s="104">
        <v>5.4958186389351829</v>
      </c>
      <c r="BC11" s="104">
        <v>61177.260218872507</v>
      </c>
      <c r="BD11" s="104">
        <v>371</v>
      </c>
      <c r="BE11" s="104">
        <v>26483.663983848917</v>
      </c>
      <c r="BF11" s="104">
        <v>672.48968438347174</v>
      </c>
      <c r="BG11" s="104">
        <v>371</v>
      </c>
      <c r="BH11" s="104">
        <v>255.97886048736788</v>
      </c>
      <c r="BI11" s="104">
        <v>2.0616409171986652</v>
      </c>
      <c r="BJ11" s="104">
        <v>371</v>
      </c>
      <c r="BK11" s="104">
        <v>1.1589494623451868</v>
      </c>
      <c r="BL11" s="104">
        <v>33.337881923483778</v>
      </c>
      <c r="BM11" s="104">
        <v>371</v>
      </c>
      <c r="BN11" s="104">
        <v>8.2806585854030637</v>
      </c>
      <c r="BO11" s="104">
        <v>90.971299098749569</v>
      </c>
      <c r="BP11" s="104">
        <v>371</v>
      </c>
      <c r="BQ11" s="104">
        <v>24.149378590972141</v>
      </c>
      <c r="BR11" s="104">
        <v>3.6528855960541617E-2</v>
      </c>
      <c r="BS11" s="104">
        <v>368</v>
      </c>
      <c r="BT11" s="104">
        <v>0.15489665531328939</v>
      </c>
    </row>
    <row r="12" spans="1:72">
      <c r="A12" s="104" t="s">
        <v>3641</v>
      </c>
      <c r="B12" s="47"/>
      <c r="C12" s="104">
        <v>7</v>
      </c>
      <c r="D12" s="104">
        <v>32412.572163949048</v>
      </c>
      <c r="E12" s="104">
        <v>404</v>
      </c>
      <c r="F12" s="104">
        <v>15093.661813435596</v>
      </c>
      <c r="G12" s="104">
        <v>23073.513227975203</v>
      </c>
      <c r="H12" s="104">
        <v>401</v>
      </c>
      <c r="I12" s="104">
        <v>7973.1337676266976</v>
      </c>
      <c r="J12" s="104">
        <v>15912.922859500588</v>
      </c>
      <c r="K12" s="104">
        <v>399</v>
      </c>
      <c r="L12" s="104">
        <v>6800.3526571304628</v>
      </c>
      <c r="M12" s="104">
        <v>0.42473815461346631</v>
      </c>
      <c r="N12" s="104">
        <v>401</v>
      </c>
      <c r="O12" s="105">
        <v>0.21092834529399984</v>
      </c>
      <c r="P12" s="105">
        <v>0.67810473815461347</v>
      </c>
      <c r="Q12" s="104">
        <v>401</v>
      </c>
      <c r="R12" s="105">
        <v>0.19494842083363983</v>
      </c>
      <c r="S12" s="105">
        <v>0.85990024937655862</v>
      </c>
      <c r="T12" s="104">
        <v>401</v>
      </c>
      <c r="U12" s="104">
        <v>0.22032958767927724</v>
      </c>
      <c r="V12" s="104">
        <v>19134.533834586466</v>
      </c>
      <c r="W12" s="104">
        <v>399</v>
      </c>
      <c r="X12" s="104">
        <v>11000.486647619018</v>
      </c>
      <c r="Y12" s="104">
        <v>14000.179383623266</v>
      </c>
      <c r="Z12" s="104">
        <v>395</v>
      </c>
      <c r="AA12" s="104">
        <v>8486.6207583498399</v>
      </c>
      <c r="AB12" s="105">
        <v>0.45498331872772191</v>
      </c>
      <c r="AC12" s="104">
        <v>395</v>
      </c>
      <c r="AD12" s="105">
        <v>0.16858864404429039</v>
      </c>
      <c r="AE12" s="104">
        <v>32916.531171795861</v>
      </c>
      <c r="AF12" s="104">
        <v>405</v>
      </c>
      <c r="AG12" s="104">
        <v>20091.512466509466</v>
      </c>
      <c r="AH12" s="104">
        <v>34797.490035914328</v>
      </c>
      <c r="AI12" s="104">
        <v>405</v>
      </c>
      <c r="AJ12" s="104">
        <v>20291.445920260361</v>
      </c>
      <c r="AK12" s="104">
        <v>27651.940488317727</v>
      </c>
      <c r="AL12" s="104">
        <v>405</v>
      </c>
      <c r="AM12" s="104">
        <v>16142.949748004179</v>
      </c>
      <c r="AN12" s="104">
        <v>0.60501781112515296</v>
      </c>
      <c r="AO12" s="104">
        <v>405</v>
      </c>
      <c r="AP12" s="104">
        <v>0.21857876017061328</v>
      </c>
      <c r="AQ12" s="104">
        <v>81487.414245885855</v>
      </c>
      <c r="AR12" s="104">
        <v>404</v>
      </c>
      <c r="AS12" s="104">
        <v>20481.229870383479</v>
      </c>
      <c r="AT12" s="104">
        <v>0.50737556946437934</v>
      </c>
      <c r="AU12" s="104">
        <v>405</v>
      </c>
      <c r="AV12" s="104">
        <v>7.327953531611045E-2</v>
      </c>
      <c r="AW12" s="104">
        <v>375.2759561553263</v>
      </c>
      <c r="AX12" s="104">
        <v>404</v>
      </c>
      <c r="AY12" s="104">
        <v>191.00413029676992</v>
      </c>
      <c r="AZ12" s="104">
        <v>12.530749532558334</v>
      </c>
      <c r="BA12" s="104">
        <v>404</v>
      </c>
      <c r="BB12" s="104">
        <v>6.1234484868338317</v>
      </c>
      <c r="BC12" s="104">
        <v>120966.58864017393</v>
      </c>
      <c r="BD12" s="104">
        <v>405</v>
      </c>
      <c r="BE12" s="104">
        <v>67028.462041679406</v>
      </c>
      <c r="BF12" s="104">
        <v>923.3136238357115</v>
      </c>
      <c r="BG12" s="104">
        <v>405</v>
      </c>
      <c r="BH12" s="104">
        <v>559.6497222972672</v>
      </c>
      <c r="BI12" s="104">
        <v>1.1581262450900744</v>
      </c>
      <c r="BJ12" s="104">
        <v>405</v>
      </c>
      <c r="BK12" s="104">
        <v>0.77096300066133705</v>
      </c>
      <c r="BL12" s="104">
        <v>24.744409514941577</v>
      </c>
      <c r="BM12" s="104">
        <v>405</v>
      </c>
      <c r="BN12" s="104">
        <v>6.8748446166677635</v>
      </c>
      <c r="BO12" s="104">
        <v>131.01354243820617</v>
      </c>
      <c r="BP12" s="104">
        <v>405</v>
      </c>
      <c r="BQ12" s="104">
        <v>38.692331127687567</v>
      </c>
      <c r="BR12" s="104">
        <v>-1.0192159799448737E-2</v>
      </c>
      <c r="BS12" s="104">
        <v>403</v>
      </c>
      <c r="BT12" s="104">
        <v>1.1935331872612114</v>
      </c>
    </row>
  </sheetData>
  <sheetProtection algorithmName="SHA-512" hashValue="zQowVsUrulu3y/rSu92L/XeYmorTJn2M5VTTSKgA6Sr+GEfT5LEl7dvx1249JkVTjckVJcq8mmzpNUDKkGFNNg==" saltValue="bS8tKy5k+MrvAd36W5iSwQ==" spinCount="100000" sheet="1" objects="1" scenarios="1"/>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C8CE-BF28-4BA2-ADB9-76A69A2D7C0C}">
  <sheetPr codeName="Sheet1">
    <tabColor theme="5" tint="-0.249977111117893"/>
    <pageSetUpPr fitToPage="1"/>
  </sheetPr>
  <dimension ref="A1:L57"/>
  <sheetViews>
    <sheetView showGridLines="0" topLeftCell="B1" zoomScaleNormal="100" zoomScalePageLayoutView="80" workbookViewId="0">
      <selection activeCell="B1" sqref="B1"/>
    </sheetView>
  </sheetViews>
  <sheetFormatPr defaultColWidth="8.85546875" defaultRowHeight="15"/>
  <cols>
    <col min="1" max="1" width="19.140625" style="1" hidden="1" customWidth="1"/>
    <col min="2" max="2" width="2.28515625" style="1" customWidth="1"/>
    <col min="3" max="3" width="2.42578125" style="1" customWidth="1"/>
    <col min="4" max="4" width="67.42578125" style="1" customWidth="1"/>
    <col min="5" max="5" width="2.85546875" style="1" customWidth="1"/>
    <col min="6" max="6" width="4" style="1" customWidth="1"/>
    <col min="7" max="7" width="37.85546875" style="1" customWidth="1"/>
    <col min="8" max="8" width="11.85546875" style="1" customWidth="1"/>
    <col min="9" max="9" width="42.5703125" style="1" customWidth="1"/>
    <col min="10" max="10" width="8.85546875" style="1"/>
    <col min="11" max="12" width="8.85546875" style="1" customWidth="1"/>
    <col min="13" max="16384" width="8.85546875" style="1"/>
  </cols>
  <sheetData>
    <row r="1" spans="2:9" ht="33">
      <c r="B1" s="294"/>
      <c r="C1" s="295" t="s">
        <v>3957</v>
      </c>
      <c r="D1" s="295"/>
      <c r="E1" s="295"/>
      <c r="F1" s="295"/>
      <c r="G1" s="295"/>
      <c r="H1" s="295"/>
      <c r="I1" s="296"/>
    </row>
    <row r="2" spans="2:9" ht="8.25" customHeight="1">
      <c r="B2" s="294"/>
      <c r="C2" s="297"/>
      <c r="D2" s="294"/>
      <c r="E2" s="294"/>
      <c r="F2" s="294"/>
      <c r="G2" s="294"/>
      <c r="H2" s="294"/>
      <c r="I2" s="294"/>
    </row>
    <row r="3" spans="2:9" ht="21.75" customHeight="1">
      <c r="B3" s="294"/>
      <c r="C3" s="478"/>
      <c r="D3" s="479" t="s">
        <v>3955</v>
      </c>
      <c r="E3" s="480"/>
      <c r="F3" s="301"/>
      <c r="G3" s="301"/>
      <c r="H3" s="440"/>
      <c r="I3" s="294"/>
    </row>
    <row r="4" spans="2:9" s="39" customFormat="1" ht="21.75" customHeight="1">
      <c r="B4" s="305"/>
      <c r="C4" s="481"/>
      <c r="D4" s="439" t="s">
        <v>58</v>
      </c>
      <c r="E4" s="482"/>
      <c r="F4" s="305"/>
      <c r="G4" s="305"/>
      <c r="H4" s="441"/>
      <c r="I4" s="305"/>
    </row>
    <row r="5" spans="2:9" s="39" customFormat="1" ht="21.75" customHeight="1">
      <c r="B5" s="305"/>
      <c r="C5" s="483"/>
      <c r="D5" s="313" t="str">
        <f>IF(D4=""," ",VLOOKUP($D$4,LUMINA_DASH_DATA_FY16_TEMP!$E$6:$I2422,5,FALSE))</f>
        <v>Private Master's University</v>
      </c>
      <c r="E5" s="484"/>
      <c r="F5" s="305"/>
      <c r="G5" s="442"/>
      <c r="H5" s="305"/>
    </row>
    <row r="6" spans="2:9" s="12" customFormat="1" ht="9" customHeight="1">
      <c r="B6" s="317"/>
      <c r="C6" s="317"/>
      <c r="D6" s="317"/>
      <c r="E6" s="318"/>
      <c r="F6" s="319"/>
      <c r="G6" s="319"/>
      <c r="H6" s="317"/>
      <c r="I6" s="317"/>
    </row>
    <row r="7" spans="2:9" s="12" customFormat="1" ht="12" customHeight="1">
      <c r="B7" s="317"/>
      <c r="C7" s="320"/>
      <c r="D7" s="320"/>
      <c r="E7" s="321"/>
      <c r="F7" s="322"/>
      <c r="G7" s="322"/>
      <c r="H7" s="323"/>
      <c r="I7" s="323"/>
    </row>
    <row r="8" spans="2:9" s="12" customFormat="1" ht="17.45" customHeight="1">
      <c r="B8" s="317"/>
      <c r="C8" s="443" t="str">
        <f>'Dashboard Metrics'!C7</f>
        <v>AFFORDABILITY METRICS</v>
      </c>
      <c r="D8" s="444"/>
      <c r="E8" s="445"/>
      <c r="F8" s="446"/>
      <c r="G8" s="446"/>
      <c r="H8" s="447"/>
      <c r="I8" s="485" t="s">
        <v>4267</v>
      </c>
    </row>
    <row r="9" spans="2:9" s="12" customFormat="1" ht="17.45" customHeight="1">
      <c r="B9" s="317"/>
      <c r="C9" s="448"/>
      <c r="D9" s="317"/>
      <c r="E9" s="318"/>
      <c r="F9" s="319"/>
      <c r="G9" s="319"/>
      <c r="H9" s="449"/>
      <c r="I9" s="449"/>
    </row>
    <row r="10" spans="2:9" s="12" customFormat="1" ht="26.25" customHeight="1">
      <c r="B10" s="317"/>
      <c r="C10" s="317"/>
      <c r="D10" s="317"/>
      <c r="E10" s="317"/>
      <c r="F10" s="317"/>
      <c r="G10" s="450" t="s">
        <v>3961</v>
      </c>
      <c r="H10" s="451" t="s">
        <v>3956</v>
      </c>
      <c r="I10" s="452" t="s">
        <v>3962</v>
      </c>
    </row>
    <row r="11" spans="2:9" s="12" customFormat="1" ht="38.1" customHeight="1">
      <c r="B11" s="317"/>
      <c r="C11" s="317"/>
      <c r="D11" s="317"/>
      <c r="E11" s="317"/>
      <c r="F11" s="317"/>
      <c r="G11" s="453" t="s">
        <v>3648</v>
      </c>
      <c r="H11" s="454" t="str">
        <f>'Dashboard Metrics'!L9</f>
        <v>ü</v>
      </c>
      <c r="I11" s="455" t="str">
        <f>'Dashboard Metrics'!R9</f>
        <v>College is comparable to other institutions on this metric.</v>
      </c>
    </row>
    <row r="12" spans="2:9" s="12" customFormat="1" ht="38.1" customHeight="1">
      <c r="B12" s="317"/>
      <c r="C12" s="317"/>
      <c r="D12" s="317"/>
      <c r="E12" s="317"/>
      <c r="F12" s="317"/>
      <c r="G12" s="456" t="s">
        <v>3649</v>
      </c>
      <c r="H12" s="457" t="str">
        <f>'Dashboard Metrics'!L10</f>
        <v>ü</v>
      </c>
      <c r="I12" s="458" t="str">
        <f>'Dashboard Metrics'!R10</f>
        <v>College is comparable to other institutions on this metric.</v>
      </c>
    </row>
    <row r="13" spans="2:9" s="12" customFormat="1" ht="38.1" customHeight="1">
      <c r="B13" s="317"/>
      <c r="C13" s="317"/>
      <c r="D13" s="317"/>
      <c r="E13" s="317"/>
      <c r="F13" s="317"/>
      <c r="G13" s="459" t="s">
        <v>3958</v>
      </c>
      <c r="H13" s="460" t="str">
        <f>'Dashboard Metrics'!L11</f>
        <v>ü</v>
      </c>
      <c r="I13" s="461" t="str">
        <f>'Dashboard Metrics'!R11</f>
        <v>College is comparable to other institutions on this metric.</v>
      </c>
    </row>
    <row r="14" spans="2:9" s="12" customFormat="1" ht="17.45" customHeight="1">
      <c r="B14" s="317"/>
      <c r="C14" s="462"/>
      <c r="D14" s="317"/>
      <c r="E14" s="318"/>
      <c r="F14" s="319"/>
      <c r="G14" s="317"/>
      <c r="H14" s="317"/>
      <c r="I14" s="317"/>
    </row>
    <row r="15" spans="2:9" s="12" customFormat="1" ht="17.45" customHeight="1">
      <c r="B15" s="317"/>
      <c r="C15" s="462"/>
      <c r="D15" s="317"/>
      <c r="E15" s="318"/>
      <c r="F15" s="319"/>
      <c r="G15" s="319"/>
      <c r="H15" s="449"/>
      <c r="I15" s="317"/>
    </row>
    <row r="16" spans="2:9" s="12" customFormat="1" ht="17.45" customHeight="1">
      <c r="B16" s="317"/>
      <c r="C16" s="462"/>
      <c r="D16" s="317"/>
      <c r="E16" s="318"/>
      <c r="F16" s="319"/>
      <c r="G16" s="319"/>
      <c r="H16" s="317"/>
      <c r="I16" s="317"/>
    </row>
    <row r="17" spans="2:10" s="12" customFormat="1" ht="17.45" customHeight="1">
      <c r="B17" s="317"/>
      <c r="C17" s="462"/>
      <c r="D17" s="317"/>
      <c r="E17" s="318"/>
      <c r="F17" s="319"/>
      <c r="G17" s="319"/>
      <c r="H17" s="449"/>
      <c r="I17" s="317"/>
    </row>
    <row r="18" spans="2:10" s="12" customFormat="1" ht="17.45" customHeight="1">
      <c r="B18" s="317"/>
      <c r="C18" s="462"/>
      <c r="D18" s="317"/>
      <c r="E18" s="318"/>
      <c r="F18" s="319"/>
      <c r="G18" s="319"/>
      <c r="H18" s="449"/>
      <c r="I18" s="317"/>
    </row>
    <row r="19" spans="2:10" s="12" customFormat="1" ht="17.45" customHeight="1">
      <c r="B19" s="317"/>
      <c r="C19" s="462"/>
      <c r="D19" s="317"/>
      <c r="E19" s="318"/>
      <c r="F19" s="319"/>
      <c r="G19" s="317"/>
      <c r="H19" s="317"/>
      <c r="I19" s="317"/>
    </row>
    <row r="20" spans="2:10" s="12" customFormat="1" ht="17.45" customHeight="1">
      <c r="B20" s="317"/>
      <c r="C20" s="317"/>
      <c r="D20" s="317"/>
      <c r="E20" s="317"/>
      <c r="F20" s="317"/>
      <c r="G20" s="463" t="s">
        <v>3960</v>
      </c>
      <c r="H20" s="464"/>
      <c r="I20" s="464"/>
      <c r="J20" s="144"/>
    </row>
    <row r="21" spans="2:10" s="12" customFormat="1" ht="38.1" customHeight="1">
      <c r="B21" s="317"/>
      <c r="C21" s="317"/>
      <c r="D21" s="317"/>
      <c r="E21" s="317"/>
      <c r="F21" s="317"/>
      <c r="G21" s="465" t="s">
        <v>3651</v>
      </c>
      <c r="H21" s="457" t="str">
        <f>'Dashboard Metrics'!L14</f>
        <v>ü</v>
      </c>
      <c r="I21" s="458" t="str">
        <f>'Dashboard Metrics'!R14</f>
        <v>College is comparable to other institutions on this metric.</v>
      </c>
      <c r="J21" s="144"/>
    </row>
    <row r="22" spans="2:10" s="12" customFormat="1" ht="38.1" customHeight="1">
      <c r="B22" s="317"/>
      <c r="C22" s="317"/>
      <c r="D22" s="317"/>
      <c r="E22" s="317"/>
      <c r="F22" s="317"/>
      <c r="G22" s="465" t="s">
        <v>3652</v>
      </c>
      <c r="H22" s="457" t="str">
        <f>'Dashboard Metrics'!L15</f>
        <v>ü</v>
      </c>
      <c r="I22" s="458" t="str">
        <f>'Dashboard Metrics'!R15</f>
        <v>College is comparable to other institutions on this metric.</v>
      </c>
      <c r="J22" s="144"/>
    </row>
    <row r="23" spans="2:10" s="12" customFormat="1" ht="38.1" customHeight="1">
      <c r="B23" s="317"/>
      <c r="C23" s="317"/>
      <c r="D23" s="317"/>
      <c r="E23" s="317"/>
      <c r="F23" s="317"/>
      <c r="G23" s="466" t="s">
        <v>3771</v>
      </c>
      <c r="H23" s="460" t="str">
        <f>'Dashboard Metrics'!L16</f>
        <v>ü</v>
      </c>
      <c r="I23" s="461" t="str">
        <f>'Dashboard Metrics'!R16</f>
        <v>College is comparable to other institutions on this metric.</v>
      </c>
    </row>
    <row r="24" spans="2:10" s="12" customFormat="1" ht="17.45" customHeight="1">
      <c r="B24" s="317"/>
      <c r="C24" s="317"/>
      <c r="D24" s="317"/>
      <c r="E24" s="317"/>
      <c r="F24" s="317"/>
      <c r="G24" s="317"/>
      <c r="H24" s="317"/>
      <c r="I24" s="317"/>
    </row>
    <row r="25" spans="2:10" s="12" customFormat="1" ht="17.45" customHeight="1">
      <c r="B25" s="317"/>
      <c r="C25" s="462"/>
      <c r="D25" s="317"/>
      <c r="E25" s="317"/>
      <c r="F25" s="317"/>
      <c r="G25" s="317"/>
      <c r="H25" s="317"/>
      <c r="I25" s="317"/>
    </row>
    <row r="26" spans="2:10" s="12" customFormat="1" ht="17.45" customHeight="1">
      <c r="B26" s="317"/>
      <c r="C26" s="462"/>
      <c r="D26" s="317"/>
      <c r="E26" s="318"/>
      <c r="F26" s="319"/>
      <c r="G26" s="317"/>
      <c r="H26" s="317"/>
      <c r="I26" s="317"/>
    </row>
    <row r="27" spans="2:10" s="12" customFormat="1" ht="17.45" customHeight="1">
      <c r="B27" s="317"/>
      <c r="C27" s="462"/>
      <c r="D27" s="317"/>
      <c r="E27" s="318"/>
      <c r="F27" s="319"/>
      <c r="G27" s="449"/>
      <c r="H27" s="317"/>
      <c r="I27" s="317"/>
    </row>
    <row r="28" spans="2:10" s="12" customFormat="1" ht="17.25" customHeight="1">
      <c r="B28" s="317"/>
      <c r="C28" s="462"/>
      <c r="D28" s="317"/>
      <c r="E28" s="318"/>
      <c r="F28" s="319"/>
      <c r="G28" s="319"/>
      <c r="H28" s="449"/>
      <c r="I28" s="317"/>
    </row>
    <row r="29" spans="2:10" s="12" customFormat="1" ht="17.45" customHeight="1">
      <c r="B29" s="317"/>
      <c r="C29" s="462"/>
      <c r="D29" s="317"/>
      <c r="E29" s="318"/>
      <c r="F29" s="319"/>
      <c r="G29" s="319"/>
      <c r="H29" s="449"/>
      <c r="I29" s="317"/>
    </row>
    <row r="30" spans="2:10" s="12" customFormat="1" ht="38.1" customHeight="1">
      <c r="B30" s="317"/>
      <c r="C30" s="462"/>
      <c r="D30" s="317"/>
      <c r="E30" s="318"/>
      <c r="F30" s="319"/>
      <c r="G30" s="467" t="s">
        <v>3772</v>
      </c>
      <c r="H30" s="454" t="str">
        <f>'Dashboard Metrics'!L17</f>
        <v>ü</v>
      </c>
      <c r="I30" s="468" t="str">
        <f>'Dashboard Metrics'!R17</f>
        <v>College is comparable to other institutions on this metric.</v>
      </c>
    </row>
    <row r="31" spans="2:10" s="12" customFormat="1" ht="38.1" customHeight="1">
      <c r="B31" s="317"/>
      <c r="C31" s="462"/>
      <c r="D31" s="317"/>
      <c r="E31" s="318"/>
      <c r="F31" s="319"/>
      <c r="G31" s="469" t="s">
        <v>3810</v>
      </c>
      <c r="H31" s="460" t="str">
        <f>'Dashboard Metrics'!L19</f>
        <v>ü</v>
      </c>
      <c r="I31" s="461" t="str">
        <f>'Dashboard Metrics'!R19</f>
        <v>College is comparable to other institutions on this metric.</v>
      </c>
    </row>
    <row r="32" spans="2:10" s="12" customFormat="1" ht="17.45" customHeight="1">
      <c r="B32" s="317"/>
      <c r="C32" s="462"/>
      <c r="D32" s="317"/>
      <c r="E32" s="318"/>
      <c r="F32" s="319"/>
      <c r="G32" s="319"/>
      <c r="H32" s="449"/>
      <c r="I32" s="317"/>
    </row>
    <row r="33" spans="2:9" s="12" customFormat="1" ht="17.45" customHeight="1">
      <c r="B33" s="317"/>
      <c r="C33" s="317"/>
      <c r="D33" s="317"/>
      <c r="E33" s="318"/>
      <c r="F33" s="319"/>
      <c r="G33" s="319"/>
      <c r="H33" s="449"/>
      <c r="I33" s="317"/>
    </row>
    <row r="34" spans="2:9" s="12" customFormat="1" ht="17.45" customHeight="1">
      <c r="B34" s="317"/>
      <c r="C34" s="317"/>
      <c r="D34" s="317"/>
      <c r="E34" s="317"/>
      <c r="F34" s="317"/>
      <c r="G34" s="319"/>
      <c r="H34" s="449"/>
      <c r="I34" s="317"/>
    </row>
    <row r="35" spans="2:9" s="12" customFormat="1" ht="17.45" customHeight="1">
      <c r="B35" s="317"/>
      <c r="C35" s="317"/>
      <c r="D35" s="317"/>
      <c r="E35" s="317"/>
      <c r="F35" s="317"/>
      <c r="G35" s="319"/>
      <c r="H35" s="449"/>
      <c r="I35" s="317"/>
    </row>
    <row r="36" spans="2:9" s="12" customFormat="1" ht="17.45" customHeight="1">
      <c r="B36" s="317"/>
      <c r="C36" s="317"/>
      <c r="D36" s="317"/>
      <c r="E36" s="317"/>
      <c r="F36" s="317"/>
      <c r="G36" s="317"/>
      <c r="H36" s="317"/>
      <c r="I36" s="319"/>
    </row>
    <row r="37" spans="2:9" s="12" customFormat="1" ht="17.45" customHeight="1">
      <c r="B37" s="317"/>
      <c r="C37" s="317"/>
      <c r="D37" s="317"/>
      <c r="E37" s="317"/>
      <c r="F37" s="317"/>
      <c r="G37" s="317"/>
      <c r="H37" s="317"/>
      <c r="I37" s="317"/>
    </row>
    <row r="38" spans="2:9" s="12" customFormat="1" ht="17.45" customHeight="1">
      <c r="B38" s="317"/>
      <c r="C38" s="317"/>
      <c r="D38" s="317"/>
      <c r="E38" s="317"/>
      <c r="F38" s="317"/>
      <c r="G38" s="317"/>
      <c r="H38" s="317"/>
      <c r="I38" s="332"/>
    </row>
    <row r="39" spans="2:9" s="12" customFormat="1" ht="17.45" customHeight="1">
      <c r="B39" s="317"/>
      <c r="C39" s="317"/>
      <c r="D39" s="317"/>
      <c r="E39" s="318"/>
      <c r="F39" s="319"/>
      <c r="G39" s="317"/>
      <c r="H39" s="317"/>
      <c r="I39" s="449"/>
    </row>
    <row r="40" spans="2:9" s="12" customFormat="1" ht="17.45" customHeight="1">
      <c r="B40" s="317"/>
      <c r="C40" s="317"/>
      <c r="D40" s="317"/>
      <c r="E40" s="318"/>
      <c r="F40" s="319"/>
      <c r="G40" s="317"/>
      <c r="H40" s="317"/>
      <c r="I40" s="449"/>
    </row>
    <row r="41" spans="2:9" s="12" customFormat="1" ht="36.950000000000003" customHeight="1">
      <c r="B41" s="317"/>
      <c r="C41" s="317"/>
      <c r="D41" s="317"/>
      <c r="E41" s="318"/>
      <c r="F41" s="319"/>
      <c r="G41" s="470" t="s">
        <v>3659</v>
      </c>
      <c r="H41" s="471" t="str">
        <f>'Dashboard Metrics'!L20</f>
        <v>ü</v>
      </c>
      <c r="I41" s="472" t="str">
        <f>'Dashboard Metrics'!R20</f>
        <v>College is comparable to other institutions on this metric.</v>
      </c>
    </row>
    <row r="42" spans="2:9" s="12" customFormat="1" ht="17.45" customHeight="1">
      <c r="B42" s="317"/>
      <c r="C42" s="317"/>
      <c r="D42" s="317"/>
      <c r="E42" s="318"/>
      <c r="F42" s="319"/>
      <c r="G42" s="317"/>
      <c r="H42" s="317"/>
      <c r="I42" s="449"/>
    </row>
    <row r="43" spans="2:9" s="12" customFormat="1" ht="17.45" customHeight="1">
      <c r="B43" s="317"/>
      <c r="C43" s="317"/>
      <c r="D43" s="317"/>
      <c r="E43" s="318"/>
      <c r="F43" s="319"/>
      <c r="G43" s="317"/>
      <c r="H43" s="317"/>
      <c r="I43" s="449"/>
    </row>
    <row r="44" spans="2:9" s="12" customFormat="1" ht="17.45" customHeight="1">
      <c r="B44" s="317"/>
      <c r="C44" s="317"/>
      <c r="D44" s="317"/>
      <c r="E44" s="318"/>
      <c r="F44" s="319"/>
      <c r="G44" s="449"/>
      <c r="H44" s="317"/>
      <c r="I44" s="317"/>
    </row>
    <row r="45" spans="2:9" s="12" customFormat="1" ht="17.45" customHeight="1">
      <c r="B45" s="317"/>
      <c r="C45" s="317"/>
      <c r="D45" s="317"/>
      <c r="E45" s="318"/>
      <c r="F45" s="319"/>
      <c r="G45" s="319"/>
      <c r="H45" s="449"/>
      <c r="I45" s="317"/>
    </row>
    <row r="46" spans="2:9" s="12" customFormat="1" ht="17.45" customHeight="1">
      <c r="B46" s="317"/>
      <c r="C46" s="317"/>
      <c r="D46" s="317"/>
      <c r="E46" s="318"/>
      <c r="F46" s="319"/>
      <c r="G46" s="319"/>
      <c r="H46" s="449"/>
      <c r="I46" s="317"/>
    </row>
    <row r="47" spans="2:9" s="12" customFormat="1" ht="17.45" customHeight="1">
      <c r="B47" s="317"/>
      <c r="C47" s="317"/>
      <c r="D47" s="317"/>
      <c r="E47" s="318"/>
      <c r="F47" s="319"/>
      <c r="G47" s="319"/>
      <c r="H47" s="449"/>
      <c r="I47" s="317"/>
    </row>
    <row r="48" spans="2:9" s="12" customFormat="1" ht="17.45" customHeight="1">
      <c r="B48" s="317"/>
      <c r="C48" s="317"/>
      <c r="D48" s="317"/>
      <c r="E48" s="318"/>
      <c r="F48" s="319"/>
      <c r="G48" s="319"/>
      <c r="H48" s="449"/>
      <c r="I48" s="317"/>
    </row>
    <row r="49" spans="2:12" s="12" customFormat="1" ht="17.45" customHeight="1">
      <c r="B49" s="317"/>
      <c r="C49" s="317"/>
      <c r="D49" s="317"/>
      <c r="E49" s="318"/>
      <c r="F49" s="319"/>
      <c r="G49" s="319"/>
      <c r="H49" s="449"/>
      <c r="I49" s="317"/>
    </row>
    <row r="50" spans="2:12" s="12" customFormat="1" ht="17.45" customHeight="1">
      <c r="B50" s="317"/>
      <c r="C50" s="317"/>
      <c r="D50" s="317"/>
      <c r="E50" s="318"/>
      <c r="F50" s="319"/>
      <c r="G50" s="319"/>
      <c r="H50" s="449"/>
      <c r="I50" s="317"/>
    </row>
    <row r="51" spans="2:12" s="12" customFormat="1" ht="17.45" customHeight="1">
      <c r="B51" s="317"/>
      <c r="C51" s="317"/>
      <c r="D51" s="317"/>
      <c r="E51" s="318"/>
      <c r="F51" s="319"/>
      <c r="G51" s="319"/>
      <c r="H51" s="449"/>
      <c r="I51" s="317"/>
      <c r="K51" s="66"/>
      <c r="L51" s="66"/>
    </row>
    <row r="52" spans="2:12">
      <c r="B52" s="294"/>
      <c r="C52" s="473" t="s">
        <v>11</v>
      </c>
      <c r="D52" s="474"/>
      <c r="E52" s="294"/>
      <c r="F52" s="294"/>
      <c r="G52" s="294"/>
      <c r="H52" s="294"/>
      <c r="I52" s="294"/>
    </row>
    <row r="53" spans="2:12" s="148" customFormat="1" ht="15" customHeight="1">
      <c r="B53" s="475"/>
      <c r="C53" s="476" t="s">
        <v>3954</v>
      </c>
      <c r="D53" s="476"/>
      <c r="E53" s="476"/>
      <c r="F53" s="476"/>
      <c r="G53" s="475"/>
      <c r="H53" s="475"/>
      <c r="I53" s="344"/>
    </row>
    <row r="54" spans="2:12" s="148" customFormat="1" ht="15" customHeight="1">
      <c r="B54" s="475"/>
      <c r="C54" s="476" t="s">
        <v>3766</v>
      </c>
      <c r="D54" s="477"/>
      <c r="E54" s="477"/>
      <c r="F54" s="475"/>
      <c r="G54" s="475"/>
      <c r="H54" s="475"/>
      <c r="I54" s="294"/>
    </row>
    <row r="55" spans="2:12" s="148" customFormat="1" ht="15" customHeight="1">
      <c r="B55" s="475"/>
      <c r="C55" s="476" t="s">
        <v>4266</v>
      </c>
      <c r="D55" s="477"/>
      <c r="E55" s="475"/>
      <c r="F55" s="475"/>
      <c r="G55" s="475"/>
      <c r="H55" s="475"/>
      <c r="I55" s="475"/>
    </row>
    <row r="56" spans="2:12">
      <c r="C56" s="152"/>
      <c r="D56" s="147"/>
      <c r="I56" s="148"/>
    </row>
    <row r="57" spans="2:12">
      <c r="I57" s="148"/>
    </row>
  </sheetData>
  <sheetProtection algorithmName="SHA-512" hashValue="CBBb+0nkJ5zBRNKBGLJFb2fMZycGVWNdLQB+hEwxMNsKdP8R0qsHlCJq2RleVIXCxLEp0FJJdH3aofIzgccwUg==" saltValue="P05kZt9/UTWlG2LUnfWE3w==" spinCount="100000" sheet="1" objects="1"/>
  <conditionalFormatting sqref="H11">
    <cfRule type="cellIs" dxfId="117" priority="33" operator="equal">
      <formula>"Ý"</formula>
    </cfRule>
    <cfRule type="cellIs" dxfId="116" priority="34" operator="equal">
      <formula>"ü"</formula>
    </cfRule>
  </conditionalFormatting>
  <conditionalFormatting sqref="H12:H13">
    <cfRule type="cellIs" dxfId="115" priority="27" operator="equal">
      <formula>"Ý"</formula>
    </cfRule>
    <cfRule type="cellIs" dxfId="114" priority="28" operator="equal">
      <formula>"ü"</formula>
    </cfRule>
  </conditionalFormatting>
  <conditionalFormatting sqref="H21">
    <cfRule type="cellIs" dxfId="113" priority="9" operator="equal">
      <formula>"Ý"</formula>
    </cfRule>
    <cfRule type="cellIs" dxfId="112" priority="10" operator="equal">
      <formula>"ü"</formula>
    </cfRule>
  </conditionalFormatting>
  <conditionalFormatting sqref="H22:H23">
    <cfRule type="cellIs" dxfId="111" priority="7" operator="equal">
      <formula>"Ý"</formula>
    </cfRule>
    <cfRule type="cellIs" dxfId="110" priority="8" operator="equal">
      <formula>"ü"</formula>
    </cfRule>
  </conditionalFormatting>
  <conditionalFormatting sqref="I11">
    <cfRule type="cellIs" dxfId="109" priority="5" operator="equal">
      <formula>"Ý"</formula>
    </cfRule>
    <cfRule type="cellIs" dxfId="108" priority="6" operator="equal">
      <formula>"ü"</formula>
    </cfRule>
  </conditionalFormatting>
  <conditionalFormatting sqref="H30:H31">
    <cfRule type="cellIs" dxfId="107" priority="3" operator="equal">
      <formula>"Ý"</formula>
    </cfRule>
    <cfRule type="cellIs" dxfId="106" priority="4" operator="equal">
      <formula>"ü"</formula>
    </cfRule>
  </conditionalFormatting>
  <conditionalFormatting sqref="H41">
    <cfRule type="cellIs" dxfId="105" priority="1" operator="equal">
      <formula>"Ý"</formula>
    </cfRule>
    <cfRule type="cellIs" dxfId="104" priority="2" operator="equal">
      <formula>"ü"</formula>
    </cfRule>
  </conditionalFormatting>
  <dataValidations count="9">
    <dataValidation allowBlank="1" showInputMessage="1" showErrorMessage="1" promptTitle="Net price ($0-$30k income)" prompt="Average net price for full-time, first-time degree/certificate-seeking undergraduates with family income $30k or less (and were awarded title IV federal student aid). [Net price = cost of attendance minus federal, state, local or institutional aid]." sqref="G13" xr:uid="{E020A19C-A01B-4758-AC96-CEC1C7C72845}"/>
    <dataValidation allowBlank="1" showInputMessage="1" showErrorMessage="1" promptTitle="Net price" prompt="Average net price for full-time, first-time degree/certificate-seeking undergraduates who were awarded any grant or scholarship aid. [Net price = cost of attendance minus federal, state, local or institutional aid]." sqref="G12" xr:uid="{094A6172-2CF7-4804-AF1A-99F941627AC4}"/>
    <dataValidation allowBlank="1" showInputMessage="1" showErrorMessage="1" promptTitle="Tuition and fees" prompt="Annual tuition and fees for full-time students; at pubic institutions this reflects indistrict or in-state prices." sqref="G11 G20" xr:uid="{3DD19B2D-8A0F-4729-8CB3-4E0289EBF527}"/>
    <dataValidation allowBlank="1" showInputMessage="1" showErrorMessage="1" promptTitle="% Institutional grant aid" prompt="Percentage of full-time, first-time degree/certificate-seeking undergraduate students who were awarded institutional grants (scholarships/fellowships). " sqref="G23" xr:uid="{02C6847D-4232-4115-A5C4-AC9F9C976C78}"/>
    <dataValidation allowBlank="1" showInputMessage="1" showErrorMessage="1" promptTitle="% Federal loans" prompt="Percentage of full-time, first-time degree/certificate-seeking undergraduate students who were awarded federal student loans. " sqref="G22" xr:uid="{9FD95C4C-6735-41BA-A25F-1CCBD923BBE2}"/>
    <dataValidation allowBlank="1" showInputMessage="1" showErrorMessage="1" promptTitle="% Pell grants" prompt="Percentage of full-time, first-time degree/certificate-seeking undergraduate students who were awarded Pell grants. " sqref="G21" xr:uid="{B52391F1-ED7B-4BB6-9517-4F48FE3C6F0C}"/>
    <dataValidation allowBlank="1" showInputMessage="1" showErrorMessage="1" promptTitle="Average institutional grant" prompt="Average amount of institutional grants (scholarships/fellowships) awarded to full-time, first-time degree/certificate-seeking undergraduate students." sqref="G30" xr:uid="{5044D616-8C7D-4F91-B304-498E651FF0A6}"/>
    <dataValidation allowBlank="1" showInputMessage="1" showErrorMessage="1" promptTitle="Institutional grant aid per FTE" prompt="Total institutional grant aid awarded by the institution normalized per full-time equivalent student" sqref="G31" xr:uid="{6B71019F-5172-4D24-8B78-C0C89406916F}"/>
    <dataValidation allowBlank="1" showInputMessage="1" showErrorMessage="1" promptTitle="Tuition discount rate" prompt="The portion of tuition and fee revenue that is paid with institutional grant aid." sqref="G41" xr:uid="{17688378-2054-40FC-90FC-68992E5643D1}"/>
  </dataValidations>
  <pageMargins left="0.7" right="0.7" top="0.75" bottom="0.75" header="0.3" footer="0.3"/>
  <pageSetup scale="6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A511508-5DE3-43DB-965E-C69280B06FDF}">
          <x14:formula1>
            <xm:f>LUMINA_DASH_DATA_FY16_TEMP!$E$5:$E$2422</xm:f>
          </x14:formula1>
          <xm:sqref>D4:D5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D8550-D7AC-4984-985E-012153534336}">
  <sheetPr>
    <tabColor theme="9" tint="-0.249977111117893"/>
    <pageSetUpPr fitToPage="1"/>
  </sheetPr>
  <dimension ref="A1:O63"/>
  <sheetViews>
    <sheetView showGridLines="0" topLeftCell="B1" zoomScaleNormal="100" zoomScalePageLayoutView="80" workbookViewId="0">
      <selection activeCell="B1" sqref="B1"/>
    </sheetView>
  </sheetViews>
  <sheetFormatPr defaultColWidth="8.85546875" defaultRowHeight="15"/>
  <cols>
    <col min="1" max="1" width="19.140625" hidden="1" customWidth="1"/>
    <col min="2" max="2" width="2.28515625" customWidth="1"/>
    <col min="3" max="3" width="2.42578125" customWidth="1"/>
    <col min="4" max="4" width="67.42578125" customWidth="1"/>
    <col min="5" max="5" width="2.85546875" customWidth="1"/>
    <col min="6" max="6" width="4" customWidth="1"/>
    <col min="7" max="7" width="37.85546875" customWidth="1"/>
    <col min="8" max="8" width="11.85546875" customWidth="1"/>
    <col min="9" max="9" width="42.5703125" customWidth="1"/>
    <col min="10" max="16" width="8.85546875" customWidth="1"/>
    <col min="18" max="19" width="8.85546875" customWidth="1"/>
  </cols>
  <sheetData>
    <row r="1" spans="3:15" s="1" customFormat="1" ht="33">
      <c r="C1" s="154" t="s">
        <v>3957</v>
      </c>
      <c r="D1" s="154"/>
      <c r="E1" s="154"/>
      <c r="F1" s="154"/>
      <c r="G1" s="154"/>
      <c r="H1" s="154"/>
      <c r="I1" s="153"/>
    </row>
    <row r="2" spans="3:15" s="1" customFormat="1" ht="8.25" customHeight="1">
      <c r="C2" s="139"/>
    </row>
    <row r="3" spans="3:15" s="1" customFormat="1" ht="21.75" customHeight="1">
      <c r="C3" s="166"/>
      <c r="D3" s="173"/>
      <c r="E3" s="167"/>
      <c r="F3" s="140"/>
      <c r="G3" s="140"/>
      <c r="H3" s="159"/>
    </row>
    <row r="4" spans="3:15" s="39" customFormat="1" ht="21.75" customHeight="1">
      <c r="C4" s="168"/>
      <c r="D4" s="287" t="str">
        <f>Affordability!D4</f>
        <v>Abilene Christian University</v>
      </c>
      <c r="E4" s="169"/>
      <c r="H4" s="97"/>
    </row>
    <row r="5" spans="3:15" s="39" customFormat="1" ht="21.75" customHeight="1">
      <c r="C5" s="170"/>
      <c r="D5" s="171" t="str">
        <f>Affordability!D5</f>
        <v>Private Master's University</v>
      </c>
      <c r="E5" s="172"/>
      <c r="G5" s="141"/>
      <c r="H5" s="160"/>
    </row>
    <row r="6" spans="3:15" s="12" customFormat="1" ht="9" customHeight="1">
      <c r="E6" s="142"/>
      <c r="F6" s="143"/>
      <c r="G6" s="143"/>
    </row>
    <row r="7" spans="3:15" s="12" customFormat="1" ht="12" customHeight="1">
      <c r="C7" s="155"/>
      <c r="D7" s="155"/>
      <c r="E7" s="156"/>
      <c r="F7" s="157"/>
      <c r="G7" s="157"/>
      <c r="H7" s="158"/>
      <c r="I7" s="158"/>
    </row>
    <row r="8" spans="3:15" s="12" customFormat="1" ht="17.45" customHeight="1">
      <c r="C8" s="187" t="str">
        <f>'Dashboard Metrics'!C22</f>
        <v>REVENUE AND SPENDING METRICS</v>
      </c>
      <c r="D8" s="183"/>
      <c r="E8" s="184"/>
      <c r="F8" s="185"/>
      <c r="G8" s="185"/>
      <c r="H8" s="186"/>
      <c r="I8" s="486" t="s">
        <v>4267</v>
      </c>
    </row>
    <row r="9" spans="3:15" s="12" customFormat="1" ht="17.45" customHeight="1">
      <c r="C9" s="286"/>
      <c r="E9" s="142"/>
      <c r="F9" s="143"/>
      <c r="G9" s="143"/>
      <c r="H9" s="144"/>
      <c r="I9" s="144"/>
    </row>
    <row r="10" spans="3:15" s="14" customFormat="1" ht="26.25" customHeight="1">
      <c r="D10" s="180"/>
      <c r="E10" s="181"/>
      <c r="F10" s="182"/>
      <c r="G10" s="175" t="s">
        <v>3961</v>
      </c>
      <c r="H10" s="161" t="s">
        <v>3956</v>
      </c>
      <c r="I10" s="174" t="s">
        <v>3962</v>
      </c>
      <c r="J10" s="178"/>
      <c r="K10" s="178"/>
      <c r="L10" s="141"/>
      <c r="M10" s="178"/>
      <c r="N10" s="178"/>
      <c r="O10" s="179"/>
    </row>
    <row r="11" spans="3:15" s="14" customFormat="1" ht="38.1" customHeight="1">
      <c r="D11" s="180"/>
      <c r="E11" s="181"/>
      <c r="F11" s="182"/>
      <c r="G11" s="202" t="s">
        <v>17</v>
      </c>
      <c r="H11" s="194" t="str">
        <f>'Dashboard Metrics'!L24</f>
        <v>ü</v>
      </c>
      <c r="I11" s="190" t="str">
        <f>'Dashboard Metrics'!R24</f>
        <v>College is comparable to other institutions on this metric.</v>
      </c>
      <c r="J11" s="178"/>
      <c r="K11" s="178"/>
      <c r="L11" s="141"/>
      <c r="M11" s="178"/>
      <c r="N11" s="178"/>
      <c r="O11" s="179"/>
    </row>
    <row r="12" spans="3:15" s="14" customFormat="1" ht="38.1" customHeight="1">
      <c r="D12" s="180"/>
      <c r="E12" s="181"/>
      <c r="F12" s="182"/>
      <c r="G12" s="203" t="s">
        <v>1</v>
      </c>
      <c r="H12" s="188" t="str">
        <f>'Dashboard Metrics'!L25</f>
        <v>ü</v>
      </c>
      <c r="I12" s="191" t="str">
        <f>'Dashboard Metrics'!R25</f>
        <v>College is comparable to other institutions on this metric.</v>
      </c>
      <c r="J12" s="178"/>
      <c r="K12" s="178"/>
      <c r="L12" s="141"/>
      <c r="M12" s="178"/>
      <c r="N12" s="178"/>
      <c r="O12" s="179"/>
    </row>
    <row r="13" spans="3:15" s="14" customFormat="1" ht="15" customHeight="1">
      <c r="D13" s="180"/>
      <c r="E13" s="181"/>
      <c r="F13" s="182"/>
      <c r="G13" s="182"/>
      <c r="H13" s="141"/>
      <c r="I13" s="178"/>
      <c r="J13" s="178"/>
      <c r="K13" s="178"/>
      <c r="L13" s="141"/>
      <c r="M13" s="178"/>
      <c r="N13" s="178"/>
      <c r="O13" s="179"/>
    </row>
    <row r="14" spans="3:15" s="14" customFormat="1" ht="15" customHeight="1">
      <c r="D14" s="180"/>
      <c r="E14" s="181"/>
      <c r="F14" s="182"/>
      <c r="G14" s="182"/>
      <c r="H14" s="141"/>
      <c r="I14" s="178"/>
      <c r="J14" s="178"/>
      <c r="K14" s="178"/>
      <c r="L14" s="141"/>
      <c r="M14" s="178"/>
      <c r="N14" s="178"/>
      <c r="O14" s="179"/>
    </row>
    <row r="15" spans="3:15" s="14" customFormat="1" ht="15" customHeight="1">
      <c r="D15" s="180"/>
      <c r="E15" s="181"/>
      <c r="F15" s="182"/>
      <c r="G15" s="182"/>
      <c r="H15" s="141"/>
      <c r="I15" s="178"/>
      <c r="J15" s="178"/>
      <c r="K15" s="178"/>
      <c r="L15" s="141"/>
      <c r="M15" s="178"/>
      <c r="N15" s="178"/>
      <c r="O15" s="179"/>
    </row>
    <row r="16" spans="3:15" s="14" customFormat="1" ht="15" customHeight="1">
      <c r="D16" s="180"/>
      <c r="E16" s="181"/>
      <c r="F16" s="182"/>
      <c r="G16" s="182"/>
      <c r="H16" s="141"/>
      <c r="I16" s="178"/>
      <c r="J16" s="178"/>
      <c r="K16" s="178"/>
      <c r="L16" s="141"/>
      <c r="M16" s="178"/>
      <c r="N16" s="178"/>
      <c r="O16" s="179"/>
    </row>
    <row r="17" spans="4:15" s="14" customFormat="1" ht="15" customHeight="1">
      <c r="D17" s="180"/>
      <c r="E17" s="181"/>
      <c r="F17" s="182"/>
      <c r="G17" s="182"/>
      <c r="H17" s="141"/>
      <c r="I17" s="178"/>
      <c r="J17" s="178"/>
      <c r="K17" s="178"/>
      <c r="L17" s="141"/>
      <c r="M17" s="178"/>
      <c r="N17" s="178"/>
      <c r="O17" s="179"/>
    </row>
    <row r="18" spans="4:15" s="14" customFormat="1" ht="15" customHeight="1">
      <c r="D18" s="180"/>
      <c r="E18" s="181"/>
      <c r="F18" s="182"/>
      <c r="G18" s="182"/>
      <c r="H18" s="141"/>
      <c r="I18" s="178"/>
      <c r="J18" s="178"/>
      <c r="K18" s="178"/>
      <c r="L18" s="141"/>
      <c r="M18" s="178"/>
      <c r="N18" s="178"/>
      <c r="O18" s="179"/>
    </row>
    <row r="19" spans="4:15" s="14" customFormat="1" ht="15" customHeight="1">
      <c r="D19" s="180"/>
      <c r="E19" s="181"/>
      <c r="F19" s="182"/>
      <c r="G19" s="182"/>
      <c r="H19" s="141"/>
      <c r="I19" s="178"/>
      <c r="J19" s="178"/>
      <c r="K19" s="178"/>
      <c r="L19" s="141"/>
      <c r="M19" s="178"/>
      <c r="N19" s="178"/>
      <c r="O19" s="179"/>
    </row>
    <row r="20" spans="4:15" s="14" customFormat="1" ht="15" customHeight="1">
      <c r="D20" s="180"/>
      <c r="E20" s="181"/>
      <c r="F20" s="182"/>
      <c r="G20" s="182"/>
      <c r="H20" s="141"/>
      <c r="I20" s="178"/>
      <c r="J20" s="178"/>
      <c r="K20" s="178"/>
      <c r="L20" s="141"/>
      <c r="M20" s="178"/>
      <c r="N20" s="178"/>
      <c r="O20" s="179"/>
    </row>
    <row r="21" spans="4:15" s="14" customFormat="1" ht="15" customHeight="1">
      <c r="D21" s="180"/>
      <c r="E21" s="181"/>
      <c r="F21" s="182"/>
      <c r="G21" s="182"/>
      <c r="H21" s="141"/>
      <c r="I21" s="178"/>
      <c r="J21" s="178"/>
      <c r="K21" s="178"/>
      <c r="L21" s="141"/>
      <c r="M21" s="178"/>
      <c r="N21" s="178"/>
      <c r="O21" s="179"/>
    </row>
    <row r="22" spans="4:15" s="14" customFormat="1" ht="15" customHeight="1">
      <c r="D22" s="180"/>
      <c r="E22" s="181"/>
      <c r="F22" s="182"/>
      <c r="G22" s="182"/>
      <c r="H22" s="141"/>
      <c r="I22" s="178"/>
      <c r="J22" s="178"/>
      <c r="K22" s="178"/>
      <c r="L22" s="141"/>
      <c r="M22" s="178"/>
      <c r="N22" s="178"/>
      <c r="O22" s="179"/>
    </row>
    <row r="23" spans="4:15" s="14" customFormat="1" ht="38.1" customHeight="1">
      <c r="D23" s="180"/>
      <c r="E23" s="181"/>
      <c r="F23" s="182"/>
      <c r="G23" s="202" t="s">
        <v>2</v>
      </c>
      <c r="H23" s="189" t="str">
        <f>'Dashboard Metrics'!L29</f>
        <v>ü</v>
      </c>
      <c r="I23" s="190" t="str">
        <f>'Dashboard Metrics'!R29</f>
        <v>College is comparable to other institutions on this metric.</v>
      </c>
      <c r="J23" s="178"/>
      <c r="K23" s="178"/>
      <c r="L23" s="141"/>
      <c r="M23" s="178"/>
      <c r="N23" s="178"/>
      <c r="O23" s="179"/>
    </row>
    <row r="24" spans="4:15" s="14" customFormat="1" ht="38.1" customHeight="1">
      <c r="D24" s="180"/>
      <c r="E24" s="181"/>
      <c r="F24" s="182"/>
      <c r="G24" s="203" t="s">
        <v>3</v>
      </c>
      <c r="H24" s="188" t="str">
        <f>'Dashboard Metrics'!L30</f>
        <v>ü</v>
      </c>
      <c r="I24" s="191" t="str">
        <f>'Dashboard Metrics'!R30</f>
        <v>College is comparable to other institutions on this metric.</v>
      </c>
      <c r="J24" s="178"/>
      <c r="K24" s="178"/>
      <c r="L24" s="141"/>
      <c r="M24" s="178"/>
      <c r="N24" s="178"/>
      <c r="O24" s="179"/>
    </row>
    <row r="25" spans="4:15" s="14" customFormat="1" ht="15" customHeight="1">
      <c r="D25" s="180"/>
      <c r="E25" s="181"/>
      <c r="F25" s="182"/>
      <c r="G25" s="182"/>
      <c r="H25" s="141"/>
      <c r="I25" s="178"/>
      <c r="J25" s="178"/>
      <c r="K25" s="178"/>
      <c r="L25" s="141"/>
      <c r="M25" s="178"/>
      <c r="N25" s="178"/>
      <c r="O25" s="179"/>
    </row>
    <row r="26" spans="4:15" s="14" customFormat="1" ht="15" customHeight="1">
      <c r="D26" s="180"/>
      <c r="E26" s="181"/>
      <c r="F26" s="182"/>
      <c r="G26" s="182"/>
      <c r="H26" s="141"/>
      <c r="I26" s="178"/>
      <c r="J26" s="178"/>
      <c r="K26" s="178"/>
      <c r="L26" s="141"/>
      <c r="M26" s="178"/>
      <c r="N26" s="178"/>
      <c r="O26" s="179"/>
    </row>
    <row r="27" spans="4:15" s="14" customFormat="1" ht="15" customHeight="1">
      <c r="D27" s="180"/>
      <c r="E27" s="181"/>
      <c r="F27" s="182"/>
      <c r="G27" s="182"/>
      <c r="H27" s="141"/>
      <c r="I27" s="178"/>
      <c r="J27" s="178"/>
      <c r="K27" s="178"/>
      <c r="L27" s="141"/>
      <c r="M27" s="178"/>
      <c r="N27" s="178"/>
      <c r="O27" s="179"/>
    </row>
    <row r="28" spans="4:15" s="14" customFormat="1" ht="15" customHeight="1">
      <c r="D28" s="180"/>
      <c r="E28" s="181"/>
      <c r="F28" s="182"/>
      <c r="G28" s="182"/>
      <c r="H28" s="141"/>
      <c r="I28" s="178"/>
      <c r="J28" s="178"/>
      <c r="K28" s="178"/>
      <c r="L28" s="141"/>
      <c r="M28" s="178"/>
      <c r="N28" s="178"/>
      <c r="O28" s="179"/>
    </row>
    <row r="29" spans="4:15" s="14" customFormat="1" ht="15" customHeight="1">
      <c r="D29" s="180"/>
      <c r="E29" s="181"/>
      <c r="F29" s="182"/>
      <c r="G29" s="182"/>
      <c r="H29" s="141"/>
      <c r="I29" s="178"/>
      <c r="J29" s="178"/>
      <c r="K29" s="178"/>
      <c r="L29" s="141"/>
      <c r="M29" s="178"/>
      <c r="N29" s="178"/>
      <c r="O29" s="179"/>
    </row>
    <row r="30" spans="4:15" s="14" customFormat="1" ht="15" customHeight="1">
      <c r="D30" s="180"/>
      <c r="E30" s="181"/>
      <c r="F30" s="182"/>
      <c r="G30" s="182"/>
      <c r="H30" s="141"/>
      <c r="I30" s="178"/>
      <c r="J30" s="178"/>
      <c r="K30" s="178"/>
      <c r="L30" s="141"/>
      <c r="M30" s="178"/>
      <c r="N30" s="178"/>
      <c r="O30" s="179"/>
    </row>
    <row r="31" spans="4:15" s="14" customFormat="1" ht="15" customHeight="1">
      <c r="D31" s="180"/>
      <c r="E31" s="181"/>
      <c r="F31" s="182"/>
      <c r="G31" s="182"/>
      <c r="H31" s="141"/>
      <c r="I31" s="178"/>
      <c r="J31" s="178"/>
      <c r="K31" s="178"/>
      <c r="L31" s="141"/>
      <c r="M31" s="178"/>
      <c r="N31" s="178"/>
      <c r="O31" s="179"/>
    </row>
    <row r="32" spans="4:15" s="14" customFormat="1" ht="15" customHeight="1">
      <c r="D32" s="180"/>
      <c r="E32" s="181"/>
      <c r="F32" s="182"/>
      <c r="G32" s="182"/>
      <c r="H32" s="141"/>
      <c r="I32" s="178"/>
      <c r="J32" s="178"/>
      <c r="K32" s="178"/>
      <c r="L32" s="141"/>
      <c r="M32" s="178"/>
      <c r="N32" s="178"/>
      <c r="O32" s="179"/>
    </row>
    <row r="33" spans="4:15" s="14" customFormat="1" ht="15" customHeight="1">
      <c r="D33" s="180"/>
      <c r="E33" s="181"/>
      <c r="F33" s="182"/>
      <c r="G33" s="182"/>
      <c r="H33" s="141"/>
      <c r="I33" s="178"/>
      <c r="J33" s="178"/>
      <c r="K33" s="178"/>
      <c r="L33" s="141"/>
      <c r="M33" s="178"/>
      <c r="N33" s="178"/>
      <c r="O33" s="179"/>
    </row>
    <row r="34" spans="4:15" s="14" customFormat="1" ht="38.1" customHeight="1">
      <c r="D34" s="180"/>
      <c r="E34" s="181"/>
      <c r="F34" s="182"/>
      <c r="G34" s="204" t="s">
        <v>3663</v>
      </c>
      <c r="H34" s="192" t="str">
        <f>'Dashboard Metrics'!L26</f>
        <v>Ý</v>
      </c>
      <c r="I34" s="193" t="str">
        <f>'Dashboard Metrics'!R26</f>
        <v>Academic spending patterns should be examined to identify cost drivers (e.g., academic programs; student services; academic administration, etc.).</v>
      </c>
      <c r="J34" s="178"/>
      <c r="K34" s="178"/>
      <c r="L34" s="141"/>
      <c r="M34" s="178"/>
      <c r="N34" s="178"/>
      <c r="O34" s="179"/>
    </row>
    <row r="35" spans="4:15" s="14" customFormat="1" ht="15" customHeight="1">
      <c r="D35" s="180"/>
      <c r="E35" s="181"/>
      <c r="F35" s="182"/>
      <c r="G35" s="182"/>
      <c r="H35" s="141"/>
      <c r="I35" s="178"/>
      <c r="J35" s="178"/>
      <c r="K35" s="178"/>
      <c r="L35" s="141"/>
      <c r="M35" s="178"/>
      <c r="N35" s="178"/>
      <c r="O35" s="179"/>
    </row>
    <row r="36" spans="4:15" s="14" customFormat="1" ht="15" customHeight="1">
      <c r="D36" s="180"/>
      <c r="E36" s="181"/>
      <c r="F36" s="182"/>
      <c r="G36" s="182"/>
      <c r="H36" s="141"/>
      <c r="I36" s="178"/>
      <c r="J36" s="178"/>
      <c r="K36" s="178"/>
      <c r="L36" s="141"/>
      <c r="M36" s="178"/>
      <c r="N36" s="178"/>
      <c r="O36" s="179"/>
    </row>
    <row r="37" spans="4:15" s="14" customFormat="1" ht="15" customHeight="1">
      <c r="D37" s="180"/>
      <c r="E37" s="181"/>
      <c r="F37" s="182"/>
      <c r="G37" s="182"/>
      <c r="H37" s="141"/>
      <c r="I37" s="178"/>
      <c r="J37" s="178"/>
      <c r="K37" s="178"/>
      <c r="L37" s="141"/>
      <c r="M37" s="178"/>
      <c r="N37" s="178"/>
      <c r="O37" s="179"/>
    </row>
    <row r="38" spans="4:15" s="14" customFormat="1" ht="15" customHeight="1">
      <c r="D38" s="180"/>
      <c r="E38" s="181"/>
      <c r="F38" s="182"/>
      <c r="G38" s="182"/>
      <c r="H38" s="141"/>
      <c r="I38" s="178"/>
      <c r="J38" s="178"/>
      <c r="K38" s="178"/>
      <c r="L38" s="141"/>
      <c r="M38" s="178"/>
      <c r="N38" s="178"/>
      <c r="O38" s="179"/>
    </row>
    <row r="39" spans="4:15" s="14" customFormat="1" ht="15" customHeight="1">
      <c r="D39" s="180"/>
      <c r="E39" s="181"/>
      <c r="F39" s="182"/>
      <c r="G39" s="182"/>
      <c r="H39" s="141"/>
      <c r="I39" s="178"/>
      <c r="J39" s="178"/>
      <c r="K39" s="178"/>
      <c r="L39" s="141"/>
      <c r="M39" s="178"/>
      <c r="N39" s="178"/>
      <c r="O39" s="179"/>
    </row>
    <row r="40" spans="4:15" s="14" customFormat="1" ht="15" customHeight="1">
      <c r="D40" s="180"/>
      <c r="E40" s="181"/>
      <c r="F40" s="182"/>
      <c r="G40" s="182"/>
      <c r="H40" s="141"/>
      <c r="I40" s="178"/>
      <c r="J40" s="178"/>
      <c r="K40" s="178"/>
      <c r="L40" s="141"/>
      <c r="M40" s="178"/>
      <c r="N40" s="178"/>
      <c r="O40" s="179"/>
    </row>
    <row r="41" spans="4:15" s="14" customFormat="1" ht="15" customHeight="1">
      <c r="D41" s="180"/>
      <c r="E41" s="181"/>
      <c r="F41" s="182"/>
      <c r="G41" s="182"/>
      <c r="H41" s="141"/>
      <c r="I41" s="178"/>
      <c r="J41" s="178"/>
      <c r="K41" s="178"/>
      <c r="L41" s="141"/>
      <c r="M41" s="178"/>
      <c r="N41" s="178"/>
      <c r="O41" s="179"/>
    </row>
    <row r="42" spans="4:15" s="14" customFormat="1" ht="15" customHeight="1">
      <c r="D42" s="180"/>
      <c r="E42" s="181"/>
      <c r="F42" s="182"/>
      <c r="G42" s="182"/>
      <c r="H42" s="141"/>
      <c r="I42" s="178"/>
      <c r="J42" s="178"/>
      <c r="K42" s="178"/>
      <c r="L42" s="141"/>
      <c r="M42" s="178"/>
      <c r="N42" s="178"/>
      <c r="O42" s="179"/>
    </row>
    <row r="43" spans="4:15" s="14" customFormat="1" ht="15" customHeight="1">
      <c r="D43" s="180"/>
      <c r="E43" s="181"/>
      <c r="F43" s="182"/>
      <c r="G43" s="182"/>
      <c r="H43" s="141"/>
      <c r="I43" s="178"/>
      <c r="J43" s="178"/>
      <c r="K43" s="178"/>
      <c r="L43" s="141"/>
      <c r="M43" s="178"/>
      <c r="N43" s="178"/>
      <c r="O43" s="179"/>
    </row>
    <row r="44" spans="4:15" s="14" customFormat="1" ht="15" customHeight="1">
      <c r="D44" s="180"/>
      <c r="E44" s="181"/>
      <c r="F44" s="182"/>
      <c r="G44" s="182"/>
      <c r="H44" s="141"/>
      <c r="I44" s="178"/>
      <c r="J44" s="178"/>
      <c r="K44" s="178"/>
      <c r="L44" s="141"/>
      <c r="M44" s="178"/>
      <c r="N44" s="178"/>
      <c r="O44" s="179"/>
    </row>
    <row r="45" spans="4:15" s="14" customFormat="1" ht="15" customHeight="1">
      <c r="D45" s="180"/>
      <c r="E45" s="181"/>
      <c r="F45" s="182"/>
      <c r="G45" s="182"/>
      <c r="H45" s="141"/>
      <c r="I45" s="178"/>
      <c r="J45" s="178"/>
      <c r="K45" s="178"/>
      <c r="L45" s="141"/>
      <c r="M45" s="178"/>
      <c r="N45" s="178"/>
      <c r="O45" s="179"/>
    </row>
    <row r="46" spans="4:15" s="14" customFormat="1" ht="15" customHeight="1">
      <c r="D46" s="180"/>
      <c r="E46" s="181"/>
      <c r="F46" s="182"/>
      <c r="G46" s="182"/>
      <c r="H46" s="141"/>
      <c r="I46" s="178"/>
      <c r="J46" s="178"/>
      <c r="K46" s="178"/>
      <c r="L46" s="141"/>
      <c r="M46" s="178"/>
      <c r="N46" s="178"/>
      <c r="O46" s="179"/>
    </row>
    <row r="47" spans="4:15" s="14" customFormat="1" ht="15" customHeight="1">
      <c r="D47" s="180"/>
      <c r="E47" s="181"/>
      <c r="F47" s="182"/>
      <c r="G47" s="182"/>
      <c r="H47" s="141"/>
      <c r="I47" s="178"/>
      <c r="J47" s="178"/>
      <c r="K47" s="178"/>
      <c r="L47" s="141"/>
      <c r="M47" s="178"/>
      <c r="N47" s="178"/>
      <c r="O47" s="179"/>
    </row>
    <row r="48" spans="4:15" s="14" customFormat="1" ht="38.1" customHeight="1">
      <c r="D48" s="180"/>
      <c r="E48" s="181"/>
      <c r="F48" s="182"/>
      <c r="G48" s="204" t="s">
        <v>50</v>
      </c>
      <c r="H48" s="192" t="str">
        <f>'Dashboard Metrics'!L27</f>
        <v>Þ</v>
      </c>
      <c r="I48" s="193" t="str">
        <f>'Dashboard Metrics'!R27</f>
        <v>The institution has access to other revenue streams beyond tuition to funds its academic functions.</v>
      </c>
      <c r="J48" s="178"/>
      <c r="K48" s="178"/>
      <c r="L48" s="141"/>
      <c r="M48" s="178"/>
      <c r="N48" s="178"/>
      <c r="O48" s="179"/>
    </row>
    <row r="49" spans="3:15" s="14" customFormat="1" ht="15" customHeight="1">
      <c r="D49" s="180"/>
      <c r="E49" s="181"/>
      <c r="F49" s="182"/>
      <c r="G49" s="182"/>
      <c r="H49" s="141"/>
      <c r="I49" s="178"/>
      <c r="J49" s="178"/>
      <c r="K49" s="178"/>
      <c r="L49" s="141"/>
      <c r="M49" s="178"/>
      <c r="N49" s="178"/>
      <c r="O49" s="179"/>
    </row>
    <row r="50" spans="3:15" s="14" customFormat="1" ht="15" customHeight="1">
      <c r="D50" s="180"/>
      <c r="E50" s="181"/>
      <c r="F50" s="182"/>
      <c r="G50" s="182"/>
      <c r="H50" s="141"/>
      <c r="I50" s="178"/>
      <c r="J50" s="178"/>
      <c r="K50" s="178"/>
      <c r="L50" s="141"/>
      <c r="M50" s="178"/>
      <c r="N50" s="178"/>
      <c r="O50" s="179"/>
    </row>
    <row r="51" spans="3:15" s="14" customFormat="1" ht="15" customHeight="1">
      <c r="D51" s="180"/>
      <c r="E51" s="181"/>
      <c r="F51" s="182"/>
      <c r="G51" s="182"/>
      <c r="H51" s="141"/>
      <c r="I51" s="178"/>
      <c r="J51" s="178"/>
      <c r="K51" s="178"/>
      <c r="L51" s="141"/>
      <c r="M51" s="178"/>
      <c r="N51" s="178"/>
      <c r="O51" s="179"/>
    </row>
    <row r="52" spans="3:15" s="14" customFormat="1" ht="15" customHeight="1">
      <c r="D52" s="180"/>
      <c r="E52" s="181"/>
      <c r="F52" s="182"/>
      <c r="G52" s="182"/>
      <c r="H52" s="141"/>
      <c r="I52" s="178"/>
      <c r="J52" s="178"/>
      <c r="K52" s="178"/>
      <c r="L52" s="141"/>
      <c r="M52" s="178"/>
      <c r="N52" s="178"/>
      <c r="O52" s="179"/>
    </row>
    <row r="53" spans="3:15" s="14" customFormat="1" ht="15" customHeight="1">
      <c r="D53" s="180"/>
      <c r="E53" s="181"/>
      <c r="F53" s="182"/>
      <c r="G53" s="182"/>
      <c r="H53" s="141"/>
      <c r="I53" s="178"/>
      <c r="J53" s="178"/>
      <c r="K53" s="178"/>
      <c r="L53" s="141"/>
      <c r="M53" s="178"/>
      <c r="N53" s="178"/>
      <c r="O53" s="179"/>
    </row>
    <row r="54" spans="3:15" s="14" customFormat="1" ht="15" customHeight="1">
      <c r="D54" s="180"/>
      <c r="E54" s="181"/>
      <c r="F54" s="182"/>
      <c r="G54" s="182"/>
      <c r="H54" s="141"/>
      <c r="I54" s="178"/>
      <c r="J54" s="178"/>
      <c r="K54" s="178"/>
      <c r="L54" s="141"/>
      <c r="M54" s="178"/>
      <c r="N54" s="178"/>
      <c r="O54" s="179"/>
    </row>
    <row r="55" spans="3:15" s="14" customFormat="1" ht="15" customHeight="1">
      <c r="D55" s="180"/>
      <c r="E55" s="181"/>
      <c r="F55" s="182"/>
      <c r="G55" s="182"/>
      <c r="H55" s="141"/>
      <c r="I55" s="178"/>
      <c r="J55" s="178"/>
      <c r="K55" s="178"/>
      <c r="L55" s="141"/>
      <c r="M55" s="178"/>
      <c r="N55" s="178"/>
      <c r="O55" s="179"/>
    </row>
    <row r="56" spans="3:15" s="14" customFormat="1" ht="15" customHeight="1">
      <c r="D56" s="180"/>
      <c r="E56" s="181"/>
      <c r="F56" s="182"/>
      <c r="G56" s="182"/>
      <c r="H56" s="141"/>
      <c r="I56" s="178"/>
      <c r="J56" s="178"/>
      <c r="K56" s="178"/>
      <c r="L56" s="141"/>
      <c r="M56" s="178"/>
      <c r="N56" s="178"/>
      <c r="O56" s="179"/>
    </row>
    <row r="57" spans="3:15" s="14" customFormat="1" ht="15" customHeight="1">
      <c r="D57" s="180"/>
      <c r="E57" s="181"/>
      <c r="F57" s="182"/>
      <c r="G57" s="182"/>
      <c r="H57" s="141"/>
      <c r="I57" s="178"/>
      <c r="J57" s="178"/>
      <c r="K57" s="178"/>
      <c r="L57" s="141"/>
      <c r="M57" s="178"/>
      <c r="N57" s="178"/>
      <c r="O57" s="179"/>
    </row>
    <row r="58" spans="3:15" s="14" customFormat="1" ht="15" customHeight="1">
      <c r="D58" s="180"/>
      <c r="E58" s="181"/>
      <c r="F58" s="182"/>
      <c r="G58" s="182"/>
      <c r="H58" s="141"/>
      <c r="I58" s="178"/>
      <c r="J58" s="178"/>
      <c r="K58" s="178"/>
      <c r="L58" s="141"/>
      <c r="M58" s="178"/>
      <c r="N58" s="178"/>
      <c r="O58" s="179"/>
    </row>
    <row r="59" spans="3:15" s="14" customFormat="1" ht="15" customHeight="1">
      <c r="D59" s="180"/>
      <c r="E59" s="181"/>
      <c r="F59" s="182"/>
      <c r="G59" s="182"/>
      <c r="H59" s="141"/>
      <c r="I59" s="178"/>
      <c r="J59" s="178"/>
      <c r="K59" s="178"/>
      <c r="L59" s="141"/>
      <c r="M59" s="178"/>
      <c r="N59" s="178"/>
      <c r="O59" s="179"/>
    </row>
    <row r="60" spans="3:15" s="1" customFormat="1">
      <c r="C60" s="146" t="s">
        <v>11</v>
      </c>
      <c r="D60" s="147"/>
    </row>
    <row r="61" spans="3:15" s="149" customFormat="1" ht="15" customHeight="1">
      <c r="C61" s="150" t="s">
        <v>3954</v>
      </c>
      <c r="D61" s="150"/>
      <c r="E61" s="150"/>
      <c r="F61" s="150"/>
      <c r="I61" s="145"/>
    </row>
    <row r="62" spans="3:15" s="149" customFormat="1" ht="15" customHeight="1">
      <c r="C62" s="150" t="s">
        <v>3766</v>
      </c>
      <c r="D62" s="151"/>
      <c r="E62" s="151"/>
      <c r="I62" s="1"/>
    </row>
    <row r="63" spans="3:15" s="149" customFormat="1" ht="15" customHeight="1">
      <c r="C63" s="476" t="s">
        <v>4266</v>
      </c>
      <c r="D63" s="151"/>
    </row>
  </sheetData>
  <sheetProtection algorithmName="SHA-512" hashValue="Xo3lqmWpywFxoR2HOa7RkxTa5h9Vgbp3Bf1PQRc4EoceaNbhnfuibP4N28xXg1gPZC0xLjD04FbdfPbyNeUmRA==" saltValue="eogX82uDR+ZvUf7P/cjSdQ==" spinCount="100000" sheet="1" objects="1"/>
  <conditionalFormatting sqref="I24">
    <cfRule type="cellIs" dxfId="103" priority="15" operator="equal">
      <formula>"Ý"</formula>
    </cfRule>
    <cfRule type="cellIs" dxfId="102" priority="16" operator="equal">
      <formula>"ü"</formula>
    </cfRule>
  </conditionalFormatting>
  <conditionalFormatting sqref="I34">
    <cfRule type="cellIs" dxfId="101" priority="7" operator="equal">
      <formula>"Ý"</formula>
    </cfRule>
    <cfRule type="cellIs" dxfId="100" priority="8" operator="equal">
      <formula>"ü"</formula>
    </cfRule>
  </conditionalFormatting>
  <conditionalFormatting sqref="I48">
    <cfRule type="cellIs" dxfId="99" priority="3" operator="equal">
      <formula>"Ý"</formula>
    </cfRule>
    <cfRule type="cellIs" dxfId="98" priority="4" operator="equal">
      <formula>"ü"</formula>
    </cfRule>
  </conditionalFormatting>
  <conditionalFormatting sqref="I23">
    <cfRule type="cellIs" dxfId="97" priority="19" operator="equal">
      <formula>"Ý"</formula>
    </cfRule>
    <cfRule type="cellIs" dxfId="96" priority="20" operator="equal">
      <formula>"ü"</formula>
    </cfRule>
  </conditionalFormatting>
  <conditionalFormatting sqref="I11">
    <cfRule type="cellIs" dxfId="95" priority="27" operator="equal">
      <formula>"Ý"</formula>
    </cfRule>
    <cfRule type="cellIs" dxfId="94" priority="28" operator="equal">
      <formula>"ü"</formula>
    </cfRule>
  </conditionalFormatting>
  <conditionalFormatting sqref="H12">
    <cfRule type="cellIs" dxfId="93" priority="25" operator="equal">
      <formula>"Ý"</formula>
    </cfRule>
    <cfRule type="cellIs" dxfId="92" priority="26" operator="equal">
      <formula>"ü"</formula>
    </cfRule>
  </conditionalFormatting>
  <conditionalFormatting sqref="I12">
    <cfRule type="cellIs" dxfId="91" priority="23" operator="equal">
      <formula>"Ý"</formula>
    </cfRule>
    <cfRule type="cellIs" dxfId="90" priority="24" operator="equal">
      <formula>"ü"</formula>
    </cfRule>
  </conditionalFormatting>
  <conditionalFormatting sqref="H23">
    <cfRule type="cellIs" dxfId="89" priority="21" operator="equal">
      <formula>"Ý"</formula>
    </cfRule>
    <cfRule type="cellIs" dxfId="88" priority="22" operator="equal">
      <formula>"ü"</formula>
    </cfRule>
  </conditionalFormatting>
  <conditionalFormatting sqref="H24">
    <cfRule type="cellIs" dxfId="87" priority="17" operator="equal">
      <formula>"Ý"</formula>
    </cfRule>
    <cfRule type="cellIs" dxfId="86" priority="18" operator="equal">
      <formula>"ü"</formula>
    </cfRule>
  </conditionalFormatting>
  <conditionalFormatting sqref="H34">
    <cfRule type="cellIs" dxfId="85" priority="9" operator="equal">
      <formula>"Ý"</formula>
    </cfRule>
    <cfRule type="cellIs" dxfId="84" priority="10" operator="equal">
      <formula>"ü"</formula>
    </cfRule>
  </conditionalFormatting>
  <conditionalFormatting sqref="H48">
    <cfRule type="cellIs" dxfId="83" priority="5" operator="equal">
      <formula>"Ý"</formula>
    </cfRule>
    <cfRule type="cellIs" dxfId="82" priority="6" operator="equal">
      <formula>"ü"</formula>
    </cfRule>
  </conditionalFormatting>
  <conditionalFormatting sqref="H11">
    <cfRule type="cellIs" dxfId="81" priority="1" operator="equal">
      <formula>"Þ"</formula>
    </cfRule>
    <cfRule type="cellIs" dxfId="80" priority="2" operator="equal">
      <formula>"ü"</formula>
    </cfRule>
  </conditionalFormatting>
  <dataValidations count="6">
    <dataValidation allowBlank="1" showInputMessage="1" showErrorMessage="1" promptTitle="Revenue per FTE student" prompt="Total revenue (excluding investment income), normalized per full-time equivalent (FTE) student." sqref="G11" xr:uid="{ABFEE5A3-B82D-4F8B-8961-259127FE82DA}"/>
    <dataValidation allowBlank="1" showInputMessage="1" showErrorMessage="1" promptTitle="Spending per FTE student" prompt="Total institutional spending normalized per full-time equivalent (FTE) student." sqref="G12" xr:uid="{D91526C3-293A-4F9B-89B5-F8350DFE7F44}"/>
    <dataValidation allowBlank="1" showInputMessage="1" showErrorMessage="1" promptTitle="Compensation share of spending" prompt="The share of spending consumed by labor costs (salaries, wages, and benefits)." sqref="G24" xr:uid="{2EF93250-096F-4A74-9C63-3E0F8D00B4A3}"/>
    <dataValidation allowBlank="1" showInputMessage="1" showErrorMessage="1" promptTitle="Compensation spending/FTE empl." prompt="Spending on salaries, wages, and benefits averaged over the number of full-time equivalent employees." sqref="G23" xr:uid="{9C7A63F5-64D8-473C-BD59-AA0CEDCC81A4}"/>
    <dataValidation allowBlank="1" showInputMessage="1" showErrorMessage="1" promptTitle="Spending per FTE student" prompt="Total spending on the academic mission, normalized per full-time equivalent (FTE) student." sqref="G34" xr:uid="{D0FCB73C-FFE0-4536-8547-6934E78EF1BA}"/>
    <dataValidation allowBlank="1" showInputMessage="1" showErrorMessage="1" promptTitle="Student share of spending" prompt="Proportion of academic spending that is funded through tuition and fee revenue (net of institutional aid)._x000a_" sqref="G48" xr:uid="{727A2060-5200-47C7-9D7F-19E8664DB2CA}"/>
  </dataValidations>
  <pageMargins left="0.7" right="0.7" top="0.75" bottom="0.75" header="0.3" footer="0.3"/>
  <pageSetup scale="6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A0FD-2AE3-4425-8EE4-25DB0F128730}">
  <sheetPr>
    <tabColor theme="8" tint="-0.249977111117893"/>
  </sheetPr>
  <dimension ref="C1:O40"/>
  <sheetViews>
    <sheetView showGridLines="0" topLeftCell="B1" zoomScaleNormal="100" workbookViewId="0">
      <selection activeCell="B1" sqref="B1"/>
    </sheetView>
  </sheetViews>
  <sheetFormatPr defaultColWidth="8.85546875" defaultRowHeight="15"/>
  <cols>
    <col min="1" max="1" width="0" hidden="1" customWidth="1"/>
    <col min="2" max="2" width="2.28515625" customWidth="1"/>
    <col min="3" max="3" width="2.42578125" customWidth="1"/>
    <col min="4" max="4" width="67.42578125" customWidth="1"/>
    <col min="5" max="5" width="2.85546875" customWidth="1"/>
    <col min="6" max="6" width="4" customWidth="1"/>
    <col min="7" max="7" width="37.85546875" customWidth="1"/>
    <col min="8" max="8" width="11.85546875" customWidth="1"/>
    <col min="9" max="9" width="42.5703125" customWidth="1"/>
    <col min="10" max="16" width="8.85546875" customWidth="1"/>
  </cols>
  <sheetData>
    <row r="1" spans="3:15" s="1" customFormat="1" ht="33">
      <c r="C1" s="154" t="s">
        <v>3957</v>
      </c>
      <c r="D1" s="154"/>
      <c r="E1" s="154"/>
      <c r="F1" s="154"/>
      <c r="G1" s="154"/>
      <c r="H1" s="154"/>
      <c r="I1" s="153"/>
    </row>
    <row r="2" spans="3:15" s="1" customFormat="1" ht="8.25" customHeight="1">
      <c r="C2" s="139"/>
    </row>
    <row r="3" spans="3:15" s="1" customFormat="1" ht="21.75" customHeight="1">
      <c r="C3" s="166"/>
      <c r="D3" s="173"/>
      <c r="E3" s="167"/>
      <c r="F3" s="140"/>
      <c r="G3" s="140"/>
      <c r="H3" s="159"/>
    </row>
    <row r="4" spans="3:15" s="39" customFormat="1" ht="21.75" customHeight="1">
      <c r="C4" s="168"/>
      <c r="D4" s="287" t="str">
        <f>Affordability!D4</f>
        <v>Abilene Christian University</v>
      </c>
      <c r="E4" s="169"/>
      <c r="H4" s="97"/>
    </row>
    <row r="5" spans="3:15" s="39" customFormat="1" ht="21.75" customHeight="1">
      <c r="C5" s="170"/>
      <c r="D5" s="171" t="str">
        <f>Affordability!D5</f>
        <v>Private Master's University</v>
      </c>
      <c r="E5" s="172"/>
      <c r="G5" s="141"/>
      <c r="H5" s="160"/>
    </row>
    <row r="6" spans="3:15" s="12" customFormat="1" ht="9" customHeight="1">
      <c r="E6" s="142"/>
      <c r="F6" s="143"/>
      <c r="G6" s="143"/>
    </row>
    <row r="7" spans="3:15" s="12" customFormat="1" ht="12" customHeight="1">
      <c r="C7" s="155"/>
      <c r="D7" s="155"/>
      <c r="E7" s="156"/>
      <c r="F7" s="157"/>
      <c r="G7" s="157"/>
      <c r="H7" s="158"/>
      <c r="I7" s="158"/>
    </row>
    <row r="8" spans="3:15" s="12" customFormat="1" ht="17.45" customHeight="1">
      <c r="C8" s="197" t="str">
        <f>'Dashboard Metrics'!C32</f>
        <v>EFFICIENCY METRICS</v>
      </c>
      <c r="D8" s="198"/>
      <c r="E8" s="199"/>
      <c r="F8" s="200"/>
      <c r="G8" s="200"/>
      <c r="H8" s="201"/>
      <c r="I8" s="488" t="s">
        <v>4267</v>
      </c>
    </row>
    <row r="9" spans="3:15" s="12" customFormat="1" ht="17.45" customHeight="1">
      <c r="C9" s="286"/>
      <c r="E9" s="142"/>
      <c r="F9" s="143"/>
      <c r="G9" s="143"/>
      <c r="H9" s="144"/>
      <c r="I9" s="144"/>
    </row>
    <row r="10" spans="3:15" s="14" customFormat="1" ht="26.25" customHeight="1">
      <c r="D10" s="180"/>
      <c r="E10" s="181"/>
      <c r="F10" s="182"/>
      <c r="G10" s="175" t="s">
        <v>3961</v>
      </c>
      <c r="H10" s="161" t="s">
        <v>3956</v>
      </c>
      <c r="I10" s="174" t="s">
        <v>3962</v>
      </c>
      <c r="J10" s="178"/>
      <c r="K10" s="178"/>
      <c r="L10" s="141"/>
      <c r="M10" s="178"/>
      <c r="N10" s="178"/>
      <c r="O10" s="179"/>
    </row>
    <row r="11" spans="3:15" s="14" customFormat="1" ht="38.1" customHeight="1">
      <c r="D11" s="180"/>
      <c r="E11" s="181"/>
      <c r="F11" s="182"/>
      <c r="G11" s="205" t="s">
        <v>21</v>
      </c>
      <c r="H11" s="195" t="str">
        <f>'Dashboard Metrics'!L34</f>
        <v>ü</v>
      </c>
      <c r="I11" s="196" t="str">
        <f>'Dashboard Metrics'!R34</f>
        <v>College is comparable to other institutions on this metric.</v>
      </c>
      <c r="J11" s="178"/>
      <c r="K11" s="178"/>
      <c r="L11" s="141"/>
      <c r="M11" s="178"/>
      <c r="N11" s="178"/>
      <c r="O11" s="179"/>
    </row>
    <row r="12" spans="3:15" s="14" customFormat="1" ht="15" customHeight="1">
      <c r="D12" s="180"/>
      <c r="E12" s="181"/>
      <c r="F12" s="182"/>
      <c r="G12" s="182"/>
      <c r="H12" s="141"/>
      <c r="I12" s="178"/>
      <c r="J12" s="178"/>
      <c r="K12" s="178"/>
      <c r="L12" s="141"/>
      <c r="M12" s="178"/>
      <c r="N12" s="178"/>
      <c r="O12" s="179"/>
    </row>
    <row r="13" spans="3:15" s="14" customFormat="1" ht="15" customHeight="1">
      <c r="D13" s="180"/>
      <c r="E13" s="181"/>
      <c r="F13" s="182"/>
      <c r="G13" s="182"/>
      <c r="H13" s="141"/>
      <c r="I13" s="178"/>
      <c r="J13" s="178"/>
      <c r="K13" s="178"/>
      <c r="L13" s="141"/>
      <c r="M13" s="178"/>
      <c r="N13" s="178"/>
      <c r="O13" s="179"/>
    </row>
    <row r="14" spans="3:15" s="14" customFormat="1" ht="15" customHeight="1">
      <c r="D14" s="180"/>
      <c r="E14" s="181"/>
      <c r="F14" s="182"/>
      <c r="G14" s="182"/>
      <c r="H14" s="141"/>
      <c r="I14" s="178"/>
      <c r="J14" s="178"/>
      <c r="K14" s="178"/>
      <c r="L14" s="141"/>
      <c r="M14" s="178"/>
      <c r="N14" s="178"/>
      <c r="O14" s="179"/>
    </row>
    <row r="15" spans="3:15" s="14" customFormat="1" ht="15" customHeight="1">
      <c r="D15" s="180"/>
      <c r="E15" s="181"/>
      <c r="F15" s="182"/>
      <c r="G15" s="182"/>
      <c r="H15" s="141"/>
      <c r="I15" s="178"/>
      <c r="J15" s="178"/>
      <c r="K15" s="178"/>
      <c r="L15" s="141"/>
      <c r="M15" s="178"/>
      <c r="N15" s="178"/>
      <c r="O15" s="179"/>
    </row>
    <row r="16" spans="3:15" s="14" customFormat="1" ht="15" customHeight="1">
      <c r="D16" s="180"/>
      <c r="E16" s="181"/>
      <c r="F16" s="182"/>
      <c r="G16" s="182"/>
      <c r="H16" s="141"/>
      <c r="I16" s="178"/>
      <c r="J16" s="178"/>
      <c r="K16" s="178"/>
      <c r="L16" s="141"/>
      <c r="M16" s="178"/>
      <c r="N16" s="178"/>
      <c r="O16" s="179"/>
    </row>
    <row r="17" spans="4:15" s="14" customFormat="1" ht="15" customHeight="1">
      <c r="D17" s="180"/>
      <c r="E17" s="181"/>
      <c r="F17" s="182"/>
      <c r="G17" s="182"/>
      <c r="H17" s="141"/>
      <c r="I17" s="178"/>
      <c r="J17" s="178"/>
      <c r="K17" s="178"/>
      <c r="L17" s="141"/>
      <c r="M17" s="178"/>
      <c r="N17" s="178"/>
      <c r="O17" s="179"/>
    </row>
    <row r="18" spans="4:15" s="14" customFormat="1" ht="15" customHeight="1">
      <c r="D18" s="180"/>
      <c r="E18" s="181"/>
      <c r="F18" s="182"/>
      <c r="G18" s="182"/>
      <c r="H18" s="141"/>
      <c r="I18" s="178"/>
      <c r="J18" s="178"/>
      <c r="K18" s="178"/>
      <c r="L18" s="141"/>
      <c r="M18" s="178"/>
      <c r="N18" s="178"/>
      <c r="O18" s="179"/>
    </row>
    <row r="19" spans="4:15" s="14" customFormat="1" ht="15" customHeight="1">
      <c r="D19" s="180"/>
      <c r="E19" s="181"/>
      <c r="F19" s="182"/>
      <c r="G19" s="182"/>
      <c r="H19" s="141"/>
      <c r="I19" s="178"/>
      <c r="J19" s="178"/>
      <c r="K19" s="178"/>
      <c r="L19" s="141"/>
      <c r="M19" s="178"/>
      <c r="N19" s="178"/>
      <c r="O19" s="179"/>
    </row>
    <row r="20" spans="4:15" s="14" customFormat="1" ht="15" customHeight="1">
      <c r="D20" s="180"/>
      <c r="E20" s="181"/>
      <c r="F20" s="182"/>
      <c r="G20" s="182"/>
      <c r="H20" s="141"/>
      <c r="I20" s="178"/>
      <c r="J20" s="178"/>
      <c r="K20" s="178"/>
      <c r="L20" s="141"/>
      <c r="M20" s="178"/>
      <c r="N20" s="178"/>
      <c r="O20" s="179"/>
    </row>
    <row r="21" spans="4:15" s="14" customFormat="1" ht="15" customHeight="1">
      <c r="D21" s="180"/>
      <c r="E21" s="181"/>
      <c r="F21" s="182"/>
      <c r="G21" s="182"/>
      <c r="H21" s="141"/>
      <c r="I21" s="178"/>
      <c r="J21" s="178"/>
      <c r="K21" s="178"/>
      <c r="L21" s="141"/>
      <c r="M21" s="178"/>
      <c r="N21" s="178"/>
      <c r="O21" s="179"/>
    </row>
    <row r="22" spans="4:15" s="14" customFormat="1" ht="15" customHeight="1">
      <c r="D22" s="180"/>
      <c r="E22" s="181"/>
      <c r="F22" s="182"/>
      <c r="G22" s="182"/>
      <c r="H22" s="141"/>
      <c r="I22" s="178"/>
      <c r="J22" s="178"/>
      <c r="K22" s="178"/>
      <c r="L22" s="141"/>
      <c r="M22" s="178"/>
      <c r="N22" s="178"/>
      <c r="O22" s="179"/>
    </row>
    <row r="23" spans="4:15" s="14" customFormat="1" ht="15" customHeight="1">
      <c r="D23" s="180"/>
      <c r="E23" s="181"/>
      <c r="F23" s="182"/>
      <c r="G23" s="182"/>
      <c r="H23" s="141"/>
      <c r="I23" s="178"/>
      <c r="J23" s="178"/>
      <c r="K23" s="178"/>
      <c r="L23" s="141"/>
      <c r="M23" s="178"/>
      <c r="N23" s="178"/>
      <c r="O23" s="179"/>
    </row>
    <row r="24" spans="4:15" s="14" customFormat="1" ht="38.1" customHeight="1">
      <c r="D24" s="180"/>
      <c r="E24" s="181"/>
      <c r="F24" s="182"/>
      <c r="G24" s="205" t="s">
        <v>35</v>
      </c>
      <c r="H24" s="195" t="str">
        <f>'Dashboard Metrics'!L35</f>
        <v>ü</v>
      </c>
      <c r="I24" s="196" t="str">
        <f>'Dashboard Metrics'!R35</f>
        <v>College is comparable to other institutions on this metric.</v>
      </c>
      <c r="J24" s="178"/>
      <c r="K24" s="178"/>
      <c r="L24" s="141"/>
      <c r="M24" s="178"/>
      <c r="N24" s="178"/>
      <c r="O24" s="179"/>
    </row>
    <row r="25" spans="4:15" s="14" customFormat="1" ht="15" customHeight="1">
      <c r="D25" s="180"/>
      <c r="E25" s="181"/>
      <c r="F25" s="182"/>
      <c r="G25" s="182"/>
      <c r="H25" s="141"/>
      <c r="I25" s="178"/>
      <c r="J25" s="178"/>
      <c r="K25" s="178"/>
      <c r="L25" s="141"/>
      <c r="M25" s="178"/>
      <c r="N25" s="178"/>
      <c r="O25" s="179"/>
    </row>
    <row r="26" spans="4:15" s="14" customFormat="1" ht="15" customHeight="1">
      <c r="D26" s="180"/>
      <c r="E26" s="181"/>
      <c r="F26" s="182"/>
      <c r="G26" s="182"/>
      <c r="H26" s="141"/>
      <c r="I26" s="178"/>
      <c r="J26" s="178"/>
      <c r="K26" s="178"/>
      <c r="L26" s="141"/>
      <c r="M26" s="178"/>
      <c r="N26" s="178"/>
      <c r="O26" s="179"/>
    </row>
    <row r="27" spans="4:15" s="14" customFormat="1" ht="15" customHeight="1">
      <c r="D27" s="180"/>
      <c r="E27" s="181"/>
      <c r="F27" s="182"/>
      <c r="G27" s="182"/>
      <c r="H27" s="141"/>
      <c r="I27" s="178"/>
      <c r="J27" s="178"/>
      <c r="K27" s="178"/>
      <c r="L27" s="141"/>
      <c r="M27" s="178"/>
      <c r="N27" s="178"/>
      <c r="O27" s="179"/>
    </row>
    <row r="28" spans="4:15" s="14" customFormat="1" ht="15" customHeight="1">
      <c r="D28" s="180"/>
      <c r="E28" s="181"/>
      <c r="F28" s="182"/>
      <c r="G28" s="182"/>
      <c r="H28" s="141"/>
      <c r="I28" s="178"/>
      <c r="J28" s="178"/>
      <c r="K28" s="178"/>
      <c r="L28" s="141"/>
      <c r="M28" s="178"/>
      <c r="N28" s="178"/>
      <c r="O28" s="179"/>
    </row>
    <row r="29" spans="4:15" s="14" customFormat="1" ht="15" customHeight="1">
      <c r="D29" s="180"/>
      <c r="E29" s="181"/>
      <c r="F29" s="182"/>
      <c r="G29" s="182"/>
      <c r="H29" s="141"/>
      <c r="I29" s="178"/>
      <c r="J29" s="178"/>
      <c r="K29" s="178"/>
      <c r="L29" s="141"/>
      <c r="M29" s="178"/>
      <c r="N29" s="178"/>
      <c r="O29" s="179"/>
    </row>
    <row r="30" spans="4:15" s="14" customFormat="1" ht="15" customHeight="1">
      <c r="D30" s="180"/>
      <c r="E30" s="181"/>
      <c r="F30" s="182"/>
      <c r="G30" s="182"/>
      <c r="H30" s="141"/>
      <c r="I30" s="178"/>
      <c r="J30" s="178"/>
      <c r="K30" s="178"/>
      <c r="L30" s="141"/>
      <c r="M30" s="178"/>
      <c r="N30" s="178"/>
      <c r="O30" s="179"/>
    </row>
    <row r="31" spans="4:15" s="14" customFormat="1" ht="15" customHeight="1">
      <c r="D31" s="180"/>
      <c r="E31" s="181"/>
      <c r="F31" s="182"/>
      <c r="G31" s="182"/>
      <c r="H31" s="141"/>
      <c r="I31" s="178"/>
      <c r="J31" s="178"/>
      <c r="K31" s="178"/>
      <c r="L31" s="141"/>
      <c r="M31" s="178"/>
      <c r="N31" s="178"/>
      <c r="O31" s="179"/>
    </row>
    <row r="32" spans="4:15" s="14" customFormat="1" ht="15" customHeight="1">
      <c r="D32" s="180"/>
      <c r="E32" s="181"/>
      <c r="F32" s="182"/>
      <c r="G32" s="182"/>
      <c r="H32" s="141"/>
      <c r="I32" s="178"/>
      <c r="J32" s="178"/>
      <c r="K32" s="178"/>
      <c r="L32" s="141"/>
      <c r="M32" s="178"/>
      <c r="N32" s="178"/>
      <c r="O32" s="179"/>
    </row>
    <row r="33" spans="3:15" s="14" customFormat="1" ht="15" customHeight="1">
      <c r="D33" s="180"/>
      <c r="E33" s="181"/>
      <c r="F33" s="182"/>
      <c r="G33" s="182"/>
      <c r="H33" s="141"/>
      <c r="I33" s="178"/>
      <c r="J33" s="178"/>
      <c r="K33" s="178"/>
      <c r="L33" s="141"/>
      <c r="M33" s="178"/>
      <c r="N33" s="178"/>
      <c r="O33" s="179"/>
    </row>
    <row r="34" spans="3:15" s="14" customFormat="1" ht="15" customHeight="1">
      <c r="D34" s="180"/>
      <c r="E34" s="181"/>
      <c r="F34" s="182"/>
      <c r="G34" s="182"/>
      <c r="H34" s="141"/>
      <c r="I34" s="178"/>
      <c r="J34" s="178"/>
      <c r="K34" s="178"/>
      <c r="L34" s="141"/>
      <c r="M34" s="178"/>
      <c r="N34" s="178"/>
      <c r="O34" s="179"/>
    </row>
    <row r="35" spans="3:15" s="14" customFormat="1" ht="15" customHeight="1">
      <c r="D35" s="180"/>
      <c r="E35" s="181"/>
      <c r="F35" s="182"/>
      <c r="G35" s="182"/>
      <c r="H35" s="141"/>
      <c r="I35" s="178"/>
      <c r="J35" s="178"/>
      <c r="K35" s="178"/>
      <c r="L35" s="141"/>
      <c r="M35" s="178"/>
      <c r="N35" s="178"/>
      <c r="O35" s="179"/>
    </row>
    <row r="36" spans="3:15" s="14" customFormat="1" ht="15" customHeight="1">
      <c r="D36" s="180"/>
      <c r="E36" s="181"/>
      <c r="F36" s="182"/>
      <c r="G36" s="182"/>
      <c r="H36" s="141"/>
      <c r="I36" s="178"/>
      <c r="J36" s="178"/>
      <c r="K36" s="178"/>
      <c r="L36" s="141"/>
      <c r="M36" s="178"/>
      <c r="N36" s="178"/>
      <c r="O36" s="179"/>
    </row>
    <row r="37" spans="3:15" s="1" customFormat="1">
      <c r="C37" s="146" t="s">
        <v>11</v>
      </c>
      <c r="D37" s="147"/>
    </row>
    <row r="38" spans="3:15" s="149" customFormat="1" ht="15" customHeight="1">
      <c r="C38" s="150" t="s">
        <v>3954</v>
      </c>
      <c r="D38" s="150"/>
      <c r="E38" s="150"/>
      <c r="F38" s="150"/>
      <c r="I38" s="145"/>
    </row>
    <row r="39" spans="3:15" s="149" customFormat="1" ht="15" customHeight="1">
      <c r="C39" s="150" t="s">
        <v>3766</v>
      </c>
      <c r="D39" s="151"/>
      <c r="E39" s="151"/>
      <c r="I39" s="1"/>
    </row>
    <row r="40" spans="3:15" s="149" customFormat="1" ht="15" customHeight="1">
      <c r="C40" s="476" t="s">
        <v>4266</v>
      </c>
      <c r="D40" s="151"/>
    </row>
  </sheetData>
  <sheetProtection algorithmName="SHA-512" hashValue="d8xLL9VsTYFoCoNQYTk066n5LCi5mSKNRhFmZ0FHkj33vSxqn5DbYazbkUiAp6PwBZiqXqRZQmEwOFOOqXnjuA==" saltValue="AbasOuVuOQume6BVmg+9bg==" spinCount="100000" sheet="1" objects="1"/>
  <conditionalFormatting sqref="I11">
    <cfRule type="cellIs" dxfId="79" priority="9" operator="equal">
      <formula>"Ý"</formula>
    </cfRule>
    <cfRule type="cellIs" dxfId="78" priority="10" operator="equal">
      <formula>"ü"</formula>
    </cfRule>
  </conditionalFormatting>
  <conditionalFormatting sqref="I24">
    <cfRule type="cellIs" dxfId="77" priority="5" operator="equal">
      <formula>"Ý"</formula>
    </cfRule>
    <cfRule type="cellIs" dxfId="76" priority="6" operator="equal">
      <formula>"ü"</formula>
    </cfRule>
  </conditionalFormatting>
  <conditionalFormatting sqref="H11">
    <cfRule type="cellIs" dxfId="75" priority="3" operator="equal">
      <formula>"Þ"</formula>
    </cfRule>
    <cfRule type="cellIs" dxfId="74" priority="4" operator="equal">
      <formula>"ü"</formula>
    </cfRule>
  </conditionalFormatting>
  <conditionalFormatting sqref="H24">
    <cfRule type="cellIs" dxfId="73" priority="1" operator="equal">
      <formula>"Þ"</formula>
    </cfRule>
    <cfRule type="cellIs" dxfId="72" priority="2" operator="equal">
      <formula>"ü"</formula>
    </cfRule>
  </conditionalFormatting>
  <dataValidations count="2">
    <dataValidation allowBlank="1" showInputMessage="1" showErrorMessage="1" promptTitle="Faculty throughput" prompt="Student credit hours per FTE faculty." sqref="G11" xr:uid="{6FB2C017-3078-42EC-9729-F256250F197C}"/>
    <dataValidation allowBlank="1" showInputMessage="1" showErrorMessage="1" promptTitle="Student-to-faculty ratio" prompt="Number of FTE students per FTE faculty." sqref="G24" xr:uid="{ADA233DA-ED80-449C-A5C6-64790BBC7324}"/>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FB1D-CE69-491E-8E54-D73177847B80}">
  <sheetPr>
    <tabColor rgb="FF9966FF"/>
  </sheetPr>
  <dimension ref="C1:L46"/>
  <sheetViews>
    <sheetView showGridLines="0" topLeftCell="B1" workbookViewId="0">
      <selection activeCell="B1" sqref="B1"/>
    </sheetView>
  </sheetViews>
  <sheetFormatPr defaultColWidth="8.85546875" defaultRowHeight="15"/>
  <cols>
    <col min="1" max="1" width="0" hidden="1" customWidth="1"/>
    <col min="2" max="2" width="2.28515625" customWidth="1"/>
    <col min="3" max="3" width="2.42578125" customWidth="1"/>
    <col min="4" max="4" width="67.42578125" customWidth="1"/>
    <col min="5" max="5" width="2.85546875" customWidth="1"/>
    <col min="6" max="6" width="4" customWidth="1"/>
    <col min="7" max="7" width="37.85546875" customWidth="1"/>
    <col min="8" max="8" width="11.85546875" customWidth="1"/>
    <col min="9" max="9" width="42.5703125" customWidth="1"/>
    <col min="10" max="16" width="8.85546875" customWidth="1"/>
  </cols>
  <sheetData>
    <row r="1" spans="3:9" s="1" customFormat="1" ht="33">
      <c r="C1" s="154" t="s">
        <v>3957</v>
      </c>
      <c r="D1" s="154"/>
      <c r="E1" s="154"/>
      <c r="F1" s="154"/>
      <c r="G1" s="154"/>
      <c r="H1" s="154"/>
      <c r="I1" s="153"/>
    </row>
    <row r="2" spans="3:9" s="1" customFormat="1" ht="8.25" customHeight="1">
      <c r="C2" s="139"/>
    </row>
    <row r="3" spans="3:9" s="1" customFormat="1" ht="21.75" customHeight="1">
      <c r="C3" s="166"/>
      <c r="D3" s="173"/>
      <c r="E3" s="167"/>
      <c r="F3" s="140"/>
      <c r="G3" s="140"/>
      <c r="H3" s="159"/>
    </row>
    <row r="4" spans="3:9" s="39" customFormat="1" ht="21.75" customHeight="1">
      <c r="C4" s="168"/>
      <c r="D4" s="287" t="str">
        <f>Affordability!D4</f>
        <v>Abilene Christian University</v>
      </c>
      <c r="E4" s="169"/>
      <c r="H4" s="97"/>
    </row>
    <row r="5" spans="3:9" s="39" customFormat="1" ht="21.75" customHeight="1">
      <c r="C5" s="170"/>
      <c r="D5" s="171" t="str">
        <f>Affordability!D5</f>
        <v>Private Master's University</v>
      </c>
      <c r="E5" s="172"/>
      <c r="G5" s="141"/>
      <c r="H5" s="160"/>
    </row>
    <row r="6" spans="3:9" s="12" customFormat="1" ht="9" customHeight="1">
      <c r="E6" s="142"/>
      <c r="F6" s="143"/>
      <c r="G6" s="143"/>
    </row>
    <row r="7" spans="3:9" s="12" customFormat="1" ht="12" customHeight="1">
      <c r="C7" s="155"/>
      <c r="D7" s="155"/>
      <c r="E7" s="156"/>
      <c r="F7" s="157"/>
      <c r="G7" s="157"/>
      <c r="H7" s="158"/>
      <c r="I7" s="158"/>
    </row>
    <row r="8" spans="3:9" s="12" customFormat="1" ht="17.45" customHeight="1">
      <c r="C8" s="210" t="str">
        <f>'Dashboard Metrics'!C41</f>
        <v>OUTCOME METRICS</v>
      </c>
      <c r="D8" s="206"/>
      <c r="E8" s="207"/>
      <c r="F8" s="208"/>
      <c r="G8" s="208"/>
      <c r="H8" s="209"/>
      <c r="I8" s="487" t="s">
        <v>4267</v>
      </c>
    </row>
    <row r="9" spans="3:9" s="12" customFormat="1" ht="17.45" customHeight="1">
      <c r="C9" s="288"/>
      <c r="E9" s="142"/>
      <c r="F9" s="143"/>
      <c r="G9" s="143"/>
      <c r="H9" s="144"/>
      <c r="I9" s="144"/>
    </row>
    <row r="10" spans="3:9" s="12" customFormat="1" ht="26.25" customHeight="1">
      <c r="C10" s="20"/>
      <c r="E10" s="142"/>
      <c r="F10" s="143"/>
      <c r="G10" s="175" t="s">
        <v>3961</v>
      </c>
      <c r="H10" s="161" t="s">
        <v>3956</v>
      </c>
      <c r="I10" s="174" t="s">
        <v>3962</v>
      </c>
    </row>
    <row r="11" spans="3:9" s="12" customFormat="1" ht="38.1" customHeight="1">
      <c r="C11" s="20"/>
      <c r="E11" s="142"/>
      <c r="F11" s="143"/>
      <c r="G11" s="211" t="str">
        <f>'Dashboard Metrics'!D43</f>
        <v>Spending per completion</v>
      </c>
      <c r="H11" s="212" t="str">
        <f>'Dashboard Metrics'!L43</f>
        <v>Ý</v>
      </c>
      <c r="I11" s="213" t="str">
        <f>'Dashboard Metrics'!R43</f>
        <v>Elevated spending levels could signal high cost programs, degrees, indirect costs, or high levels of attrition.</v>
      </c>
    </row>
    <row r="12" spans="3:9" s="12" customFormat="1" ht="38.1" customHeight="1">
      <c r="C12" s="20"/>
      <c r="E12" s="142"/>
      <c r="F12" s="143"/>
      <c r="G12" s="214" t="str">
        <f>'Dashboard Metrics'!D46</f>
        <v xml:space="preserve">Completions per $100,000 of spending </v>
      </c>
      <c r="H12" s="215" t="str">
        <f>'Dashboard Metrics'!L46</f>
        <v>Þ</v>
      </c>
      <c r="I12" s="216" t="str">
        <f>'Dashboard Metrics'!R46</f>
        <v>Lower than expected performance is an indication of suboptimal degree/certificate production per dollar spent.</v>
      </c>
    </row>
    <row r="13" spans="3:9" s="12" customFormat="1" ht="17.45" customHeight="1">
      <c r="C13" s="20"/>
      <c r="E13" s="142"/>
      <c r="F13" s="143"/>
      <c r="G13" s="143"/>
      <c r="H13" s="144"/>
    </row>
    <row r="14" spans="3:9" s="12" customFormat="1" ht="17.45" customHeight="1">
      <c r="E14" s="142"/>
      <c r="F14" s="143"/>
      <c r="G14" s="143"/>
      <c r="H14" s="144"/>
    </row>
    <row r="15" spans="3:9" s="12" customFormat="1" ht="17.45" customHeight="1">
      <c r="G15" s="143"/>
      <c r="H15" s="144"/>
    </row>
    <row r="16" spans="3:9" s="12" customFormat="1" ht="17.45" customHeight="1">
      <c r="G16" s="143"/>
      <c r="H16" s="144"/>
    </row>
    <row r="17" spans="5:12" s="12" customFormat="1" ht="17.45" customHeight="1">
      <c r="I17" s="143"/>
    </row>
    <row r="18" spans="5:12" s="12" customFormat="1" ht="17.45" customHeight="1"/>
    <row r="19" spans="5:12" s="12" customFormat="1" ht="17.45" customHeight="1">
      <c r="I19"/>
    </row>
    <row r="20" spans="5:12" s="12" customFormat="1" ht="17.45" customHeight="1">
      <c r="E20" s="142"/>
      <c r="F20" s="143"/>
      <c r="I20" s="144"/>
    </row>
    <row r="21" spans="5:12" s="12" customFormat="1" ht="17.45" customHeight="1">
      <c r="E21" s="142"/>
      <c r="F21" s="143"/>
      <c r="I21" s="144"/>
    </row>
    <row r="22" spans="5:12" s="12" customFormat="1" ht="36.950000000000003" customHeight="1">
      <c r="E22" s="142"/>
      <c r="F22" s="143"/>
      <c r="G22" s="217" t="str">
        <f>'Dashboard Metrics'!D48</f>
        <v>Completions per 100 FTE</v>
      </c>
      <c r="H22" s="218" t="str">
        <f>'Dashboard Metrics'!L48</f>
        <v>Þ</v>
      </c>
      <c r="I22" s="219" t="str">
        <f>'Dashboard Metrics'!R48</f>
        <v>Degree and certificate productivity is lower than expected.</v>
      </c>
    </row>
    <row r="23" spans="5:12" s="12" customFormat="1" ht="17.45" customHeight="1">
      <c r="E23" s="142"/>
      <c r="F23" s="143"/>
      <c r="I23" s="144"/>
    </row>
    <row r="24" spans="5:12" s="12" customFormat="1" ht="17.45" customHeight="1">
      <c r="E24" s="142"/>
      <c r="F24" s="143"/>
      <c r="I24" s="144"/>
    </row>
    <row r="25" spans="5:12" s="12" customFormat="1" ht="17.45" customHeight="1">
      <c r="E25" s="142"/>
      <c r="F25" s="143"/>
      <c r="G25" s="144"/>
    </row>
    <row r="26" spans="5:12" s="12" customFormat="1" ht="17.45" customHeight="1">
      <c r="E26" s="142"/>
      <c r="F26" s="143"/>
      <c r="G26" s="143"/>
      <c r="H26" s="144"/>
    </row>
    <row r="27" spans="5:12" s="12" customFormat="1" ht="17.45" customHeight="1">
      <c r="E27" s="142"/>
      <c r="F27" s="143"/>
      <c r="G27" s="143"/>
      <c r="H27" s="144"/>
    </row>
    <row r="28" spans="5:12" s="12" customFormat="1" ht="17.45" customHeight="1">
      <c r="E28" s="142"/>
      <c r="F28" s="143"/>
      <c r="G28" s="143"/>
      <c r="H28" s="144"/>
    </row>
    <row r="29" spans="5:12" s="12" customFormat="1" ht="17.45" customHeight="1">
      <c r="E29" s="142"/>
      <c r="F29" s="143"/>
      <c r="G29" s="143"/>
      <c r="H29" s="144"/>
    </row>
    <row r="30" spans="5:12" s="12" customFormat="1" ht="17.45" customHeight="1">
      <c r="E30" s="142"/>
      <c r="F30" s="143"/>
      <c r="G30" s="143"/>
      <c r="H30" s="144"/>
    </row>
    <row r="31" spans="5:12" s="12" customFormat="1" ht="17.45" customHeight="1">
      <c r="E31" s="142"/>
      <c r="F31" s="143"/>
      <c r="G31" s="143"/>
      <c r="H31" s="144"/>
    </row>
    <row r="32" spans="5:12" s="12" customFormat="1" ht="17.45" customHeight="1">
      <c r="E32" s="142"/>
      <c r="F32" s="143"/>
      <c r="G32" s="143"/>
      <c r="H32" s="144"/>
      <c r="K32" s="66"/>
      <c r="L32" s="66"/>
    </row>
    <row r="33" spans="3:9" s="12" customFormat="1" ht="17.45" customHeight="1">
      <c r="C33" s="20"/>
      <c r="E33" s="142"/>
      <c r="F33" s="143"/>
      <c r="G33" s="143"/>
      <c r="H33" s="144"/>
    </row>
    <row r="34" spans="3:9" s="12" customFormat="1" ht="38.1" customHeight="1">
      <c r="C34" s="20"/>
      <c r="E34" s="142"/>
      <c r="F34" s="143"/>
      <c r="G34" s="211" t="str">
        <f>'Dashboard Metrics'!D49</f>
        <v>Student credit hours per completion</v>
      </c>
      <c r="H34" s="491" t="str">
        <f>'Dashboard Metrics'!L49</f>
        <v>Ý</v>
      </c>
      <c r="I34" s="213" t="str">
        <f>'Dashboard Metrics'!R49</f>
        <v>The college may have 'unproductive' credits that are not translating into outcomes because of attrition or student transfers.</v>
      </c>
    </row>
    <row r="35" spans="3:9" s="12" customFormat="1" ht="48" customHeight="1">
      <c r="C35" s="20"/>
      <c r="E35" s="142"/>
      <c r="F35" s="143"/>
      <c r="G35" s="214" t="str">
        <f>'Dashboard Metrics'!D44</f>
        <v>Spending per credit hour</v>
      </c>
      <c r="H35" s="215" t="str">
        <f>'Dashboard Metrics'!L44</f>
        <v>Ý</v>
      </c>
      <c r="I35" s="216" t="str">
        <f>'Dashboard Metrics'!R44</f>
        <v>High spending levels could signal higher cost programs, degrees or indirect costs, or academic program inefficiencies (e.g., low enrollment programs, courses, or sections).</v>
      </c>
    </row>
    <row r="36" spans="3:9" s="12" customFormat="1" ht="17.45" customHeight="1">
      <c r="C36" s="20"/>
      <c r="E36" s="142"/>
      <c r="F36" s="143"/>
      <c r="G36" s="143"/>
      <c r="H36" s="144"/>
    </row>
    <row r="37" spans="3:9" s="12" customFormat="1" ht="17.45" customHeight="1">
      <c r="E37" s="142"/>
      <c r="F37" s="143"/>
      <c r="G37" s="143"/>
      <c r="H37" s="144"/>
    </row>
    <row r="38" spans="3:9" s="12" customFormat="1" ht="17.45" customHeight="1">
      <c r="G38" s="143"/>
      <c r="H38" s="144"/>
    </row>
    <row r="39" spans="3:9" s="12" customFormat="1" ht="17.45" customHeight="1">
      <c r="G39" s="143"/>
      <c r="H39" s="144"/>
    </row>
    <row r="40" spans="3:9" s="12" customFormat="1" ht="17.45" customHeight="1">
      <c r="I40" s="143"/>
    </row>
    <row r="41" spans="3:9" s="12" customFormat="1" ht="17.45" customHeight="1"/>
    <row r="42" spans="3:9" s="12" customFormat="1" ht="17.45" customHeight="1">
      <c r="I42"/>
    </row>
    <row r="43" spans="3:9" s="1" customFormat="1">
      <c r="C43" s="146" t="s">
        <v>11</v>
      </c>
      <c r="D43" s="147"/>
    </row>
    <row r="44" spans="3:9" s="149" customFormat="1" ht="15" customHeight="1">
      <c r="C44" s="150" t="s">
        <v>3954</v>
      </c>
      <c r="D44" s="150"/>
      <c r="E44" s="150"/>
      <c r="F44" s="150"/>
      <c r="I44" s="145"/>
    </row>
    <row r="45" spans="3:9" s="149" customFormat="1" ht="15" customHeight="1">
      <c r="C45" s="150" t="s">
        <v>3766</v>
      </c>
      <c r="D45" s="151"/>
      <c r="E45" s="151"/>
      <c r="I45" s="1"/>
    </row>
    <row r="46" spans="3:9" s="149" customFormat="1" ht="15" customHeight="1">
      <c r="C46" s="476" t="s">
        <v>4266</v>
      </c>
      <c r="D46" s="151"/>
    </row>
  </sheetData>
  <sheetProtection algorithmName="SHA-512" hashValue="570tfNCPcnYHswvkQ0O1Rd3dSI6WCnXVuWn57jlK1lEGSCvQUEKEaqwtGwFPXVRKNvrwzs4dQqWRrW5IC/Qgig==" saltValue="eso6jlsSOKGV5z3bceugMw==" spinCount="100000" sheet="1" objects="1"/>
  <conditionalFormatting sqref="H11">
    <cfRule type="cellIs" dxfId="71" priority="11" operator="equal">
      <formula>"Ý"</formula>
    </cfRule>
    <cfRule type="cellIs" dxfId="70" priority="12" operator="equal">
      <formula>"ü"</formula>
    </cfRule>
  </conditionalFormatting>
  <conditionalFormatting sqref="H35">
    <cfRule type="cellIs" dxfId="69" priority="9" operator="equal">
      <formula>"Ý"</formula>
    </cfRule>
    <cfRule type="cellIs" dxfId="68" priority="10" operator="equal">
      <formula>"ü"</formula>
    </cfRule>
  </conditionalFormatting>
  <conditionalFormatting sqref="H12">
    <cfRule type="cellIs" dxfId="67" priority="7" operator="equal">
      <formula>"Þ"</formula>
    </cfRule>
    <cfRule type="cellIs" dxfId="66" priority="8" operator="equal">
      <formula>"ü"</formula>
    </cfRule>
  </conditionalFormatting>
  <conditionalFormatting sqref="H22">
    <cfRule type="cellIs" dxfId="65" priority="5" operator="equal">
      <formula>"Þ"</formula>
    </cfRule>
    <cfRule type="cellIs" dxfId="64" priority="6" operator="equal">
      <formula>"ü"</formula>
    </cfRule>
  </conditionalFormatting>
  <conditionalFormatting sqref="H34">
    <cfRule type="cellIs" dxfId="63" priority="1" operator="equal">
      <formula>"Ý"</formula>
    </cfRule>
    <cfRule type="cellIs" dxfId="62" priority="2" operator="equal">
      <formula>"ü"</formula>
    </cfRule>
  </conditionalFormatting>
  <dataValidations count="3">
    <dataValidation allowBlank="1" showInputMessage="1" showErrorMessage="1" promptTitle="Tuition discount rate" prompt="The portion of tuition and fee revenue that is paid with institutional grant aid." sqref="G22" xr:uid="{CA65B9D5-4F13-4DB6-B63B-DF0454E3C97E}"/>
    <dataValidation allowBlank="1" showInputMessage="1" showErrorMessage="1" promptTitle="Institutional grant aid per FTE" prompt="Total institutional grant aid awarded by the institution normalized per full-time equivalent student" sqref="G12 G35" xr:uid="{1A23EED0-FE98-46BC-8FD4-A3AD87005CE5}"/>
    <dataValidation allowBlank="1" showInputMessage="1" showErrorMessage="1" promptTitle="Average institutional grant" prompt="Average amount of institutional grants (scholarships/fellowships) awarded to full-time, first-time degree/certificate-seeking undergraduate students." sqref="G11 G34" xr:uid="{9F0AEF2E-7218-446A-886D-8B83F6659998}"/>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E7DBE-755F-4CB5-8378-5BD15B4E67A2}">
  <sheetPr codeName="Sheet3">
    <tabColor theme="2" tint="-0.499984740745262"/>
    <pageSetUpPr fitToPage="1"/>
  </sheetPr>
  <dimension ref="A1:V60"/>
  <sheetViews>
    <sheetView showGridLines="0" zoomScale="90" zoomScaleNormal="90" zoomScalePageLayoutView="80" workbookViewId="0">
      <pane ySplit="5" topLeftCell="A6" activePane="bottomLeft" state="frozen"/>
      <selection pane="bottomLeft" activeCell="B1" sqref="B1"/>
    </sheetView>
  </sheetViews>
  <sheetFormatPr defaultColWidth="8.85546875" defaultRowHeight="15"/>
  <cols>
    <col min="1" max="1" width="19.140625" hidden="1" customWidth="1"/>
    <col min="2" max="2" width="2.28515625" customWidth="1"/>
    <col min="3" max="3" width="3.85546875" customWidth="1"/>
    <col min="4" max="4" width="65.5703125" customWidth="1"/>
    <col min="5" max="5" width="19" customWidth="1"/>
    <col min="6" max="7" width="1.7109375" customWidth="1"/>
    <col min="8" max="8" width="24.140625" customWidth="1"/>
    <col min="9" max="10" width="1.7109375" customWidth="1"/>
    <col min="11" max="11" width="15.140625" customWidth="1"/>
    <col min="12" max="12" width="24.140625" customWidth="1"/>
    <col min="13" max="14" width="1.7109375" customWidth="1"/>
    <col min="15" max="15" width="66.85546875" customWidth="1"/>
    <col min="16" max="17" width="1.7109375" customWidth="1"/>
    <col min="18" max="18" width="66.7109375" style="177" customWidth="1"/>
    <col min="19" max="19" width="1.7109375" customWidth="1"/>
    <col min="20" max="20" width="1.7109375" style="1" customWidth="1"/>
    <col min="21" max="22" width="8.85546875" customWidth="1"/>
  </cols>
  <sheetData>
    <row r="1" spans="1:22" s="1" customFormat="1" ht="33">
      <c r="C1" s="154" t="s">
        <v>3964</v>
      </c>
      <c r="D1" s="154"/>
      <c r="E1" s="154"/>
      <c r="F1" s="154"/>
      <c r="G1" s="154"/>
      <c r="H1" s="154"/>
      <c r="I1" s="153"/>
      <c r="J1" s="153"/>
      <c r="K1" s="153"/>
      <c r="L1" s="153"/>
      <c r="M1" s="153"/>
      <c r="N1" s="153"/>
      <c r="O1" s="153"/>
      <c r="P1" s="153"/>
      <c r="Q1" s="153"/>
      <c r="R1" s="284"/>
      <c r="S1" s="153"/>
    </row>
    <row r="2" spans="1:22" s="1" customFormat="1">
      <c r="R2" s="275"/>
    </row>
    <row r="3" spans="1:22" ht="36" customHeight="1">
      <c r="C3" s="1"/>
      <c r="D3" s="246"/>
      <c r="E3" s="1"/>
      <c r="F3" s="247"/>
      <c r="G3" s="248"/>
      <c r="H3" s="140" t="s">
        <v>22</v>
      </c>
      <c r="I3" s="1"/>
      <c r="J3" s="248"/>
      <c r="K3" s="145"/>
      <c r="L3" s="140"/>
      <c r="M3" s="1"/>
      <c r="N3" s="248"/>
      <c r="O3" s="1"/>
      <c r="P3" s="1"/>
      <c r="Q3" s="248"/>
      <c r="S3" s="1"/>
      <c r="T3" s="248"/>
    </row>
    <row r="4" spans="1:22" s="39" customFormat="1" ht="51" customHeight="1">
      <c r="D4" s="252" t="str">
        <f>Affordability!D4</f>
        <v>Abilene Christian University</v>
      </c>
      <c r="E4" s="141" t="s">
        <v>4265</v>
      </c>
      <c r="F4" s="249"/>
      <c r="G4" s="250"/>
      <c r="H4" s="141" t="str">
        <f>IF(Affordability!D4=""," ",VLOOKUP(Affordability!$D$4,LUMINA_DASH_DATA_FY16_TEMP!$E$6:$I2422,5,FALSE))</f>
        <v>Private Master's University</v>
      </c>
      <c r="I4" s="178"/>
      <c r="J4" s="251"/>
      <c r="K4" s="178" t="s">
        <v>3765</v>
      </c>
      <c r="L4" s="141" t="s">
        <v>3661</v>
      </c>
      <c r="M4" s="178"/>
      <c r="N4" s="251"/>
      <c r="O4" s="179" t="s">
        <v>3996</v>
      </c>
      <c r="P4" s="178"/>
      <c r="Q4" s="251"/>
      <c r="R4" s="141" t="s">
        <v>3995</v>
      </c>
      <c r="S4" s="178"/>
      <c r="T4" s="251"/>
    </row>
    <row r="5" spans="1:22" s="14" customFormat="1" ht="15" customHeight="1">
      <c r="D5" s="180"/>
      <c r="E5" s="181"/>
      <c r="F5" s="249"/>
      <c r="G5" s="250"/>
      <c r="H5" s="141"/>
      <c r="I5" s="178"/>
      <c r="J5" s="251"/>
      <c r="K5" s="178"/>
      <c r="L5" s="141"/>
      <c r="M5" s="178"/>
      <c r="N5" s="251"/>
      <c r="O5" s="179"/>
      <c r="P5" s="178"/>
      <c r="Q5" s="251"/>
      <c r="R5" s="276"/>
      <c r="S5" s="178"/>
      <c r="T5" s="251"/>
    </row>
    <row r="6" spans="1:22" s="7" customFormat="1" ht="17.45" customHeight="1">
      <c r="C6" s="99" t="s">
        <v>3662</v>
      </c>
      <c r="E6" s="15"/>
      <c r="F6" s="79"/>
      <c r="G6" s="86"/>
      <c r="H6" s="72"/>
      <c r="I6" s="78"/>
      <c r="J6" s="16"/>
      <c r="K6" s="78"/>
      <c r="L6" s="72"/>
      <c r="M6" s="78"/>
      <c r="N6" s="16"/>
      <c r="O6" s="17"/>
      <c r="P6" s="78"/>
      <c r="Q6" s="16"/>
      <c r="R6" s="2"/>
      <c r="S6" s="78"/>
      <c r="T6" s="16"/>
    </row>
    <row r="7" spans="1:22" s="7" customFormat="1" ht="17.45" customHeight="1">
      <c r="A7" s="7" t="s">
        <v>3999</v>
      </c>
      <c r="C7" s="264" t="s">
        <v>3650</v>
      </c>
      <c r="D7" s="163"/>
      <c r="E7" s="164"/>
      <c r="F7" s="230"/>
      <c r="G7" s="231"/>
      <c r="H7" s="162"/>
      <c r="I7" s="232"/>
      <c r="J7" s="231"/>
      <c r="K7" s="232"/>
      <c r="L7" s="162"/>
      <c r="M7" s="232"/>
      <c r="N7" s="231"/>
      <c r="O7" s="165"/>
      <c r="P7" s="232"/>
      <c r="Q7" s="231"/>
      <c r="R7" s="280"/>
      <c r="S7" s="232"/>
      <c r="T7" s="16"/>
      <c r="U7" s="66" t="s">
        <v>3657</v>
      </c>
      <c r="V7" s="66" t="s">
        <v>3658</v>
      </c>
    </row>
    <row r="8" spans="1:22" s="1" customFormat="1">
      <c r="C8" s="18"/>
      <c r="D8" s="20"/>
      <c r="E8" s="21"/>
      <c r="F8" s="71"/>
      <c r="G8" s="75"/>
      <c r="H8" s="23"/>
      <c r="I8" s="23"/>
      <c r="J8" s="73"/>
      <c r="K8" s="23"/>
      <c r="L8" s="23"/>
      <c r="M8" s="23"/>
      <c r="N8" s="73"/>
      <c r="O8" s="19"/>
      <c r="P8" s="23"/>
      <c r="Q8" s="73"/>
      <c r="R8" s="275"/>
      <c r="S8" s="23"/>
      <c r="T8" s="73"/>
      <c r="U8" s="97" t="s">
        <v>3654</v>
      </c>
      <c r="V8" s="98" t="s">
        <v>3654</v>
      </c>
    </row>
    <row r="9" spans="1:22" s="7" customFormat="1" ht="30" customHeight="1">
      <c r="A9" s="7" t="s">
        <v>3675</v>
      </c>
      <c r="C9" s="18"/>
      <c r="D9" s="33" t="s">
        <v>3648</v>
      </c>
      <c r="E9" s="220">
        <f>IF(Affordability!$D$4=""," ",VLOOKUP(Affordability!$D$4,LUMINA_DASH_DATA_FY16_TEMP!$E$6:$AF$2422,6,FALSE))</f>
        <v>33330</v>
      </c>
      <c r="F9" s="79"/>
      <c r="G9" s="86"/>
      <c r="H9" s="93">
        <f>IF(Affordability!$D$4=""," ",VLOOKUP(Affordability!$D$5,LUMINA_DASH_MEANS_FY16_TEMP!$A$6:$BT$12,4,FALSE))</f>
        <v>29876.744850701587</v>
      </c>
      <c r="I9" s="78"/>
      <c r="J9" s="16"/>
      <c r="K9" s="93">
        <f>IF(Affordability!$D$4=""," ",VLOOKUP(Affordability!$D$5,LUMINA_DASH_MEANS_FY16_TEMP!$A$6:$BT$12,6,FALSE))</f>
        <v>10298.386551258231</v>
      </c>
      <c r="L9" s="95" t="str">
        <f>IF(E9&lt;&gt; " ",(IF(E9&gt;(H9+K9),"Ý",IF(E9&lt;(H9-K9), "Þ", "ü"))), " ")</f>
        <v>ü</v>
      </c>
      <c r="M9" s="78"/>
      <c r="N9" s="16"/>
      <c r="O9" s="136" t="s">
        <v>3768</v>
      </c>
      <c r="P9" s="78"/>
      <c r="Q9" s="16"/>
      <c r="R9" s="277" t="str">
        <f>IF(E9&lt;&gt; " ",(IF(E9&gt;(H9+K9),"Higher than average tution and fees indicate a potential affordability concern.",IF(E9&lt;(H9-K9), "The college demonstrates greater affordability than comparable institutions.", "College is comparable to other institutions on this metric."))), " ")</f>
        <v>College is comparable to other institutions on this metric.</v>
      </c>
      <c r="S9" s="78"/>
      <c r="T9" s="16"/>
      <c r="U9" s="97" t="s">
        <v>3655</v>
      </c>
      <c r="V9" s="98" t="s">
        <v>3655</v>
      </c>
    </row>
    <row r="10" spans="1:22" s="7" customFormat="1" ht="30" customHeight="1">
      <c r="A10" s="7" t="s">
        <v>3682</v>
      </c>
      <c r="C10" s="18"/>
      <c r="D10" s="33" t="s">
        <v>3649</v>
      </c>
      <c r="E10" s="220">
        <f>IF(Affordability!$D$4=""," ",VLOOKUP(Affordability!$D$4,LUMINA_DASH_DATA_FY16_TEMP!$E$6:$AF$2422,7,FALSE))</f>
        <v>27584</v>
      </c>
      <c r="F10" s="79"/>
      <c r="G10" s="86"/>
      <c r="H10" s="93">
        <f>IF(Affordability!$D$4=""," ",VLOOKUP(Affordability!$D$5,LUMINA_DASH_MEANS_FY16_TEMP!$A$6:$BT$12,7,FALSE))</f>
        <v>26376.872431725398</v>
      </c>
      <c r="I10" s="78"/>
      <c r="J10" s="16"/>
      <c r="K10" s="93">
        <f>IF(Affordability!$D$4=""," ",VLOOKUP(Affordability!$D$5,LUMINA_DASH_MEANS_FY16_TEMP!$A$6:$BT$12,9,FALSE))</f>
        <v>7507.9893495041433</v>
      </c>
      <c r="L10" s="95" t="str">
        <f>IF(E10&lt;&gt;" ",(IF(E10&gt;(H10+K10),"Ý",IF(E10&lt;(H10-K10), "Þ", "ü"))), " ")</f>
        <v>ü</v>
      </c>
      <c r="M10" s="78"/>
      <c r="N10" s="16"/>
      <c r="O10" s="37" t="s">
        <v>3769</v>
      </c>
      <c r="P10" s="78"/>
      <c r="Q10" s="16"/>
      <c r="R10" s="277" t="str">
        <f>IF(E10&lt;&gt; " ",(IF(E10&gt;(H10+K10),"Higher than average net price may indicate affordability concerns that are not met with grant aid.",IF(E10&lt;(H10-K10), "The college demonstrates greater affordability than comparable institutions after considering total costs and grant aid provided.", "College is comparable to other institutions on this metric."))), " ")</f>
        <v>College is comparable to other institutions on this metric.</v>
      </c>
      <c r="S10" s="78"/>
      <c r="T10" s="16"/>
      <c r="U10" s="101" t="s">
        <v>3660</v>
      </c>
      <c r="V10" s="100" t="s">
        <v>3660</v>
      </c>
    </row>
    <row r="11" spans="1:22" s="7" customFormat="1" ht="30" customHeight="1">
      <c r="A11" s="7" t="s">
        <v>3683</v>
      </c>
      <c r="C11" s="18"/>
      <c r="D11" s="120" t="s">
        <v>3959</v>
      </c>
      <c r="E11" s="220">
        <f>IF(Affordability!$D$4=""," ",VLOOKUP(Affordability!$D$4,LUMINA_DASH_DATA_FY16_TEMP!$E$6:$AF$2422,8,FALSE))</f>
        <v>23549</v>
      </c>
      <c r="F11" s="79"/>
      <c r="G11" s="86"/>
      <c r="H11" s="93">
        <f>IF(Affordability!$D$4=""," ",VLOOKUP(Affordability!$D$5,LUMINA_DASH_MEANS_FY16_TEMP!$A$6:$BT$12,10,FALSE))</f>
        <v>21816.356361689544</v>
      </c>
      <c r="I11" s="78"/>
      <c r="J11" s="16"/>
      <c r="K11" s="93">
        <f>IF(Affordability!$D$4=""," ",VLOOKUP(Affordability!$D$5,LUMINA_DASH_MEANS_FY16_TEMP!$A$6:$BT$12,12,FALSE))</f>
        <v>7383.1849120964753</v>
      </c>
      <c r="L11" s="95" t="str">
        <f>IF(E11&lt;&gt;" ",(IF(E11&gt;(H11+K11),"Ý",IF(E11&lt;(H11-K11), "Þ", "ü"))), " ")</f>
        <v>ü</v>
      </c>
      <c r="M11" s="78"/>
      <c r="N11" s="16"/>
      <c r="O11" s="37" t="s">
        <v>3770</v>
      </c>
      <c r="P11" s="78"/>
      <c r="Q11" s="16"/>
      <c r="R11" s="277" t="str">
        <f>IF(E11&lt;&gt; " ",(IF(E11&gt;(H11+K11),"A higher than expected net price may indicate affordability concerns for low-income students are not met with grant aid.",IF(E11&lt;(H11-K11), "The college demonstrates greater affordability for low-income students than comparable institutions after considering total costs and grant aid provided.", "College is comparable to other institutions on this metric."))), " ")</f>
        <v>College is comparable to other institutions on this metric.</v>
      </c>
      <c r="S11" s="78"/>
      <c r="T11" s="16"/>
      <c r="U11" s="116" t="s">
        <v>3656</v>
      </c>
      <c r="V11" s="117" t="s">
        <v>3656</v>
      </c>
    </row>
    <row r="12" spans="1:22" s="7" customFormat="1" ht="17.45" customHeight="1">
      <c r="C12" s="42"/>
      <c r="D12" s="68"/>
      <c r="E12" s="15"/>
      <c r="F12" s="79"/>
      <c r="G12" s="86"/>
      <c r="H12" s="72"/>
      <c r="I12" s="78"/>
      <c r="J12" s="16"/>
      <c r="K12" s="78"/>
      <c r="L12" s="72"/>
      <c r="M12" s="78"/>
      <c r="N12" s="16"/>
      <c r="O12" s="17"/>
      <c r="P12" s="78"/>
      <c r="Q12" s="16"/>
      <c r="R12" s="2"/>
      <c r="S12" s="78"/>
      <c r="T12" s="16"/>
    </row>
    <row r="13" spans="1:22" s="7" customFormat="1" ht="17.45" customHeight="1">
      <c r="C13" s="42"/>
      <c r="D13" s="69" t="s">
        <v>3653</v>
      </c>
      <c r="E13" s="109"/>
      <c r="F13" s="79"/>
      <c r="G13" s="86"/>
      <c r="H13" s="72"/>
      <c r="I13" s="78"/>
      <c r="J13" s="16"/>
      <c r="K13" s="78"/>
      <c r="L13" s="72"/>
      <c r="M13" s="78"/>
      <c r="N13" s="16"/>
      <c r="O13" s="17"/>
      <c r="P13" s="78"/>
      <c r="Q13" s="16"/>
      <c r="R13" s="2"/>
      <c r="S13" s="78"/>
      <c r="T13" s="16"/>
    </row>
    <row r="14" spans="1:22" s="7" customFormat="1" ht="30" customHeight="1">
      <c r="A14" s="7" t="s">
        <v>3676</v>
      </c>
      <c r="C14" s="42"/>
      <c r="D14" s="68" t="s">
        <v>3651</v>
      </c>
      <c r="E14" s="221">
        <f>IF(Affordability!$D$4=""," ",VLOOKUP(Affordability!$D$4,LUMINA_DASH_DATA_FY16_TEMP!$E$6:$AF$2422,9,FALSE))</f>
        <v>0.3</v>
      </c>
      <c r="F14" s="79"/>
      <c r="G14" s="86"/>
      <c r="H14" s="94">
        <f>IF(Affordability!$D$4=""," ",VLOOKUP(Affordability!$D$5,LUMINA_DASH_MEANS_FY16_TEMP!$A$6:$BT$12,13,FALSE))</f>
        <v>0.4054945054945055</v>
      </c>
      <c r="I14" s="78"/>
      <c r="J14" s="16"/>
      <c r="K14" s="94">
        <f>IF(Affordability!$D$4=""," ",VLOOKUP(Affordability!$D$5,LUMINA_DASH_MEANS_FY16_TEMP!$A$6:$BT$12,15,FALSE))</f>
        <v>0.15442387602405896</v>
      </c>
      <c r="L14" s="95" t="str">
        <f>IF(E14&lt;&gt;" ",(IF(E14&gt;(H14+K14),"Ý",IF(E14&lt;(H14-K14), "Þ", "ü"))), " ")</f>
        <v>ü</v>
      </c>
      <c r="M14" s="78"/>
      <c r="N14" s="16"/>
      <c r="O14" s="37" t="s">
        <v>3774</v>
      </c>
      <c r="P14" s="78"/>
      <c r="Q14" s="16"/>
      <c r="R14" s="277" t="str">
        <f>IF(E14&lt;&gt; " ",(IF(E14&gt;(H14+K14),"The student population may have relatively strong financial need.",IF(E14&lt;(H14-K14), "The financial need of the student population may be relatively low.", "College is comparable to other institutions on this metric."))), " ")</f>
        <v>College is comparable to other institutions on this metric.</v>
      </c>
      <c r="S14" s="78"/>
      <c r="T14" s="16"/>
    </row>
    <row r="15" spans="1:22" s="7" customFormat="1" ht="30" customHeight="1">
      <c r="A15" s="7" t="s">
        <v>3677</v>
      </c>
      <c r="C15" s="42"/>
      <c r="D15" s="68" t="s">
        <v>3652</v>
      </c>
      <c r="E15" s="221">
        <f>IF(Affordability!$D$4=""," ",VLOOKUP(Affordability!$D$4,LUMINA_DASH_DATA_FY16_TEMP!$E$6:$AF$2422,10,FALSE))</f>
        <v>0.56999999999999995</v>
      </c>
      <c r="F15" s="79"/>
      <c r="G15" s="86"/>
      <c r="H15" s="94">
        <f>IF(Affordability!$D$4=""," ",VLOOKUP(Affordability!$D$5,LUMINA_DASH_MEANS_FY16_TEMP!$A$6:$BT$12,16,FALSE))</f>
        <v>0.71060439560439559</v>
      </c>
      <c r="I15" s="78"/>
      <c r="J15" s="16"/>
      <c r="K15" s="94">
        <f>IF(Affordability!$D$4=""," ",VLOOKUP(Affordability!$D$5,LUMINA_DASH_MEANS_FY16_TEMP!$A$6:$BT$12,18,FALSE))</f>
        <v>0.15370396686887461</v>
      </c>
      <c r="L15" s="95" t="str">
        <f>IF(E15&lt;&gt;" ",(IF(E15&gt;(H15+K15),"Ý",IF(E15&lt;(H15-K15), "Þ", "ü"))), " ")</f>
        <v>ü</v>
      </c>
      <c r="M15" s="78"/>
      <c r="N15" s="16"/>
      <c r="O15" s="37" t="s">
        <v>3775</v>
      </c>
      <c r="P15" s="78"/>
      <c r="Q15" s="16"/>
      <c r="R15" s="277" t="str">
        <f>IF(E15&lt;&gt; " ",(IF(E15&gt;(H15+K15),"A higher than usual portion of the student population relies on loan assistance to pay the net price.",IF(E15&lt;(H15-K15), "A smaller than expected portion of the student population relies on loan assistance to pay the net price.", "College is comparable to other institutions on this metric."))), " ")</f>
        <v>College is comparable to other institutions on this metric.</v>
      </c>
      <c r="S15" s="78"/>
      <c r="T15" s="16"/>
    </row>
    <row r="16" spans="1:22" s="7" customFormat="1" ht="30" customHeight="1">
      <c r="A16" s="7" t="s">
        <v>3678</v>
      </c>
      <c r="C16" s="42"/>
      <c r="D16" s="68" t="s">
        <v>3771</v>
      </c>
      <c r="E16" s="221">
        <f>IF(Affordability!$D$4=""," ",VLOOKUP(Affordability!$D$4,LUMINA_DASH_DATA_FY16_TEMP!$E$6:$AF$2422,11,FALSE))</f>
        <v>1</v>
      </c>
      <c r="F16" s="79"/>
      <c r="G16" s="86"/>
      <c r="H16" s="94">
        <f>IF(Affordability!$D$4=""," ",VLOOKUP(Affordability!$D$5,LUMINA_DASH_MEANS_FY16_TEMP!$A$6:$BT$12,19,FALSE))</f>
        <v>0.93431318681318687</v>
      </c>
      <c r="I16" s="78"/>
      <c r="J16" s="16"/>
      <c r="K16" s="94">
        <f>IF(Affordability!$D$4=""," ",VLOOKUP(Affordability!$D$5,LUMINA_DASH_MEANS_FY16_TEMP!$A$6:$BT$12,21,FALSE))</f>
        <v>0.15301124264431853</v>
      </c>
      <c r="L16" s="95" t="str">
        <f>IF(E16&lt;&gt;" ",(IF(E16&gt;(H16+K16),"Ý",IF(E16&lt;(H16-K16), "Þ", "ü"))), " ")</f>
        <v>ü</v>
      </c>
      <c r="M16" s="78"/>
      <c r="N16" s="16"/>
      <c r="O16" s="37" t="s">
        <v>3809</v>
      </c>
      <c r="P16" s="78"/>
      <c r="Q16" s="16"/>
      <c r="R16" s="277" t="str">
        <f>IF(E16&lt;&gt; " ",(IF(E16&gt;(H16+K16),"The institution provides grant aid to more students than is typical.",IF(E16&lt;(H16-K16), "The institution provides grant aid to fewer students than is typical.", "College is comparable to other institutions on this metric."))), " ")</f>
        <v>College is comparable to other institutions on this metric.</v>
      </c>
      <c r="S16" s="78"/>
      <c r="T16" s="16"/>
    </row>
    <row r="17" spans="1:20" s="7" customFormat="1" ht="30.75" customHeight="1">
      <c r="A17" s="7" t="s">
        <v>3679</v>
      </c>
      <c r="C17" s="42"/>
      <c r="D17" s="68" t="s">
        <v>3772</v>
      </c>
      <c r="E17" s="220">
        <f>IF(Affordability!$D$4=""," ",VLOOKUP(Affordability!$D$4,LUMINA_DASH_DATA_FY16_TEMP!$E$6:$AF$2422,12,FALSE))</f>
        <v>18220</v>
      </c>
      <c r="F17" s="79"/>
      <c r="G17" s="86"/>
      <c r="H17" s="93">
        <f>IF(Affordability!$D$4=""," ",VLOOKUP(Affordability!$D$5,LUMINA_DASH_MEANS_FY16_TEMP!$A$6:$BT$12,22,FALSE))</f>
        <v>16936.279778393353</v>
      </c>
      <c r="I17" s="78"/>
      <c r="J17" s="16"/>
      <c r="K17" s="93">
        <f>IF(Affordability!$D$4=""," ",VLOOKUP(Affordability!$D$5,LUMINA_DASH_MEANS_FY16_TEMP!$A$6:$BT$12,24,FALSE))</f>
        <v>5526.8045961122689</v>
      </c>
      <c r="L17" s="95" t="str">
        <f>IF(E17&lt;&gt;" ",(IF(E17&gt;(H17+K17),"Ý",IF(E17&lt;(H17-K17), "Þ", "ü"))), " ")</f>
        <v>ü</v>
      </c>
      <c r="M17" s="78"/>
      <c r="N17" s="16"/>
      <c r="O17" s="37" t="s">
        <v>3776</v>
      </c>
      <c r="P17" s="78"/>
      <c r="Q17" s="16"/>
      <c r="R17" s="277" t="str">
        <f>IF(E17&lt;&gt; " ",(IF(E17&gt;(H17+K17),"The institution provides students with larger grant aid awards than is typical.",IF(E17&lt;(H17-K17), "The institution provides students with smaller grant aid awards than is typical.", "College is comparable to other institutions on this metric."))), " ")</f>
        <v>College is comparable to other institutions on this metric.</v>
      </c>
      <c r="S17" s="78"/>
      <c r="T17" s="16"/>
    </row>
    <row r="18" spans="1:20" s="7" customFormat="1" ht="17.45" customHeight="1">
      <c r="C18" s="42"/>
      <c r="E18" s="15"/>
      <c r="F18" s="79"/>
      <c r="G18" s="86"/>
      <c r="H18" s="72"/>
      <c r="I18" s="78"/>
      <c r="J18" s="16"/>
      <c r="K18" s="78"/>
      <c r="L18" s="72"/>
      <c r="M18" s="78"/>
      <c r="N18" s="16"/>
      <c r="O18" s="17"/>
      <c r="P18" s="78"/>
      <c r="Q18" s="16"/>
      <c r="R18" s="2"/>
      <c r="S18" s="78"/>
      <c r="T18" s="16"/>
    </row>
    <row r="19" spans="1:20" s="7" customFormat="1" ht="30" customHeight="1">
      <c r="A19" s="7" t="s">
        <v>3764</v>
      </c>
      <c r="C19" s="42"/>
      <c r="D19" s="69" t="s">
        <v>3810</v>
      </c>
      <c r="E19" s="220">
        <f>IF(Affordability!$D$4=""," ",VLOOKUP(Affordability!$D$4,LUMINA_DASH_DATA_FY16_TEMP!$E$6:$AF$2422,13,FALSE))</f>
        <v>12943.831606217616</v>
      </c>
      <c r="F19" s="79"/>
      <c r="G19" s="86"/>
      <c r="H19" s="93">
        <f>IF(Affordability!$D$4=""," ",VLOOKUP(Affordability!$D$5,LUMINA_DASH_MEANS_FY16_TEMP!$A$6:$BT$12,25,FALSE))</f>
        <v>8879.7925056883632</v>
      </c>
      <c r="I19" s="78"/>
      <c r="J19" s="16"/>
      <c r="K19" s="93">
        <f>IF(Affordability!$D$4=""," ",VLOOKUP(Affordability!$D$5,LUMINA_DASH_MEANS_FY16_TEMP!$A$6:$BT$12,27,FALSE))</f>
        <v>4893.9037106298292</v>
      </c>
      <c r="L19" s="95" t="str">
        <f>IF(E19&lt;&gt;" ",(IF(E19&gt;(H19+K19),"Ý",IF(E19&lt;(H19-K19), "Þ", "ü"))), " ")</f>
        <v>ü</v>
      </c>
      <c r="M19" s="78"/>
      <c r="N19" s="16"/>
      <c r="O19" s="37" t="s">
        <v>3773</v>
      </c>
      <c r="P19" s="78"/>
      <c r="Q19" s="16"/>
      <c r="R19" s="277" t="str">
        <f>IF(E19&lt;&gt; " ",(IF(E19&gt;(H19+K19),"The institution distributes more grant aid per capita than is typical.",IF(E19&lt;(H19-K19), "The institution distributes less grant aid per capita than is typical.", "College is comparable to other institutions on this metric."))), " ")</f>
        <v>College is comparable to other institutions on this metric.</v>
      </c>
      <c r="S19" s="78"/>
      <c r="T19" s="16"/>
    </row>
    <row r="20" spans="1:20" s="7" customFormat="1" ht="45" customHeight="1">
      <c r="A20" s="7" t="s">
        <v>3680</v>
      </c>
      <c r="C20" s="42"/>
      <c r="D20" s="69" t="s">
        <v>3659</v>
      </c>
      <c r="E20" s="221">
        <f>IF(Affordability!$D$4=""," ",VLOOKUP(Affordability!$D$4,LUMINA_DASH_DATA_FY16_TEMP!$E$6:$AF$2422,14,FALSE))</f>
        <v>0.43334051208902147</v>
      </c>
      <c r="F20" s="79"/>
      <c r="G20" s="86"/>
      <c r="H20" s="94">
        <f>IF(Affordability!$D$4=""," ",VLOOKUP(Affordability!$D$5,LUMINA_DASH_MEANS_FY16_TEMP!$A$6:$BT$12,28,FALSE))</f>
        <v>0.36502036838058827</v>
      </c>
      <c r="I20" s="78"/>
      <c r="J20" s="16"/>
      <c r="K20" s="94">
        <f>IF(Affordability!$D$4=""," ",VLOOKUP(Affordability!$D$5,LUMINA_DASH_MEANS_FY16_TEMP!$A$6:$BT$12,30,FALSE))</f>
        <v>0.12009647714063243</v>
      </c>
      <c r="L20" s="95" t="str">
        <f>IF(E20&lt;&gt;" ",(IF(E20&gt;(H20+K20),"Ý",IF(E20&lt;(H20-K20), "Þ", "ü"))), " ")</f>
        <v>ü</v>
      </c>
      <c r="M20" s="78"/>
      <c r="N20" s="16"/>
      <c r="O20" s="37" t="s">
        <v>4000</v>
      </c>
      <c r="P20" s="78"/>
      <c r="Q20" s="16"/>
      <c r="R20" s="277" t="str">
        <f>IF(E20&lt;&gt; " ",(IF(E20&gt;(H20+K20),"The institution is recycling tution revenue or using investment income to distribute more grant aid than is typical.",IF(E20&lt;(H20-K20), "The institution recycles less tuition revenue or investment income to discount tuition than is typical.", "College is comparable to other institutions on this metric."))), " ")</f>
        <v>College is comparable to other institutions on this metric.</v>
      </c>
      <c r="S20" s="78"/>
      <c r="T20" s="16"/>
    </row>
    <row r="21" spans="1:20" s="7" customFormat="1" ht="17.45" customHeight="1">
      <c r="C21" s="42"/>
      <c r="E21" s="15"/>
      <c r="F21" s="79"/>
      <c r="G21" s="86"/>
      <c r="H21" s="72"/>
      <c r="I21" s="78"/>
      <c r="J21" s="16"/>
      <c r="K21" s="78"/>
      <c r="L21" s="72"/>
      <c r="M21" s="78"/>
      <c r="N21" s="16"/>
      <c r="O21" s="17"/>
      <c r="P21" s="78"/>
      <c r="Q21" s="16"/>
      <c r="R21" s="2"/>
      <c r="S21" s="78"/>
      <c r="T21" s="16"/>
    </row>
    <row r="22" spans="1:20" s="7" customFormat="1" ht="17.45" customHeight="1">
      <c r="C22" s="265" t="s">
        <v>19</v>
      </c>
      <c r="D22" s="183"/>
      <c r="E22" s="184"/>
      <c r="F22" s="233"/>
      <c r="G22" s="234"/>
      <c r="H22" s="185"/>
      <c r="I22" s="235"/>
      <c r="J22" s="234"/>
      <c r="K22" s="235"/>
      <c r="L22" s="185"/>
      <c r="M22" s="235"/>
      <c r="N22" s="234"/>
      <c r="O22" s="186"/>
      <c r="P22" s="235"/>
      <c r="Q22" s="234"/>
      <c r="R22" s="281"/>
      <c r="S22" s="235"/>
      <c r="T22" s="16"/>
    </row>
    <row r="23" spans="1:20" s="1" customFormat="1">
      <c r="C23" s="18"/>
      <c r="D23" s="20"/>
      <c r="E23" s="21"/>
      <c r="F23" s="71"/>
      <c r="G23" s="75"/>
      <c r="H23" s="23"/>
      <c r="I23" s="23"/>
      <c r="J23" s="73"/>
      <c r="K23" s="23"/>
      <c r="L23" s="23"/>
      <c r="M23" s="23"/>
      <c r="N23" s="73"/>
      <c r="O23" s="19"/>
      <c r="P23" s="23"/>
      <c r="Q23" s="73"/>
      <c r="R23" s="275"/>
      <c r="S23" s="23"/>
      <c r="T23" s="73"/>
    </row>
    <row r="24" spans="1:20" s="1" customFormat="1" ht="30">
      <c r="A24" s="1" t="s">
        <v>3666</v>
      </c>
      <c r="C24" s="18"/>
      <c r="D24" s="33" t="s">
        <v>17</v>
      </c>
      <c r="E24" s="220">
        <f>IF(Affordability!$D$4=""," ",VLOOKUP(Affordability!$D$4,LUMINA_DASH_DATA_FY16_TEMP!$E$6:$AF$2422,15,FALSE))</f>
        <v>26615.346070811745</v>
      </c>
      <c r="F24" s="80"/>
      <c r="G24" s="87"/>
      <c r="H24" s="93">
        <f>IF(Affordability!$D$4=""," ",VLOOKUP(Affordability!$D$5,LUMINA_DASH_MEANS_FY16_TEMP!$A$6:$BT$12,31,FALSE))</f>
        <v>23242.836397944102</v>
      </c>
      <c r="I24" s="23"/>
      <c r="J24" s="73"/>
      <c r="K24" s="93">
        <f>IF(Affordability!$D$4=""," ",VLOOKUP(Affordability!$D$5,LUMINA_DASH_MEANS_FY16_TEMP!$A$6:$BT$12,33,FALSE))</f>
        <v>9615.3170882454033</v>
      </c>
      <c r="L24" s="95" t="str">
        <f>IF(E24&lt;&gt;" ",(IF(E24&gt;(H24+K24),"Ý",IF(E24&lt;(H24-K24), "Þ", "ü"))), " ")</f>
        <v>ü</v>
      </c>
      <c r="M24" s="23"/>
      <c r="N24" s="73"/>
      <c r="O24" s="37" t="s">
        <v>3644</v>
      </c>
      <c r="P24" s="23"/>
      <c r="Q24" s="73"/>
      <c r="R24" s="277" t="str">
        <f>IF(E24&lt;&gt; " ",(IF(E24&gt;(H24+K24),"The institution benefits from higher than expected revenue per student.",IF(E24&lt;(H24-K24), "Lower than expected revenue per student suggests additional sources of revenue could be explored.", "College is comparable to other institutions on this metric."))), " ")</f>
        <v>College is comparable to other institutions on this metric.</v>
      </c>
      <c r="S24" s="23"/>
      <c r="T24" s="73"/>
    </row>
    <row r="25" spans="1:20" s="1" customFormat="1" ht="47.25" customHeight="1">
      <c r="A25" s="1" t="s">
        <v>3664</v>
      </c>
      <c r="C25" s="18"/>
      <c r="D25" s="33" t="s">
        <v>1</v>
      </c>
      <c r="E25" s="220">
        <f>IF(Affordability!$D$4=""," ",VLOOKUP(Affordability!$D$4,LUMINA_DASH_DATA_FY16_TEMP!$E$6:$AF$2422,16,FALSE))</f>
        <v>31408.847582037997</v>
      </c>
      <c r="F25" s="80"/>
      <c r="G25" s="87"/>
      <c r="H25" s="93">
        <f>IF(Affordability!$D$4=""," ",VLOOKUP(Affordability!$D$5,LUMINA_DASH_MEANS_FY16_TEMP!$A$6:$BT$12,34,FALSE))</f>
        <v>22695.334178455527</v>
      </c>
      <c r="I25" s="23"/>
      <c r="J25" s="73"/>
      <c r="K25" s="93">
        <f>IF(Affordability!$D$4=""," ",VLOOKUP(Affordability!$D$5,LUMINA_DASH_MEANS_FY16_TEMP!$A$6:$BT$12,36,FALSE))</f>
        <v>9148.4873443358392</v>
      </c>
      <c r="L25" s="95" t="str">
        <f>IF(E25&lt;&gt;" ",(IF(E25&gt;(H25+K25),"Ý",IF(E25&lt;(H25-K25), "Þ", "ü"))), " ")</f>
        <v>ü</v>
      </c>
      <c r="M25" s="23"/>
      <c r="N25" s="73"/>
      <c r="O25" s="37" t="s">
        <v>3811</v>
      </c>
      <c r="P25" s="23"/>
      <c r="Q25" s="73"/>
      <c r="R25" s="277" t="str">
        <f>IF(E25&lt;&gt; " ",(IF(E25&gt;(H25+K25),"Spending patterns should be examined to identify cost drivers (e.g., academic programs; administration; auxiliary services, etc.).",IF(E25&lt;(H25-K25), "The institution demonstrates lower than expected spending per student.", "College is comparable to other institutions on this metric."))), " ")</f>
        <v>College is comparable to other institutions on this metric.</v>
      </c>
      <c r="S25" s="23"/>
      <c r="T25" s="73"/>
    </row>
    <row r="26" spans="1:20" s="1" customFormat="1" ht="44.25" customHeight="1">
      <c r="A26" s="1" t="s">
        <v>3665</v>
      </c>
      <c r="C26" s="18"/>
      <c r="D26" s="33" t="s">
        <v>3663</v>
      </c>
      <c r="E26" s="220">
        <f>IF(Affordability!$D$4=""," ",VLOOKUP(Affordability!$D$4,LUMINA_DASH_DATA_FY16_TEMP!$E$6:$AF$2422,17,FALSE))</f>
        <v>26619.97392050537</v>
      </c>
      <c r="F26" s="80"/>
      <c r="G26" s="87"/>
      <c r="H26" s="93">
        <f>IF(Affordability!$D$4=""," ",VLOOKUP(Affordability!$D$5,LUMINA_DASH_MEANS_FY16_TEMP!$A$6:$BT$12,37,FALSE))</f>
        <v>18895.327998831752</v>
      </c>
      <c r="I26" s="23"/>
      <c r="J26" s="73"/>
      <c r="K26" s="93">
        <f>IF(Affordability!$D$4=""," ",VLOOKUP(Affordability!$D$5,LUMINA_DASH_MEANS_FY16_TEMP!$A$6:$BT$12,39,FALSE))</f>
        <v>6816.5492838748605</v>
      </c>
      <c r="L26" s="95" t="str">
        <f>IF(E26&lt;&gt;" ",(IF(E26&gt;(H26+K26),"Ý",IF(E26&lt;(H26-K26), "Þ", "ü"))), " ")</f>
        <v>Ý</v>
      </c>
      <c r="M26" s="23"/>
      <c r="N26" s="73"/>
      <c r="O26" s="37" t="s">
        <v>3812</v>
      </c>
      <c r="P26" s="23"/>
      <c r="Q26" s="73"/>
      <c r="R26" s="277" t="str">
        <f>IF(E26&lt;&gt; " ",(IF(E26&gt;(H26+K26),"Academic spending patterns should be examined to identify cost drivers (e.g., academic programs; student services; academic administration, etc.).",IF(E26&lt;(H26-K26), "The institution demonstrates lower than expected education-related spending per student.", "College is comparable to other institutions on this metric."))), " ")</f>
        <v>Academic spending patterns should be examined to identify cost drivers (e.g., academic programs; student services; academic administration, etc.).</v>
      </c>
      <c r="S26" s="23"/>
      <c r="T26" s="73"/>
    </row>
    <row r="27" spans="1:20" s="1" customFormat="1" ht="30">
      <c r="A27" s="1" t="s">
        <v>3684</v>
      </c>
      <c r="C27" s="18"/>
      <c r="D27" s="36" t="s">
        <v>50</v>
      </c>
      <c r="E27" s="221">
        <f>IF(Affordability!$D$4=""," ",VLOOKUP(Affordability!$D$4,LUMINA_DASH_DATA_FY16_TEMP!$E$6:$AF$2422,18,FALSE))</f>
        <v>0.63584037455489273</v>
      </c>
      <c r="F27" s="80"/>
      <c r="G27" s="87"/>
      <c r="H27" s="94">
        <f>IF(Affordability!$D$4=""," ",VLOOKUP(Affordability!$D$5,LUMINA_DASH_MEANS_FY16_TEMP!$A$6:$BT$12,40,FALSE))</f>
        <v>0.79872667914607243</v>
      </c>
      <c r="I27" s="45"/>
      <c r="J27" s="74"/>
      <c r="K27" s="94">
        <f>IF(Affordability!$D$4=""," ",VLOOKUP(Affordability!$D$5,LUMINA_DASH_MEANS_FY16_TEMP!$A$6:$BT$12,42,FALSE))</f>
        <v>0.15298876225217345</v>
      </c>
      <c r="L27" s="95" t="str">
        <f>IF(E27&lt;&gt;" ",(IF(E27&gt;(H27+K27),"Ý",IF(E27&lt;(H27-K27), "Þ", "ü"))), " ")</f>
        <v>Þ</v>
      </c>
      <c r="M27" s="45"/>
      <c r="N27" s="74"/>
      <c r="O27" s="37" t="s">
        <v>32</v>
      </c>
      <c r="P27" s="45"/>
      <c r="Q27" s="74"/>
      <c r="R27" s="277" t="str">
        <f>IF(E27&lt;&gt; " ",(IF(E27&gt;(H27+K27),"The institution relies more than expected on tution revenue to fund its academic mission and should explore opportunities to diversify its revenue stream.",IF(E27&lt;(H27-K27), "The institution has access to other revenue streams beyond tuition to funds its academic functions.", "College is comparable to other institutions on this metric."))), " ")</f>
        <v>The institution has access to other revenue streams beyond tuition to funds its academic functions.</v>
      </c>
      <c r="S27" s="45"/>
      <c r="T27" s="74"/>
    </row>
    <row r="28" spans="1:20" s="1" customFormat="1">
      <c r="C28" s="18"/>
      <c r="D28" s="20"/>
      <c r="E28" s="21"/>
      <c r="F28" s="71"/>
      <c r="G28" s="75"/>
      <c r="H28" s="67"/>
      <c r="I28" s="67"/>
      <c r="J28" s="75"/>
      <c r="K28" s="67"/>
      <c r="L28" s="67"/>
      <c r="M28" s="67"/>
      <c r="N28" s="75"/>
      <c r="O28" s="19"/>
      <c r="P28" s="67"/>
      <c r="Q28" s="75"/>
      <c r="R28" s="275"/>
      <c r="S28" s="67"/>
      <c r="T28" s="75"/>
    </row>
    <row r="29" spans="1:20" s="1" customFormat="1" ht="30" customHeight="1">
      <c r="A29" s="1" t="s">
        <v>3668</v>
      </c>
      <c r="C29" s="18"/>
      <c r="D29" s="33" t="s">
        <v>2</v>
      </c>
      <c r="E29" s="220">
        <f>IF(Affordability!$D$4=""," ",VLOOKUP(Affordability!$D$4,LUMINA_DASH_DATA_FY16_TEMP!$E$6:$AF$2422,19,FALSE))</f>
        <v>93064.850938967138</v>
      </c>
      <c r="F29" s="81"/>
      <c r="G29" s="88"/>
      <c r="H29" s="93">
        <f>IF(Affordability!$D$4=""," ",VLOOKUP(Affordability!$D$5,LUMINA_DASH_MEANS_FY16_TEMP!$A$6:$BT$12,43,FALSE))</f>
        <v>81985.253908866478</v>
      </c>
      <c r="I29" s="41"/>
      <c r="J29" s="76"/>
      <c r="K29" s="93">
        <f>IF(Affordability!$D$4=""," ",VLOOKUP(Affordability!$D$5,LUMINA_DASH_MEANS_FY16_TEMP!$A$6:$BT$12,45,FALSE))</f>
        <v>17555.215425517621</v>
      </c>
      <c r="L29" s="95" t="str">
        <f>IF(E29&lt;&gt;" ",(IF(E29&gt;(H29+K29),"Ý",IF(E29&lt;(H29-K29), "Þ", "ü"))), " ")</f>
        <v>ü</v>
      </c>
      <c r="M29" s="41"/>
      <c r="N29" s="76"/>
      <c r="O29" s="38" t="s">
        <v>33</v>
      </c>
      <c r="P29" s="41"/>
      <c r="Q29" s="76"/>
      <c r="R29" s="277" t="str">
        <f>IF(E29&lt;&gt; " ",(IF(E29&gt;(H29+K29),"Staffing and compensation patterns should be examined to identify cost drivers.",IF(E29&lt;(H29-K29), "Staffing and compensation patterns are comparatively low, but may still be a cost driver at the college.", "College is comparable to other institutions on this metric."))), " ")</f>
        <v>College is comparable to other institutions on this metric.</v>
      </c>
      <c r="S29" s="41"/>
      <c r="T29" s="76"/>
    </row>
    <row r="30" spans="1:20" s="1" customFormat="1" ht="30">
      <c r="A30" s="1" t="s">
        <v>3681</v>
      </c>
      <c r="C30" s="18"/>
      <c r="D30" s="36" t="s">
        <v>3</v>
      </c>
      <c r="E30" s="221">
        <f>IF(Affordability!$D$4=""," ",VLOOKUP(Affordability!$D$4,LUMINA_DASH_DATA_FY16_TEMP!$E$6:$AF$2422,20,FALSE))</f>
        <v>0.54501032272693151</v>
      </c>
      <c r="F30" s="82"/>
      <c r="G30" s="89"/>
      <c r="H30" s="94">
        <f>IF(Affordability!$D$4=""," ",VLOOKUP(Affordability!$D$5,LUMINA_DASH_MEANS_FY16_TEMP!$A$6:$BT$12,46,FALSE))</f>
        <v>0.55089696679035804</v>
      </c>
      <c r="I30" s="41"/>
      <c r="J30" s="76"/>
      <c r="K30" s="94">
        <f>IF(Affordability!$D$4=""," ",VLOOKUP(Affordability!$D$5,LUMINA_DASH_MEANS_FY16_TEMP!$A$6:$BT$12,48,FALSE))</f>
        <v>6.2656679758907527E-2</v>
      </c>
      <c r="L30" s="95" t="str">
        <f>IF(E30&lt;&gt;" ",(IF(E30&gt;(H30+K30),"Ý",IF(E30&lt;(H30-K30), "Þ", "ü"))), " ")</f>
        <v>ü</v>
      </c>
      <c r="M30" s="41"/>
      <c r="N30" s="76"/>
      <c r="O30" s="38" t="s">
        <v>34</v>
      </c>
      <c r="P30" s="41"/>
      <c r="Q30" s="76"/>
      <c r="R30" s="277" t="str">
        <f>IF(E30&lt;&gt; " ",(IF(E30&gt;(H30+K30),"Compensation accounts for a higher than expected portion of overall spending.",IF(E30&lt;(H30-K30), "Compensation accounts for a lower than expected portion of overall spending.", "College is comparable to other institutions on this metric."))), " ")</f>
        <v>College is comparable to other institutions on this metric.</v>
      </c>
      <c r="S30" s="41"/>
      <c r="T30" s="76"/>
    </row>
    <row r="31" spans="1:20" s="1" customFormat="1">
      <c r="C31" s="18"/>
      <c r="D31" s="20"/>
      <c r="E31" s="22"/>
      <c r="F31" s="83"/>
      <c r="G31" s="90"/>
      <c r="H31" s="41"/>
      <c r="I31" s="41"/>
      <c r="J31" s="76"/>
      <c r="K31" s="41"/>
      <c r="L31" s="41"/>
      <c r="M31" s="41"/>
      <c r="N31" s="76"/>
      <c r="O31" s="19"/>
      <c r="P31" s="41"/>
      <c r="Q31" s="76"/>
      <c r="R31" s="275"/>
      <c r="S31" s="41"/>
      <c r="T31" s="76"/>
    </row>
    <row r="32" spans="1:20" s="7" customFormat="1" ht="17.45" customHeight="1">
      <c r="C32" s="266" t="s">
        <v>3963</v>
      </c>
      <c r="D32" s="198"/>
      <c r="E32" s="199"/>
      <c r="F32" s="236"/>
      <c r="G32" s="237"/>
      <c r="H32" s="200"/>
      <c r="I32" s="238"/>
      <c r="J32" s="237"/>
      <c r="K32" s="238"/>
      <c r="L32" s="200"/>
      <c r="M32" s="238"/>
      <c r="N32" s="237"/>
      <c r="O32" s="201"/>
      <c r="P32" s="238"/>
      <c r="Q32" s="237"/>
      <c r="R32" s="282"/>
      <c r="S32" s="238"/>
      <c r="T32" s="16"/>
    </row>
    <row r="33" spans="1:20" s="1" customFormat="1">
      <c r="C33" s="18"/>
      <c r="D33" s="20"/>
      <c r="E33" s="21"/>
      <c r="F33" s="71"/>
      <c r="G33" s="75"/>
      <c r="H33" s="23"/>
      <c r="I33" s="23"/>
      <c r="J33" s="73"/>
      <c r="K33" s="23"/>
      <c r="L33" s="23"/>
      <c r="M33" s="23"/>
      <c r="N33" s="73"/>
      <c r="O33" s="19"/>
      <c r="P33" s="23"/>
      <c r="Q33" s="73"/>
      <c r="R33" s="275"/>
      <c r="S33" s="23"/>
      <c r="T33" s="73"/>
    </row>
    <row r="34" spans="1:20" s="1" customFormat="1" ht="46.5" customHeight="1">
      <c r="A34" s="1" t="s">
        <v>3673</v>
      </c>
      <c r="C34" s="18"/>
      <c r="D34" s="33" t="s">
        <v>21</v>
      </c>
      <c r="E34" s="222">
        <f>IF(Affordability!$D$4=""," ",VLOOKUP(Affordability!$D$4,LUMINA_DASH_DATA_FY16_TEMP!$E$6:$AF$2422,21,FALSE))</f>
        <v>442.57206703910617</v>
      </c>
      <c r="F34" s="82"/>
      <c r="G34" s="89"/>
      <c r="H34" s="115">
        <f>IF(Affordability!$D$4=""," ",VLOOKUP(Affordability!$D$5,LUMINA_DASH_MEANS_FY16_TEMP!$A$6:$BT$12,49,FALSE))</f>
        <v>440.23144315890784</v>
      </c>
      <c r="I34" s="41"/>
      <c r="J34" s="76"/>
      <c r="K34" s="115">
        <f>IF(Affordability!$D$4=""," ",VLOOKUP(Affordability!$D$5,LUMINA_DASH_MEANS_FY16_TEMP!$A$6:$BT$12,51,FALSE))</f>
        <v>170.23488774346282</v>
      </c>
      <c r="L34" s="95" t="str">
        <f>IF(E34&lt;&gt;" ",(IF(E34&gt;(H34+K34),"Ý",IF(E34&lt;(H34-K34), "Þ", "ü"))), " ")</f>
        <v>ü</v>
      </c>
      <c r="M34" s="41"/>
      <c r="N34" s="76"/>
      <c r="O34" s="38" t="s">
        <v>4001</v>
      </c>
      <c r="P34" s="41"/>
      <c r="Q34" s="76"/>
      <c r="R34" s="277" t="str">
        <f>IF(E34&lt;&gt; " ",(IF(E34&gt;(H34+K34),"The college demonstrates higher than expected efficiency, but may also indicate higher than expected teaching load/class size.",IF(E34&lt;(H34-K34), "The college should identify opportunities for efficiency improvements, such as underenrolled programs, courses, and sections.", "College is comparable to other institutions on this metric."))), " ")</f>
        <v>College is comparable to other institutions on this metric.</v>
      </c>
      <c r="S34" s="41"/>
      <c r="T34" s="76"/>
    </row>
    <row r="35" spans="1:20" s="1" customFormat="1" ht="46.5" customHeight="1">
      <c r="A35" s="1" t="s">
        <v>3674</v>
      </c>
      <c r="C35" s="18"/>
      <c r="D35" s="34" t="s">
        <v>35</v>
      </c>
      <c r="E35" s="223">
        <f>IF(Affordability!$D$4=""," ",VLOOKUP(Affordability!$D$4,LUMINA_DASH_DATA_FY16_TEMP!$E$6:$AF$2422,22,FALSE))</f>
        <v>15.526256983240225</v>
      </c>
      <c r="F35" s="82"/>
      <c r="G35" s="89"/>
      <c r="H35" s="114">
        <f>IF(Affordability!$D$4=""," ",VLOOKUP(Affordability!$D$5,LUMINA_DASH_MEANS_FY16_TEMP!$A$6:$BT$12,52,FALSE))</f>
        <v>15.667952643315759</v>
      </c>
      <c r="I35" s="41"/>
      <c r="J35" s="76"/>
      <c r="K35" s="114">
        <f>IF(Affordability!$D$4=""," ",VLOOKUP(Affordability!$D$5,LUMINA_DASH_MEANS_FY16_TEMP!$A$6:$BT$12,54,FALSE))</f>
        <v>5.4958186389351829</v>
      </c>
      <c r="L35" s="95" t="str">
        <f>IF(E35&lt;&gt;" ",(IF(E35&gt;(H35+K35),"Ý",IF(E35&lt;(H35-K35), "Þ", "ü"))), " ")</f>
        <v>ü</v>
      </c>
      <c r="M35" s="41"/>
      <c r="N35" s="76"/>
      <c r="O35" s="38" t="s">
        <v>4002</v>
      </c>
      <c r="P35" s="41"/>
      <c r="Q35" s="76"/>
      <c r="R35" s="277" t="str">
        <f>IF(E35&lt;&gt; " ",(IF(E35&gt;(H35+K35),"The college demonstrates higher than expected efficiency, but may also indicate larger than expected classes.",IF(E35&lt;(H35-K35), "Faculty may have capacity to serve additional students by eliminating underenrolled programs, courses, and sections.", "College is comparable to other institutions on this metric."))), " ")</f>
        <v>College is comparable to other institutions on this metric.</v>
      </c>
      <c r="S35" s="41"/>
      <c r="T35" s="76"/>
    </row>
    <row r="36" spans="1:20" s="1" customFormat="1" ht="15" hidden="1" customHeight="1">
      <c r="C36" s="18"/>
      <c r="D36" s="34" t="s">
        <v>3643</v>
      </c>
      <c r="E36" s="221"/>
      <c r="F36" s="82"/>
      <c r="G36" s="89"/>
      <c r="H36" s="224"/>
      <c r="I36" s="41"/>
      <c r="J36" s="76"/>
      <c r="K36" s="41"/>
      <c r="L36" s="96"/>
      <c r="M36" s="41"/>
      <c r="N36" s="76"/>
      <c r="O36" s="495" t="s">
        <v>36</v>
      </c>
      <c r="P36" s="41"/>
      <c r="Q36" s="76"/>
      <c r="R36" s="275"/>
      <c r="S36" s="41"/>
      <c r="T36" s="76"/>
    </row>
    <row r="37" spans="1:20" s="1" customFormat="1" ht="15" hidden="1" customHeight="1">
      <c r="C37" s="18"/>
      <c r="D37" s="35" t="s">
        <v>29</v>
      </c>
      <c r="E37" s="221"/>
      <c r="F37" s="82"/>
      <c r="G37" s="89"/>
      <c r="H37" s="224"/>
      <c r="I37" s="41"/>
      <c r="J37" s="76"/>
      <c r="K37" s="41"/>
      <c r="L37" s="103"/>
      <c r="M37" s="41"/>
      <c r="N37" s="76"/>
      <c r="O37" s="496"/>
      <c r="P37" s="41"/>
      <c r="Q37" s="76"/>
      <c r="R37" s="275"/>
      <c r="S37" s="41"/>
      <c r="T37" s="76"/>
    </row>
    <row r="38" spans="1:20" s="1" customFormat="1" ht="15" hidden="1" customHeight="1">
      <c r="C38" s="18"/>
      <c r="D38" s="43" t="s">
        <v>31</v>
      </c>
      <c r="E38" s="221"/>
      <c r="F38" s="82"/>
      <c r="G38" s="89"/>
      <c r="H38" s="225" t="str">
        <f>IF(Affordability!$D$4=""," ", "n/a")</f>
        <v>n/a</v>
      </c>
      <c r="I38" s="41"/>
      <c r="J38" s="76"/>
      <c r="K38" s="41"/>
      <c r="L38" s="102" t="str">
        <f>IF(Affordability!$D$4=""," ", "n/a")</f>
        <v>n/a</v>
      </c>
      <c r="M38" s="41"/>
      <c r="N38" s="76"/>
      <c r="O38" s="496"/>
      <c r="P38" s="41"/>
      <c r="Q38" s="76"/>
      <c r="R38" s="275"/>
      <c r="S38" s="41"/>
      <c r="T38" s="76"/>
    </row>
    <row r="39" spans="1:20" s="1" customFormat="1" hidden="1">
      <c r="C39" s="18"/>
      <c r="D39" s="43" t="s">
        <v>30</v>
      </c>
      <c r="E39" s="221"/>
      <c r="F39" s="82"/>
      <c r="G39" s="89"/>
      <c r="H39" s="225" t="str">
        <f>IF(Affordability!$D$4=""," ", "n/a")</f>
        <v>n/a</v>
      </c>
      <c r="I39" s="41"/>
      <c r="J39" s="76"/>
      <c r="K39" s="41"/>
      <c r="L39" s="102" t="str">
        <f>IF(Affordability!$D$4=""," ", "n/a")</f>
        <v>n/a</v>
      </c>
      <c r="M39" s="41"/>
      <c r="N39" s="76"/>
      <c r="O39" s="497"/>
      <c r="P39" s="41"/>
      <c r="Q39" s="76"/>
      <c r="R39" s="275"/>
      <c r="S39" s="41"/>
      <c r="T39" s="76"/>
    </row>
    <row r="40" spans="1:20" s="1" customFormat="1">
      <c r="C40" s="18"/>
      <c r="D40" s="20"/>
      <c r="E40" s="21"/>
      <c r="F40" s="71"/>
      <c r="G40" s="75"/>
      <c r="H40" s="23"/>
      <c r="I40" s="23"/>
      <c r="J40" s="73"/>
      <c r="K40" s="23"/>
      <c r="L40" s="23"/>
      <c r="M40" s="23"/>
      <c r="N40" s="73"/>
      <c r="O40" s="19"/>
      <c r="P40" s="23"/>
      <c r="Q40" s="73"/>
      <c r="R40" s="275"/>
      <c r="S40" s="23"/>
      <c r="T40" s="73"/>
    </row>
    <row r="41" spans="1:20" s="1" customFormat="1" ht="16.5">
      <c r="C41" s="267" t="s">
        <v>18</v>
      </c>
      <c r="D41" s="239"/>
      <c r="E41" s="240"/>
      <c r="F41" s="241"/>
      <c r="G41" s="242"/>
      <c r="H41" s="243"/>
      <c r="I41" s="243"/>
      <c r="J41" s="244"/>
      <c r="K41" s="243"/>
      <c r="L41" s="243"/>
      <c r="M41" s="243"/>
      <c r="N41" s="244"/>
      <c r="O41" s="245"/>
      <c r="P41" s="243"/>
      <c r="Q41" s="244"/>
      <c r="R41" s="283"/>
      <c r="S41" s="243"/>
      <c r="T41" s="73"/>
    </row>
    <row r="42" spans="1:20" s="1" customFormat="1">
      <c r="C42" s="18"/>
      <c r="D42" s="20"/>
      <c r="E42" s="21"/>
      <c r="F42" s="71"/>
      <c r="G42" s="75"/>
      <c r="H42" s="23"/>
      <c r="I42" s="23"/>
      <c r="J42" s="73"/>
      <c r="K42" s="23"/>
      <c r="L42" s="23"/>
      <c r="M42" s="23"/>
      <c r="N42" s="73"/>
      <c r="O42" s="19"/>
      <c r="P42" s="23"/>
      <c r="Q42" s="73"/>
      <c r="R42" s="275"/>
      <c r="S42" s="23"/>
      <c r="T42" s="73"/>
    </row>
    <row r="43" spans="1:20" s="1" customFormat="1" ht="46.5" customHeight="1">
      <c r="A43" s="1" t="s">
        <v>3669</v>
      </c>
      <c r="C43" s="18"/>
      <c r="D43" s="33" t="s">
        <v>37</v>
      </c>
      <c r="E43" s="220">
        <f>IF(Affordability!$D$4=""," ",VLOOKUP(Affordability!$D$4,LUMINA_DASH_DATA_FY16_TEMP!$E$6:$AF$2422,23,FALSE))</f>
        <v>117544.06024764622</v>
      </c>
      <c r="F43" s="81"/>
      <c r="G43" s="88"/>
      <c r="H43" s="93">
        <f>IF(Affordability!$D$4=""," ",VLOOKUP(Affordability!$D$5,LUMINA_DASH_MEANS_FY16_TEMP!$A$6:$BT$12,55,FALSE))</f>
        <v>61177.260218872507</v>
      </c>
      <c r="I43" s="23"/>
      <c r="J43" s="73"/>
      <c r="K43" s="93">
        <f>IF(Affordability!$D$4=""," ",VLOOKUP(Affordability!$D$5,LUMINA_DASH_MEANS_FY16_TEMP!$A$6:$BT$12,57,FALSE))</f>
        <v>26483.663983848917</v>
      </c>
      <c r="L43" s="95" t="str">
        <f>IF(E43&lt;&gt;" ",(IF(E43&gt;(H43+K43),"Ý",IF(E43&lt;(H43-K43), "Þ", "ü"))), " ")</f>
        <v>Ý</v>
      </c>
      <c r="M43" s="23"/>
      <c r="N43" s="73"/>
      <c r="O43" s="38" t="s">
        <v>38</v>
      </c>
      <c r="P43" s="23"/>
      <c r="Q43" s="73"/>
      <c r="R43" s="277" t="str">
        <f>IF(E43&lt;&gt; " ",(IF(E43&gt;(H43+K43),"Elevated spending levels could signal high cost programs, degrees, indirect costs, or high levels of attrition.",IF(E43&lt;(H43-K43), "Low spending levels could signal underinvestment; the college may offer low cost programs/degrees or have low indirect costs.", "College is comparable to other institutions on this metric."))), " ")</f>
        <v>Elevated spending levels could signal high cost programs, degrees, indirect costs, or high levels of attrition.</v>
      </c>
      <c r="S43" s="23"/>
      <c r="T43" s="73"/>
    </row>
    <row r="44" spans="1:20" s="1" customFormat="1" ht="45">
      <c r="A44" s="1" t="s">
        <v>3672</v>
      </c>
      <c r="C44" s="18"/>
      <c r="D44" s="33" t="s">
        <v>20</v>
      </c>
      <c r="E44" s="220">
        <f>IF(Affordability!$D$4=""," ",VLOOKUP(Affordability!$D$4,LUMINA_DASH_DATA_FY16_TEMP!$E$6:$AF$2422,24,FALSE))</f>
        <v>933.87854037430418</v>
      </c>
      <c r="F44" s="81"/>
      <c r="G44" s="88"/>
      <c r="H44" s="93">
        <f>IF(Affordability!$D$4=""," ",VLOOKUP(Affordability!$D$5,LUMINA_DASH_MEANS_FY16_TEMP!$A$6:$BT$12,58,FALSE))</f>
        <v>672.48968438347174</v>
      </c>
      <c r="I44" s="23"/>
      <c r="J44" s="73"/>
      <c r="K44" s="93">
        <f>IF(Affordability!$D$4=""," ",VLOOKUP(Affordability!$D$5,LUMINA_DASH_MEANS_FY16_TEMP!$A$6:$BT$12,60,FALSE))</f>
        <v>255.97886048736788</v>
      </c>
      <c r="L44" s="95" t="str">
        <f>IF(E44&lt;&gt;" ",(IF(E44&gt;(H44+K44),"Ý",IF(E44&lt;(H44-K44), "Þ", "ü"))), " ")</f>
        <v>Ý</v>
      </c>
      <c r="M44" s="23"/>
      <c r="N44" s="73"/>
      <c r="O44" s="38" t="s">
        <v>39</v>
      </c>
      <c r="P44" s="23"/>
      <c r="Q44" s="73"/>
      <c r="R44" s="277" t="str">
        <f>IF(E44&lt;&gt; " ",(IF(E44&gt;(H44+K44),"High spending levels could signal higher cost programs, degrees or indirect costs, or academic program inefficiencies (e.g., low enrollment programs, courses, or sections).",IF(E44&lt;(H44-K44), "Low spending levels could signal underinvestment, or the college has low cost programs, degrees, indirect costs or has leveraged academic efficiencies.", "College is comparable to other institutions on this metric."))), " ")</f>
        <v>High spending levels could signal higher cost programs, degrees or indirect costs, or academic program inefficiencies (e.g., low enrollment programs, courses, or sections).</v>
      </c>
      <c r="S44" s="23"/>
      <c r="T44" s="73"/>
    </row>
    <row r="45" spans="1:20" s="1" customFormat="1">
      <c r="C45" s="18"/>
      <c r="D45" s="33"/>
      <c r="E45" s="40"/>
      <c r="F45" s="85"/>
      <c r="G45" s="92"/>
      <c r="H45" s="70"/>
      <c r="I45" s="41"/>
      <c r="J45" s="76"/>
      <c r="K45" s="41"/>
      <c r="L45" s="70"/>
      <c r="M45" s="41"/>
      <c r="N45" s="76"/>
      <c r="O45" s="38"/>
      <c r="P45" s="41"/>
      <c r="Q45" s="76"/>
      <c r="R45" s="275"/>
      <c r="S45" s="41"/>
      <c r="T45" s="76"/>
    </row>
    <row r="46" spans="1:20" s="1" customFormat="1" ht="30">
      <c r="A46" s="1" t="s">
        <v>3670</v>
      </c>
      <c r="C46" s="18"/>
      <c r="D46" s="33" t="s">
        <v>3767</v>
      </c>
      <c r="E46" s="223">
        <f>IF(Affordability!$D$4=""," ",VLOOKUP(Affordability!$D$4,LUMINA_DASH_DATA_FY16_TEMP!$E$6:$AF$2422,25,FALSE))</f>
        <v>0.85074481678883873</v>
      </c>
      <c r="F46" s="82"/>
      <c r="G46" s="89"/>
      <c r="H46" s="114">
        <f>IF(Affordability!$D$4=""," ",VLOOKUP(Affordability!$D$5,LUMINA_DASH_MEANS_FY16_TEMP!$A$6:$BT$12,61,FALSE))</f>
        <v>2.0616409171986652</v>
      </c>
      <c r="I46" s="23"/>
      <c r="J46" s="73"/>
      <c r="K46" s="114">
        <f>IF(Affordability!$D$4=""," ",VLOOKUP(Affordability!$D$5,LUMINA_DASH_MEANS_FY16_TEMP!$A$6:$BT$12,63,FALSE))</f>
        <v>1.1589494623451868</v>
      </c>
      <c r="L46" s="95" t="str">
        <f>IF(E46&lt;&gt;" ",(IF(E46&gt;(H46+K46),"Ý",IF(E46&lt;(H46-K46), "Þ", "ü"))), " ")</f>
        <v>Þ</v>
      </c>
      <c r="M46" s="23"/>
      <c r="N46" s="73"/>
      <c r="O46" s="38" t="s">
        <v>40</v>
      </c>
      <c r="P46" s="23"/>
      <c r="Q46" s="73"/>
      <c r="R46" s="277" t="str">
        <f>IF(E46&lt;&gt; " ",(IF(E46&gt;(H46+K46),"Better than expected performance is an indication of efficient degree/certificate production.",IF(E46&lt;(H46-K46), "Lower than expected performance is an indication of suboptimal degree/certificate production per dollar spent.", "College is comparable to other institutions on this metric."))), " ")</f>
        <v>Lower than expected performance is an indication of suboptimal degree/certificate production per dollar spent.</v>
      </c>
      <c r="S46" s="23"/>
      <c r="T46" s="73"/>
    </row>
    <row r="47" spans="1:20" s="1" customFormat="1">
      <c r="C47" s="18"/>
      <c r="D47" s="33"/>
      <c r="E47" s="40"/>
      <c r="F47" s="85"/>
      <c r="G47" s="92"/>
      <c r="H47" s="70"/>
      <c r="I47" s="41"/>
      <c r="J47" s="76"/>
      <c r="K47" s="41"/>
      <c r="L47" s="70"/>
      <c r="M47" s="41"/>
      <c r="N47" s="76"/>
      <c r="O47" s="38"/>
      <c r="P47" s="41"/>
      <c r="Q47" s="76"/>
      <c r="R47" s="275"/>
      <c r="S47" s="41"/>
      <c r="T47" s="76"/>
    </row>
    <row r="48" spans="1:20" s="1" customFormat="1" ht="30">
      <c r="A48" s="1" t="s">
        <v>3667</v>
      </c>
      <c r="C48" s="18"/>
      <c r="D48" s="33" t="s">
        <v>8</v>
      </c>
      <c r="E48" s="223">
        <f>IF(Affordability!$D$4=""," ",VLOOKUP(Affordability!$D$4,LUMINA_DASH_DATA_FY16_TEMP!$E$6:$AF$2422,26,FALSE))</f>
        <v>24.148250460405158</v>
      </c>
      <c r="F48" s="82"/>
      <c r="G48" s="89"/>
      <c r="H48" s="114">
        <f>IF(Affordability!$D$4=""," ",VLOOKUP(Affordability!$D$5,LUMINA_DASH_MEANS_FY16_TEMP!$A$6:$BT$12,64,FALSE))</f>
        <v>33.337881923483778</v>
      </c>
      <c r="I48" s="41"/>
      <c r="J48" s="76"/>
      <c r="K48" s="114">
        <f>IF(Affordability!$D$4=""," ",VLOOKUP(Affordability!$D$5,LUMINA_DASH_MEANS_FY16_TEMP!$A$6:$BT$12,66,FALSE))</f>
        <v>8.2806585854030637</v>
      </c>
      <c r="L48" s="95" t="str">
        <f>IF(E48&lt;&gt;" ",(IF(E48&gt;(H48+K48),"Ý",IF(E48&lt;(H48-K48), "Þ", "ü"))), " ")</f>
        <v>Þ</v>
      </c>
      <c r="M48" s="41"/>
      <c r="N48" s="76"/>
      <c r="O48" s="38" t="s">
        <v>41</v>
      </c>
      <c r="P48" s="41"/>
      <c r="Q48" s="76"/>
      <c r="R48" s="277" t="str">
        <f>IF(E48&lt;&gt; " ",(IF(E48&gt;(H48+K48),"Degree and certificate productivity is higher than expected.",IF(E48&lt;(H48-K48), "Degree and certificate productivity is lower than expected.", "College is comparable to other institutions on this metric."))), " ")</f>
        <v>Degree and certificate productivity is lower than expected.</v>
      </c>
      <c r="S48" s="41"/>
      <c r="T48" s="76"/>
    </row>
    <row r="49" spans="1:20" s="1" customFormat="1" ht="45.75" customHeight="1">
      <c r="A49" s="1" t="s">
        <v>3671</v>
      </c>
      <c r="C49" s="18"/>
      <c r="D49" s="33" t="s">
        <v>9</v>
      </c>
      <c r="E49" s="222">
        <f>IF(Affordability!$D$4=""," ",VLOOKUP(Affordability!$D$4,LUMINA_DASH_DATA_FY16_TEMP!$E$6:$AF$2422,27,FALSE))</f>
        <v>125.86653956148713</v>
      </c>
      <c r="F49" s="82"/>
      <c r="G49" s="89"/>
      <c r="H49" s="115">
        <f>IF(Affordability!$D$4=""," ",VLOOKUP(Affordability!$D$5,LUMINA_DASH_MEANS_FY16_TEMP!$A$6:$BT$12,67,FALSE))</f>
        <v>90.971299098749569</v>
      </c>
      <c r="I49" s="41"/>
      <c r="J49" s="76"/>
      <c r="K49" s="115">
        <f>IF(Affordability!$D$4=""," ",VLOOKUP(Affordability!$D$5,LUMINA_DASH_MEANS_FY16_TEMP!$A$6:$BT$12,69,FALSE))</f>
        <v>24.149378590972141</v>
      </c>
      <c r="L49" s="95" t="str">
        <f>IF(E49&lt;&gt;" ",(IF(E49&gt;(H49+K49),"Ý",IF(E49&lt;(H49-K49), "Þ", "ü"))), " ")</f>
        <v>Ý</v>
      </c>
      <c r="M49" s="41"/>
      <c r="N49" s="76"/>
      <c r="O49" s="38" t="s">
        <v>42</v>
      </c>
      <c r="P49" s="41"/>
      <c r="Q49" s="76"/>
      <c r="R49" s="277" t="str">
        <f>IF(E49&lt;&gt; " ",(IF(E49&gt;(H49+K49),"The college may have 'unproductive' credits that are not translating into outcomes because of attrition or student transfers.",IF(E49&lt;(H49-K49), "The instructional production process is comparatively efficient.", "College is comparable to other institutions on this metric."))), " ")</f>
        <v>The college may have 'unproductive' credits that are not translating into outcomes because of attrition or student transfers.</v>
      </c>
      <c r="S49" s="41"/>
      <c r="T49" s="76"/>
    </row>
    <row r="50" spans="1:20" s="1" customFormat="1">
      <c r="C50" s="18"/>
      <c r="D50" s="20"/>
      <c r="E50" s="21"/>
      <c r="F50" s="71"/>
      <c r="G50" s="75"/>
      <c r="H50" s="23"/>
      <c r="I50" s="23"/>
      <c r="J50" s="73"/>
      <c r="K50" s="23"/>
      <c r="L50" s="23"/>
      <c r="M50" s="23"/>
      <c r="N50" s="73"/>
      <c r="O50" s="19"/>
      <c r="P50" s="23"/>
      <c r="Q50" s="73"/>
      <c r="R50" s="275"/>
      <c r="S50" s="23"/>
      <c r="T50" s="73"/>
    </row>
    <row r="51" spans="1:20" s="1" customFormat="1" hidden="1">
      <c r="C51" s="28" t="s">
        <v>3642</v>
      </c>
      <c r="D51" s="29"/>
      <c r="E51" s="31"/>
      <c r="F51" s="84"/>
      <c r="G51" s="91"/>
      <c r="H51" s="32"/>
      <c r="I51" s="32"/>
      <c r="J51" s="77"/>
      <c r="K51" s="32"/>
      <c r="L51" s="32"/>
      <c r="M51" s="32"/>
      <c r="N51" s="77"/>
      <c r="O51" s="30"/>
      <c r="P51" s="32"/>
      <c r="Q51" s="77"/>
      <c r="R51" s="275"/>
      <c r="S51" s="32"/>
      <c r="T51" s="73"/>
    </row>
    <row r="52" spans="1:20" s="1" customFormat="1" hidden="1">
      <c r="C52" s="18"/>
      <c r="D52" s="20"/>
      <c r="E52" s="21"/>
      <c r="F52" s="71"/>
      <c r="G52" s="75"/>
      <c r="H52" s="23"/>
      <c r="I52" s="23"/>
      <c r="J52" s="73"/>
      <c r="K52" s="23"/>
      <c r="L52" s="23"/>
      <c r="M52" s="23"/>
      <c r="N52" s="73"/>
      <c r="O52" s="19"/>
      <c r="P52" s="23"/>
      <c r="Q52" s="73"/>
      <c r="R52" s="275"/>
      <c r="S52" s="23"/>
      <c r="T52" s="73"/>
    </row>
    <row r="53" spans="1:20" s="1" customFormat="1" ht="45" hidden="1">
      <c r="C53" s="18"/>
      <c r="D53" s="33" t="s">
        <v>43</v>
      </c>
      <c r="E53" s="226"/>
      <c r="F53" s="82"/>
      <c r="G53" s="89"/>
      <c r="H53" s="228"/>
      <c r="I53" s="41"/>
      <c r="J53" s="76"/>
      <c r="K53" s="41"/>
      <c r="L53" s="96"/>
      <c r="M53" s="41"/>
      <c r="N53" s="76"/>
      <c r="O53" s="38" t="s">
        <v>45</v>
      </c>
      <c r="P53" s="41"/>
      <c r="Q53" s="76"/>
      <c r="R53" s="275"/>
      <c r="S53" s="41"/>
      <c r="T53" s="76"/>
    </row>
    <row r="54" spans="1:20" s="1" customFormat="1" ht="60" hidden="1">
      <c r="A54" s="1" t="s">
        <v>52</v>
      </c>
      <c r="C54" s="18"/>
      <c r="D54" s="33" t="s">
        <v>44</v>
      </c>
      <c r="E54" s="227">
        <f>IF(Affordability!$D$4=""," ",VLOOKUP(Affordability!$D$4,LUMINA_DASH_DATA_FY16_TEMP!$E$6:$AF$2422,28,FALSE))</f>
        <v>8.4626342359550771E-2</v>
      </c>
      <c r="F54" s="82"/>
      <c r="G54" s="89"/>
      <c r="H54" s="229">
        <f>IF(Affordability!$D$4=""," ",VLOOKUP(Affordability!$D$5,LUMINA_DASH_MEANS_FY16_TEMP!$A$6:$BT$12,70,FALSE))</f>
        <v>3.6528855960541617E-2</v>
      </c>
      <c r="I54" s="41"/>
      <c r="J54" s="76"/>
      <c r="K54" s="114">
        <f>IF(Affordability!$D$4=""," ",VLOOKUP(Affordability!$D$5,LUMINA_DASH_MEANS_FY16_TEMP!$A$6:$BT$12,72,FALSE))</f>
        <v>0.15489665531328939</v>
      </c>
      <c r="L54" s="95" t="str">
        <f>IF(E54&lt;&gt;" ",(IF(E54&gt;(H54+K54),"Ý",IF(E54&lt;(H54-K54), "Þ", "ü"))), " ")</f>
        <v>ü</v>
      </c>
      <c r="M54" s="41"/>
      <c r="N54" s="76"/>
      <c r="O54" s="38" t="s">
        <v>46</v>
      </c>
      <c r="P54" s="41"/>
      <c r="Q54" s="76"/>
      <c r="R54" s="275"/>
      <c r="S54" s="41"/>
      <c r="T54" s="76"/>
    </row>
    <row r="55" spans="1:20" s="6" customFormat="1">
      <c r="R55" s="278"/>
      <c r="T55" s="145"/>
    </row>
    <row r="56" spans="1:20">
      <c r="C56" s="24" t="s">
        <v>11</v>
      </c>
      <c r="D56" s="25"/>
    </row>
    <row r="57" spans="1:20" s="133" customFormat="1" ht="27" customHeight="1">
      <c r="C57" s="498" t="s">
        <v>3954</v>
      </c>
      <c r="D57" s="498"/>
      <c r="E57" s="498"/>
      <c r="F57" s="498"/>
      <c r="G57" s="498"/>
      <c r="H57" s="498"/>
      <c r="P57" s="176"/>
      <c r="Q57" s="176"/>
      <c r="R57" s="279"/>
      <c r="S57" s="176"/>
      <c r="T57" s="149"/>
    </row>
    <row r="58" spans="1:20" s="133" customFormat="1" ht="18.75" customHeight="1">
      <c r="C58" s="498" t="s">
        <v>3766</v>
      </c>
      <c r="D58" s="499"/>
      <c r="E58" s="499"/>
      <c r="F58" s="499"/>
      <c r="G58" s="499"/>
      <c r="H58" s="500"/>
      <c r="P58" s="176"/>
      <c r="Q58" s="176"/>
      <c r="R58" s="279"/>
      <c r="S58" s="176"/>
      <c r="T58" s="149"/>
    </row>
    <row r="59" spans="1:20" s="133" customFormat="1">
      <c r="C59" s="134" t="s">
        <v>4266</v>
      </c>
      <c r="D59" s="135"/>
      <c r="P59" s="176"/>
      <c r="Q59" s="176"/>
      <c r="R59" s="279"/>
      <c r="S59" s="176"/>
      <c r="T59" s="149"/>
    </row>
    <row r="60" spans="1:20">
      <c r="C60" s="26"/>
      <c r="D60" s="25"/>
    </row>
  </sheetData>
  <sheetProtection algorithmName="SHA-512" hashValue="8YOeQ9PXluY6DVkNVTE8hhcyUmXWMsVp/lPnlcJXl+4LYO2bt8v0rdlDVOXJ2jusOrpC0fI9HfRZ/O3rmWOl3g==" saltValue="8+848i3ROixhxMTIK8C9gw==" spinCount="100000" sheet="1" objects="1"/>
  <mergeCells count="3">
    <mergeCell ref="O36:O39"/>
    <mergeCell ref="C58:H58"/>
    <mergeCell ref="C57:H57"/>
  </mergeCells>
  <conditionalFormatting sqref="L34:L35">
    <cfRule type="cellIs" dxfId="61" priority="55" operator="equal">
      <formula>"Þ"</formula>
    </cfRule>
    <cfRule type="cellIs" dxfId="60" priority="56" operator="equal">
      <formula>"ü"</formula>
    </cfRule>
  </conditionalFormatting>
  <conditionalFormatting sqref="L9">
    <cfRule type="cellIs" dxfId="59" priority="67" operator="equal">
      <formula>"Ý"</formula>
    </cfRule>
    <cfRule type="cellIs" dxfId="58" priority="68" operator="equal">
      <formula>"ü"</formula>
    </cfRule>
  </conditionalFormatting>
  <conditionalFormatting sqref="L10:L11">
    <cfRule type="cellIs" dxfId="57" priority="65" operator="equal">
      <formula>"Ý"</formula>
    </cfRule>
    <cfRule type="cellIs" dxfId="56" priority="66" operator="equal">
      <formula>"ü"</formula>
    </cfRule>
  </conditionalFormatting>
  <conditionalFormatting sqref="L19:L20">
    <cfRule type="cellIs" dxfId="55" priority="61" operator="equal">
      <formula>"Ý"</formula>
    </cfRule>
    <cfRule type="cellIs" dxfId="54" priority="62" operator="equal">
      <formula>"ü"</formula>
    </cfRule>
  </conditionalFormatting>
  <conditionalFormatting sqref="L14:L17">
    <cfRule type="cellIs" dxfId="53" priority="63" operator="equal">
      <formula>"Ý"</formula>
    </cfRule>
    <cfRule type="cellIs" dxfId="52" priority="64" operator="equal">
      <formula>"ü"</formula>
    </cfRule>
  </conditionalFormatting>
  <conditionalFormatting sqref="L54">
    <cfRule type="cellIs" dxfId="51" priority="47" operator="equal">
      <formula>"Þ"</formula>
    </cfRule>
    <cfRule type="cellIs" dxfId="50" priority="48" operator="equal">
      <formula>"ü"</formula>
    </cfRule>
  </conditionalFormatting>
  <conditionalFormatting sqref="L24">
    <cfRule type="cellIs" dxfId="49" priority="59" operator="equal">
      <formula>"Þ"</formula>
    </cfRule>
    <cfRule type="cellIs" dxfId="48" priority="60" operator="equal">
      <formula>"ü"</formula>
    </cfRule>
  </conditionalFormatting>
  <conditionalFormatting sqref="L29:L30">
    <cfRule type="cellIs" dxfId="47" priority="57" operator="equal">
      <formula>"Ý"</formula>
    </cfRule>
    <cfRule type="cellIs" dxfId="46" priority="58" operator="equal">
      <formula>"ü"</formula>
    </cfRule>
  </conditionalFormatting>
  <conditionalFormatting sqref="L43:L44">
    <cfRule type="cellIs" dxfId="45" priority="53" operator="equal">
      <formula>"Ý"</formula>
    </cfRule>
    <cfRule type="cellIs" dxfId="44" priority="54" operator="equal">
      <formula>"ü"</formula>
    </cfRule>
  </conditionalFormatting>
  <conditionalFormatting sqref="L46">
    <cfRule type="cellIs" dxfId="43" priority="51" operator="equal">
      <formula>"Þ"</formula>
    </cfRule>
    <cfRule type="cellIs" dxfId="42" priority="52" operator="equal">
      <formula>"ü"</formula>
    </cfRule>
  </conditionalFormatting>
  <conditionalFormatting sqref="L48">
    <cfRule type="cellIs" dxfId="41" priority="49" operator="equal">
      <formula>"Þ"</formula>
    </cfRule>
    <cfRule type="cellIs" dxfId="40" priority="50" operator="equal">
      <formula>"ü"</formula>
    </cfRule>
  </conditionalFormatting>
  <conditionalFormatting sqref="L25">
    <cfRule type="cellIs" dxfId="39" priority="45" operator="equal">
      <formula>"Ý"</formula>
    </cfRule>
    <cfRule type="cellIs" dxfId="38" priority="46" operator="equal">
      <formula>"ü"</formula>
    </cfRule>
  </conditionalFormatting>
  <conditionalFormatting sqref="L26">
    <cfRule type="cellIs" dxfId="37" priority="43" operator="equal">
      <formula>"Ý"</formula>
    </cfRule>
    <cfRule type="cellIs" dxfId="36" priority="44" operator="equal">
      <formula>"ü"</formula>
    </cfRule>
  </conditionalFormatting>
  <conditionalFormatting sqref="L27">
    <cfRule type="cellIs" dxfId="35" priority="41" operator="equal">
      <formula>"Ý"</formula>
    </cfRule>
    <cfRule type="cellIs" dxfId="34" priority="42" operator="equal">
      <formula>"ü"</formula>
    </cfRule>
  </conditionalFormatting>
  <conditionalFormatting sqref="R19">
    <cfRule type="cellIs" dxfId="33" priority="25" operator="equal">
      <formula>"Ý"</formula>
    </cfRule>
    <cfRule type="cellIs" dxfId="32" priority="26" operator="equal">
      <formula>"ü"</formula>
    </cfRule>
  </conditionalFormatting>
  <conditionalFormatting sqref="R9">
    <cfRule type="cellIs" dxfId="31" priority="37" operator="equal">
      <formula>"Ý"</formula>
    </cfRule>
    <cfRule type="cellIs" dxfId="30" priority="38" operator="equal">
      <formula>"ü"</formula>
    </cfRule>
  </conditionalFormatting>
  <conditionalFormatting sqref="R10:R11">
    <cfRule type="cellIs" dxfId="29" priority="35" operator="equal">
      <formula>"Ý"</formula>
    </cfRule>
    <cfRule type="cellIs" dxfId="28" priority="36" operator="equal">
      <formula>"ü"</formula>
    </cfRule>
  </conditionalFormatting>
  <conditionalFormatting sqref="R14:R16">
    <cfRule type="cellIs" dxfId="27" priority="31" operator="equal">
      <formula>"Ý"</formula>
    </cfRule>
    <cfRule type="cellIs" dxfId="26" priority="32" operator="equal">
      <formula>"ü"</formula>
    </cfRule>
  </conditionalFormatting>
  <conditionalFormatting sqref="R17">
    <cfRule type="cellIs" dxfId="25" priority="29" operator="equal">
      <formula>"Ý"</formula>
    </cfRule>
    <cfRule type="cellIs" dxfId="24" priority="30" operator="equal">
      <formula>"ü"</formula>
    </cfRule>
  </conditionalFormatting>
  <conditionalFormatting sqref="R20">
    <cfRule type="cellIs" dxfId="23" priority="23" operator="equal">
      <formula>"Ý"</formula>
    </cfRule>
    <cfRule type="cellIs" dxfId="22" priority="24" operator="equal">
      <formula>"ü"</formula>
    </cfRule>
  </conditionalFormatting>
  <conditionalFormatting sqref="R30">
    <cfRule type="cellIs" dxfId="21" priority="17" operator="equal">
      <formula>"Ý"</formula>
    </cfRule>
    <cfRule type="cellIs" dxfId="20" priority="18" operator="equal">
      <formula>"ü"</formula>
    </cfRule>
  </conditionalFormatting>
  <conditionalFormatting sqref="R24:R25">
    <cfRule type="cellIs" dxfId="19" priority="21" operator="equal">
      <formula>"Ý"</formula>
    </cfRule>
    <cfRule type="cellIs" dxfId="18" priority="22" operator="equal">
      <formula>"ü"</formula>
    </cfRule>
  </conditionalFormatting>
  <conditionalFormatting sqref="R26:R27">
    <cfRule type="cellIs" dxfId="17" priority="15" operator="equal">
      <formula>"Ý"</formula>
    </cfRule>
    <cfRule type="cellIs" dxfId="16" priority="16" operator="equal">
      <formula>"ü"</formula>
    </cfRule>
  </conditionalFormatting>
  <conditionalFormatting sqref="R29">
    <cfRule type="cellIs" dxfId="15" priority="19" operator="equal">
      <formula>"Ý"</formula>
    </cfRule>
    <cfRule type="cellIs" dxfId="14" priority="20" operator="equal">
      <formula>"ü"</formula>
    </cfRule>
  </conditionalFormatting>
  <conditionalFormatting sqref="R34:R35">
    <cfRule type="cellIs" dxfId="13" priority="13" operator="equal">
      <formula>"Ý"</formula>
    </cfRule>
    <cfRule type="cellIs" dxfId="12" priority="14" operator="equal">
      <formula>"ü"</formula>
    </cfRule>
  </conditionalFormatting>
  <conditionalFormatting sqref="R43">
    <cfRule type="cellIs" dxfId="11" priority="11" operator="equal">
      <formula>"Ý"</formula>
    </cfRule>
    <cfRule type="cellIs" dxfId="10" priority="12" operator="equal">
      <formula>"ü"</formula>
    </cfRule>
  </conditionalFormatting>
  <conditionalFormatting sqref="R44">
    <cfRule type="cellIs" dxfId="9" priority="9" operator="equal">
      <formula>"Ý"</formula>
    </cfRule>
    <cfRule type="cellIs" dxfId="8" priority="10" operator="equal">
      <formula>"ü"</formula>
    </cfRule>
  </conditionalFormatting>
  <conditionalFormatting sqref="R46">
    <cfRule type="cellIs" dxfId="7" priority="7" operator="equal">
      <formula>"Ý"</formula>
    </cfRule>
    <cfRule type="cellIs" dxfId="6" priority="8" operator="equal">
      <formula>"ü"</formula>
    </cfRule>
  </conditionalFormatting>
  <conditionalFormatting sqref="R48">
    <cfRule type="cellIs" dxfId="5" priority="5" operator="equal">
      <formula>"Ý"</formula>
    </cfRule>
    <cfRule type="cellIs" dxfId="4" priority="6" operator="equal">
      <formula>"ü"</formula>
    </cfRule>
  </conditionalFormatting>
  <conditionalFormatting sqref="R49">
    <cfRule type="cellIs" dxfId="3" priority="3" operator="equal">
      <formula>"Ý"</formula>
    </cfRule>
    <cfRule type="cellIs" dxfId="2" priority="4" operator="equal">
      <formula>"ü"</formula>
    </cfRule>
  </conditionalFormatting>
  <conditionalFormatting sqref="L49">
    <cfRule type="cellIs" dxfId="1" priority="1" operator="equal">
      <formula>"Ý"</formula>
    </cfRule>
    <cfRule type="cellIs" dxfId="0" priority="2" operator="equal">
      <formula>"ü"</formula>
    </cfRule>
  </conditionalFormatting>
  <dataValidations count="28">
    <dataValidation allowBlank="1" showInputMessage="1" showErrorMessage="1" promptTitle="Tuition and fees" prompt="Annual tuition and fees for full-time students; at pubic institutions this reflects indistrict or in-state prices." sqref="D9" xr:uid="{E6C60077-A89D-4664-92F7-A1E5D18A3E84}"/>
    <dataValidation allowBlank="1" showInputMessage="1" showErrorMessage="1" promptTitle="Spending per FTE student" prompt="Total spending on the academic mission, normalized per full-time equivalent (FTE) student." sqref="D26" xr:uid="{6765C164-E73E-419D-BE86-49E852CF8525}"/>
    <dataValidation allowBlank="1" showInputMessage="1" showErrorMessage="1" promptTitle="Student share of spending" prompt="Proportion of academic spending that is funded through tuition and fee revenue (net of institutional aid)._x000a_" sqref="D27" xr:uid="{50651F29-D42D-48DE-9F48-C679B50FD24B}"/>
    <dataValidation allowBlank="1" showInputMessage="1" showErrorMessage="1" promptTitle="Compensation spending/FTE empl." prompt="Spending on salaries, wages, and benefits averaged over the number of full-time equivalent employees." sqref="D29" xr:uid="{74C56E70-3AAD-49DD-9BC8-979417E679C9}"/>
    <dataValidation allowBlank="1" showInputMessage="1" showErrorMessage="1" promptTitle="Compensation share of spending" prompt="The share of spending consumed by labor costs (salaries, wages, and benefits)." sqref="D30" xr:uid="{BABF2E73-E5F7-4D86-926F-952132B0E5BA}"/>
    <dataValidation allowBlank="1" showInputMessage="1" showErrorMessage="1" promptTitle="Faculty throughput" prompt="Student credit hours per FTE faculty." sqref="D34" xr:uid="{2EEC7113-ACF3-4986-AB8C-DF20C9BE80B3}"/>
    <dataValidation allowBlank="1" showInputMessage="1" showErrorMessage="1" promptTitle="Student-to-faculty ratio" prompt="Number of FTE students per FTE faculty." sqref="D35" xr:uid="{C9A590D9-EA0E-455C-8873-A0127F5587F2}"/>
    <dataValidation allowBlank="1" showInputMessage="1" showErrorMessage="1" promptTitle="Return on investment" prompt="Estimated change in net reveue that colleges could generate through improvements in student performance and success." sqref="D36" xr:uid="{1D7ADA1B-496D-487B-AA85-63802E96D0C2}"/>
    <dataValidation allowBlank="1" showInputMessage="1" showErrorMessage="1" promptTitle="Spending per completion" prompt="Total spending on the academic mission measured on a outcomes basis, per total nubmer of degrees and certificates awarded. Also called the &quot;cost per completion'; it reflects the production cost, not the student cost." sqref="D43" xr:uid="{699A3A15-425C-4F2C-9AB7-6AFBDFC2DD85}"/>
    <dataValidation allowBlank="1" showInputMessage="1" showErrorMessage="1" promptTitle="Spending per credit hour" prompt="Total spending on the academic mission measured per number of attempted credit hours." sqref="D44" xr:uid="{BDA5E11E-092C-4429-9A2D-1B4AF529C39A}"/>
    <dataValidation allowBlank="1" showInputMessage="1" showErrorMessage="1" promptTitle="Completions per $100k of spend" prompt="Degree and certificate production measured on a cost basis, per $100,000 of spending on the academic mission." sqref="D46" xr:uid="{4ABB1A94-783E-4DB7-A0D7-6A49DE81DA9B}"/>
    <dataValidation allowBlank="1" showInputMessage="1" showErrorMessage="1" promptTitle="Completions per 100 FTE" prompt="Degrees and certificates awarded relative to the number of FTE students." sqref="D48" xr:uid="{95AD1DCA-CDE3-43E6-B57E-08DB19AE6BA6}"/>
    <dataValidation allowBlank="1" showInputMessage="1" showErrorMessage="1" promptTitle="SCH per completion" prompt="This is an average measure that includes all student credit hours  and all completions; it does NOT represent the average credits earned by graduates because it includes credits that did not result in a credential." sqref="D49" xr:uid="{DAB3886A-11E4-4B56-AFC0-CACCAD0931EC}"/>
    <dataValidation allowBlank="1" showInputMessage="1" showErrorMessage="1" promptTitle="Net income ratio" prompt="Annual change in unrestricted assets divided by total unrestricted revenues." sqref="D53" xr:uid="{16791155-FEF6-4E6C-AF59-E46B8F0750B3}"/>
    <dataValidation allowBlank="1" showInputMessage="1" showErrorMessage="1" promptTitle="Return on net assets ratio" prompt="Change in net assets divided by the total net assets at the beginning of the fiscal year." sqref="D54" xr:uid="{463B562F-9F51-4AAC-AB88-2EC339A35AFE}"/>
    <dataValidation allowBlank="1" showInputMessage="1" showErrorMessage="1" promptTitle="Comparative Position" prompt="A checkmark indicates the college is within one standard deviation of the benchark mean (average)._x000a__x000a_College metrics above/below one standard deviation of the mean display a directional arrow." sqref="L4" xr:uid="{562847E4-9206-46BB-A843-F4197883F1A6}"/>
    <dataValidation allowBlank="1" showInputMessage="1" showErrorMessage="1" promptTitle="Spending per FTE student" prompt="Total institutional spending normalized per full-time equivalent (FTE) student." sqref="D25" xr:uid="{DA382DDB-B1F9-4436-8F1D-BED672D151B1}"/>
    <dataValidation allowBlank="1" showInputMessage="1" showErrorMessage="1" promptTitle="Revenue per FTE student" prompt="Total revenue (excluding investment income), normalized per full-time equivalent (FTE) student." sqref="D24" xr:uid="{79D39BC5-4891-4F92-83B8-5155529F2BCA}"/>
    <dataValidation allowBlank="1" showInputMessage="1" showErrorMessage="1" promptTitle="Net income ratio" prompt="This ratio measures excess unrestricted operating revenues (minus unrestricted operating expenses) divided by unrestricted operating income." sqref="D53" xr:uid="{0B050BF7-A58D-4A73-892D-24CAD031A5D4}"/>
    <dataValidation allowBlank="1" showInputMessage="1" showErrorMessage="1" promptTitle="Return on net assets ratio" prompt="This ratio measures the change in an institution's total wealth over a single year." sqref="D54" xr:uid="{722463CA-24F2-43E1-BBE7-BDFD89872D05}"/>
    <dataValidation allowBlank="1" showInputMessage="1" showErrorMessage="1" promptTitle="Net price" prompt="Average net price for full-time, first-time degree/certificate-seeking undergraduates who were awarded any grant or scholarship aid. [Net price = cost of attendance minus federal, state, local or institutional aid]." sqref="D10" xr:uid="{FB1126CD-C2FA-449D-AB9B-EA39947C1C7B}"/>
    <dataValidation allowBlank="1" showInputMessage="1" showErrorMessage="1" promptTitle="Net price ($0-$30k income)" prompt="Average net price for full-time, first-time degree/certificate-seeking undergraduates with family income $30k or less (and were awarded title IV federal student aid). [Net price = cost of attendance minus federal, state, local or institutional aid]." sqref="D11" xr:uid="{24014D07-F7AE-42D6-8EDC-27403D5D7FA4}"/>
    <dataValidation allowBlank="1" showInputMessage="1" showErrorMessage="1" promptTitle="% Pell grants" prompt="Percentage of full-time, first-time degree/certificate-seeking undergraduate students who were awarded Pell grants. " sqref="D14" xr:uid="{333B6105-D3D5-4291-95CB-78BE3C415FDC}"/>
    <dataValidation allowBlank="1" showInputMessage="1" showErrorMessage="1" promptTitle="% Federal loans" prompt="Percentage of full-time, first-time degree/certificate-seeking undergraduate students who were awarded federal student loans. " sqref="D15" xr:uid="{4F29047F-D8AD-4A89-9296-911A61AA6291}"/>
    <dataValidation allowBlank="1" showInputMessage="1" showErrorMessage="1" promptTitle="% Institutional grant aid" prompt="Percentage of full-time, first-time degree/certificate-seeking undergraduate students who were awarded institutional grants (scholarships/fellowships). " sqref="D16" xr:uid="{C939DEDF-2083-4586-9394-1AFF5722DD6C}"/>
    <dataValidation allowBlank="1" showInputMessage="1" showErrorMessage="1" promptTitle="Average institutional grant" prompt="Average amount of institutional grants (scholarships/fellowships) awarded to full-time, first-time degree/certificate-seeking undergraduate students." sqref="D17" xr:uid="{1DEAE822-F62C-47EC-A11F-50BD999449AC}"/>
    <dataValidation allowBlank="1" showInputMessage="1" showErrorMessage="1" promptTitle="Institutional grant aid per FTE" prompt="Total institutional grant aid awarded by the institution normalized per full-time equivalent student" sqref="D19" xr:uid="{99435AF9-BC49-4D83-B4D9-7060199BBE34}"/>
    <dataValidation allowBlank="1" showInputMessage="1" showErrorMessage="1" promptTitle="Tuition discount rate" prompt="The portion of tuition and fee revenue that is paid with institutional grant aid." sqref="D20" xr:uid="{9851A5F9-256A-4709-B010-BF9782B59D40}"/>
  </dataValidation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1EB4-7A9D-4372-82AD-62C6212F7E7D}">
  <sheetPr codeName="Sheet4">
    <tabColor theme="2" tint="-0.499984740745262"/>
  </sheetPr>
  <dimension ref="B1:X142"/>
  <sheetViews>
    <sheetView showGridLines="0" zoomScale="90" zoomScaleNormal="90" workbookViewId="0"/>
  </sheetViews>
  <sheetFormatPr defaultRowHeight="15"/>
  <cols>
    <col min="1" max="1" width="1.5703125" style="27" customWidth="1"/>
    <col min="2" max="2" width="9.140625" style="27" customWidth="1"/>
    <col min="3" max="4" width="9.140625" style="27"/>
    <col min="5" max="6" width="11.5703125" style="27" bestFit="1" customWidth="1"/>
    <col min="7" max="16384" width="9.140625" style="27"/>
  </cols>
  <sheetData>
    <row r="1" spans="2:24" ht="33">
      <c r="B1" s="154" t="s">
        <v>3965</v>
      </c>
      <c r="C1" s="154"/>
      <c r="D1" s="154"/>
      <c r="E1" s="154"/>
      <c r="F1" s="154"/>
      <c r="G1" s="154"/>
      <c r="H1" s="153"/>
      <c r="I1" s="153"/>
      <c r="J1" s="153"/>
      <c r="K1" s="153"/>
      <c r="L1" s="153"/>
      <c r="M1" s="153"/>
      <c r="N1" s="153"/>
      <c r="O1" s="153"/>
      <c r="P1" s="153"/>
      <c r="Q1" s="153"/>
      <c r="R1" s="153"/>
    </row>
    <row r="2" spans="2:24">
      <c r="B2" s="490" t="s">
        <v>4039</v>
      </c>
    </row>
    <row r="3" spans="2:24" ht="16.5">
      <c r="B3" s="268" t="str">
        <f>'Dashboard Metrics'!C7</f>
        <v>AFFORDABILITY METRICS</v>
      </c>
      <c r="C3" s="254"/>
      <c r="D3" s="254"/>
      <c r="E3" s="254"/>
      <c r="F3" s="254"/>
      <c r="G3" s="254"/>
      <c r="H3" s="254"/>
      <c r="I3" s="254"/>
      <c r="J3" s="254"/>
      <c r="K3" s="254"/>
      <c r="L3" s="254"/>
      <c r="M3" s="254"/>
      <c r="N3" s="254"/>
      <c r="O3" s="254"/>
      <c r="P3" s="254"/>
      <c r="Q3" s="254"/>
      <c r="R3" s="254"/>
    </row>
    <row r="10" spans="2:24">
      <c r="E10" s="27" t="str">
        <f>'Dashboard Metrics'!$D$4</f>
        <v>Abilene Christian University</v>
      </c>
      <c r="F10" s="27" t="str">
        <f>'Dashboard Metrics'!$H$4</f>
        <v>Private Master's University</v>
      </c>
      <c r="N10" s="27" t="str">
        <f>'Dashboard Metrics'!$D$4</f>
        <v>Abilene Christian University</v>
      </c>
      <c r="O10" s="27" t="str">
        <f>'Dashboard Metrics'!$H$4</f>
        <v>Private Master's University</v>
      </c>
    </row>
    <row r="11" spans="2:24">
      <c r="D11" s="27" t="str">
        <f>'Dashboard Metrics'!D9</f>
        <v>Tuition and fees (in-district)</v>
      </c>
      <c r="E11" s="125">
        <f>'Dashboard Metrics'!E9</f>
        <v>33330</v>
      </c>
      <c r="F11" s="125">
        <f>'Dashboard Metrics'!H9</f>
        <v>29876.744850701587</v>
      </c>
      <c r="M11" s="27" t="str">
        <f>'Dashboard Metrics'!D16</f>
        <v>% Institutional grant aid</v>
      </c>
      <c r="N11" s="127">
        <f>'Dashboard Metrics'!E16</f>
        <v>1</v>
      </c>
      <c r="O11" s="127">
        <f>'Dashboard Metrics'!H16</f>
        <v>0.93431318681318687</v>
      </c>
    </row>
    <row r="12" spans="2:24">
      <c r="D12" s="27" t="str">
        <f>CONCATENATE('Dashboard Metrics'!D10," (Cost of Attendance)")</f>
        <v>Net price (Cost of Attendance)</v>
      </c>
      <c r="E12" s="125">
        <f>'Dashboard Metrics'!E10</f>
        <v>27584</v>
      </c>
      <c r="F12" s="125">
        <f>'Dashboard Metrics'!H10</f>
        <v>26376.872431725398</v>
      </c>
      <c r="M12" s="27" t="str">
        <f>'Dashboard Metrics'!D15</f>
        <v>% Federal loans</v>
      </c>
      <c r="N12" s="127">
        <f>'Dashboard Metrics'!E15</f>
        <v>0.56999999999999995</v>
      </c>
      <c r="O12" s="127">
        <f>'Dashboard Metrics'!H15</f>
        <v>0.71060439560439559</v>
      </c>
    </row>
    <row r="13" spans="2:24">
      <c r="D13" s="27" t="str">
        <f>CONCATENATE("Net price: ",'Dashboard Metrics'!D11)</f>
        <v>Net price: Low income students ($0-$30k)</v>
      </c>
      <c r="E13" s="125">
        <f>'Dashboard Metrics'!E11</f>
        <v>23549</v>
      </c>
      <c r="F13" s="125">
        <f>'Dashboard Metrics'!H11</f>
        <v>21816.356361689544</v>
      </c>
      <c r="M13" s="27" t="str">
        <f>'Dashboard Metrics'!D14</f>
        <v>% Pell grants</v>
      </c>
      <c r="N13" s="127">
        <f>'Dashboard Metrics'!E14</f>
        <v>0.3</v>
      </c>
      <c r="O13" s="127">
        <f>'Dashboard Metrics'!H14</f>
        <v>0.4054945054945055</v>
      </c>
    </row>
    <row r="14" spans="2:24">
      <c r="X14" s="125"/>
    </row>
    <row r="30" spans="4:14">
      <c r="E30" s="27" t="str">
        <f>'Dashboard Metrics'!$D$4</f>
        <v>Abilene Christian University</v>
      </c>
      <c r="F30" s="27" t="str">
        <f>'Dashboard Metrics'!$H$4</f>
        <v>Private Master's University</v>
      </c>
      <c r="M30" s="27" t="str">
        <f>'Dashboard Metrics'!$H$4</f>
        <v>Private Master's University</v>
      </c>
      <c r="N30" s="27" t="str">
        <f>'Dashboard Metrics'!$D$4</f>
        <v>Abilene Christian University</v>
      </c>
    </row>
    <row r="31" spans="4:14">
      <c r="D31" s="27" t="str">
        <f>'Dashboard Metrics'!D17</f>
        <v>Average institutional grant</v>
      </c>
      <c r="E31" s="125">
        <f>'Dashboard Metrics'!E17</f>
        <v>18220</v>
      </c>
      <c r="F31" s="125">
        <f>'Dashboard Metrics'!H17</f>
        <v>16936.279778393353</v>
      </c>
      <c r="L31" s="27" t="str">
        <f>'Dashboard Metrics'!D20</f>
        <v>Tuition Discount Rate</v>
      </c>
      <c r="M31" s="127">
        <f>'Dashboard Metrics'!H20</f>
        <v>0.36502036838058827</v>
      </c>
      <c r="N31" s="127">
        <f>'Dashboard Metrics'!E20</f>
        <v>0.43334051208902147</v>
      </c>
    </row>
    <row r="32" spans="4:14">
      <c r="D32" s="27" t="str">
        <f>'Dashboard Metrics'!D19</f>
        <v>Institutional grant aid per FTE student</v>
      </c>
      <c r="E32" s="125">
        <f>'Dashboard Metrics'!E19</f>
        <v>12943.831606217616</v>
      </c>
      <c r="F32" s="125">
        <f>'Dashboard Metrics'!H19</f>
        <v>8879.7925056883632</v>
      </c>
    </row>
    <row r="33" spans="2:18" ht="15.75">
      <c r="B33" s="126"/>
    </row>
    <row r="42" spans="2:18" ht="16.5">
      <c r="B42" s="269" t="str">
        <f>'Dashboard Metrics'!C22</f>
        <v>REVENUE AND SPENDING METRICS</v>
      </c>
      <c r="C42" s="256"/>
      <c r="D42" s="256"/>
      <c r="E42" s="256"/>
      <c r="F42" s="256"/>
      <c r="G42" s="256"/>
      <c r="H42" s="256"/>
      <c r="I42" s="256"/>
      <c r="J42" s="256"/>
      <c r="K42" s="256"/>
      <c r="L42" s="256"/>
      <c r="M42" s="256"/>
      <c r="N42" s="256"/>
      <c r="O42" s="256"/>
      <c r="P42" s="256"/>
      <c r="Q42" s="256"/>
      <c r="R42" s="256"/>
    </row>
    <row r="49" spans="4:16">
      <c r="E49" s="27" t="str">
        <f>'Dashboard Metrics'!$D$4</f>
        <v>Abilene Christian University</v>
      </c>
      <c r="F49" s="27" t="str">
        <f>'Dashboard Metrics'!$H$4</f>
        <v>Private Master's University</v>
      </c>
      <c r="M49" s="27" t="str">
        <f>'Dashboard Metrics'!$D$4</f>
        <v>Abilene Christian University</v>
      </c>
      <c r="N49" s="27" t="str">
        <f>'Dashboard Metrics'!$H$4</f>
        <v>Private Master's University</v>
      </c>
      <c r="O49" s="27" t="str">
        <f>M49</f>
        <v>Abilene Christian University</v>
      </c>
      <c r="P49" s="27" t="str">
        <f>N49</f>
        <v>Private Master's University</v>
      </c>
    </row>
    <row r="50" spans="4:16">
      <c r="D50" s="27" t="str">
        <f>'Dashboard Metrics'!D24</f>
        <v>Revenue per FTE student</v>
      </c>
      <c r="E50" s="124">
        <f>'Dashboard Metrics'!E24</f>
        <v>26615.346070811745</v>
      </c>
      <c r="F50" s="124">
        <f>'Dashboard Metrics'!H24</f>
        <v>23242.836397944102</v>
      </c>
      <c r="L50" s="27" t="str">
        <f>'Dashboard Metrics'!D29</f>
        <v>Compensation spending per FTE employee</v>
      </c>
      <c r="M50" s="124">
        <f>'Dashboard Metrics'!E29</f>
        <v>93064.850938967138</v>
      </c>
      <c r="N50" s="124">
        <f>'Dashboard Metrics'!H29</f>
        <v>81985.253908866478</v>
      </c>
    </row>
    <row r="51" spans="4:16">
      <c r="D51" s="27" t="str">
        <f>'Dashboard Metrics'!D25</f>
        <v>Spending per FTE student</v>
      </c>
      <c r="E51" s="124">
        <f>'Dashboard Metrics'!E25</f>
        <v>31408.847582037997</v>
      </c>
      <c r="F51" s="124">
        <f>'Dashboard Metrics'!H25</f>
        <v>22695.334178455527</v>
      </c>
      <c r="L51" s="27" t="str">
        <f>'Dashboard Metrics'!D30</f>
        <v>Compensation share of total spending</v>
      </c>
      <c r="O51" s="128">
        <f>'Dashboard Metrics'!E30</f>
        <v>0.54501032272693151</v>
      </c>
      <c r="P51" s="128">
        <f>'Dashboard Metrics'!H30</f>
        <v>0.55089696679035804</v>
      </c>
    </row>
    <row r="68" spans="4:15">
      <c r="E68" s="27" t="str">
        <f>'Dashboard Metrics'!$D$4</f>
        <v>Abilene Christian University</v>
      </c>
      <c r="F68" s="27" t="str">
        <f>'Dashboard Metrics'!$H$4</f>
        <v>Private Master's University</v>
      </c>
      <c r="N68" s="27" t="str">
        <f>'Dashboard Metrics'!$H$4</f>
        <v>Private Master's University</v>
      </c>
      <c r="O68" s="27" t="str">
        <f>'Dashboard Metrics'!$D$4</f>
        <v>Abilene Christian University</v>
      </c>
    </row>
    <row r="69" spans="4:15">
      <c r="D69" s="27" t="str">
        <f>'Dashboard Metrics'!D26</f>
        <v>Education-related spending per FTE student</v>
      </c>
      <c r="E69" s="124">
        <f>'Dashboard Metrics'!E26</f>
        <v>26619.97392050537</v>
      </c>
      <c r="F69" s="124">
        <f>'Dashboard Metrics'!H26</f>
        <v>18895.327998831752</v>
      </c>
      <c r="M69" s="27" t="s">
        <v>49</v>
      </c>
      <c r="N69" s="44">
        <f>1-N70</f>
        <v>0.20127332085392757</v>
      </c>
      <c r="O69" s="44">
        <f>1-O70</f>
        <v>0.36415962544510727</v>
      </c>
    </row>
    <row r="70" spans="4:15">
      <c r="E70" s="124"/>
      <c r="F70" s="124"/>
      <c r="M70" s="27" t="s">
        <v>48</v>
      </c>
      <c r="N70" s="44">
        <f>'Dashboard Metrics'!H27</f>
        <v>0.79872667914607243</v>
      </c>
      <c r="O70" s="44">
        <f>'Dashboard Metrics'!E27</f>
        <v>0.63584037455489273</v>
      </c>
    </row>
    <row r="81" spans="2:18" ht="16.5">
      <c r="B81" s="270" t="str">
        <f>'Dashboard Metrics'!C32</f>
        <v>EFFICIENCY METRICS</v>
      </c>
      <c r="C81" s="257"/>
      <c r="D81" s="257"/>
      <c r="E81" s="257"/>
      <c r="F81" s="257"/>
      <c r="G81" s="257"/>
      <c r="H81" s="257"/>
      <c r="I81" s="257"/>
      <c r="J81" s="257"/>
      <c r="K81" s="257"/>
      <c r="L81" s="257"/>
      <c r="M81" s="257"/>
      <c r="N81" s="257"/>
      <c r="O81" s="257"/>
      <c r="P81" s="257"/>
      <c r="Q81" s="257"/>
      <c r="R81" s="257"/>
    </row>
    <row r="87" spans="2:18">
      <c r="E87" s="27" t="str">
        <f>'Dashboard Metrics'!$H$4</f>
        <v>Private Master's University</v>
      </c>
      <c r="F87" s="27" t="str">
        <f>'Dashboard Metrics'!$D$4</f>
        <v>Abilene Christian University</v>
      </c>
      <c r="N87" s="27" t="str">
        <f>'Dashboard Metrics'!$D$4</f>
        <v>Abilene Christian University</v>
      </c>
      <c r="O87" s="27" t="str">
        <f>'Dashboard Metrics'!$H$4</f>
        <v>Private Master's University</v>
      </c>
    </row>
    <row r="88" spans="2:18">
      <c r="D88" s="27" t="str">
        <f>'Dashboard Metrics'!D34</f>
        <v>Faculty throughput</v>
      </c>
      <c r="E88" s="130">
        <f>'Dashboard Metrics'!H34</f>
        <v>440.23144315890784</v>
      </c>
      <c r="F88" s="130">
        <f>'Dashboard Metrics'!E34</f>
        <v>442.57206703910617</v>
      </c>
      <c r="M88" s="27" t="str">
        <f>'Dashboard Metrics'!D35</f>
        <v>Student-to-faculty ratio</v>
      </c>
      <c r="N88" s="129">
        <f>'Dashboard Metrics'!E35</f>
        <v>15.526256983240225</v>
      </c>
      <c r="O88" s="129">
        <f>'Dashboard Metrics'!H35</f>
        <v>15.667952643315759</v>
      </c>
    </row>
    <row r="102" spans="2:18" ht="16.5">
      <c r="B102" s="271" t="str">
        <f>'Dashboard Metrics'!C41</f>
        <v>OUTCOME METRICS</v>
      </c>
      <c r="C102" s="258"/>
      <c r="D102" s="258"/>
      <c r="E102" s="258"/>
      <c r="F102" s="258"/>
      <c r="G102" s="258"/>
      <c r="H102" s="258"/>
      <c r="I102" s="258"/>
      <c r="J102" s="258"/>
      <c r="K102" s="258"/>
      <c r="L102" s="258"/>
      <c r="M102" s="258"/>
      <c r="N102" s="258"/>
      <c r="O102" s="258"/>
      <c r="P102" s="258"/>
      <c r="Q102" s="258"/>
      <c r="R102" s="258"/>
    </row>
    <row r="108" spans="2:18">
      <c r="D108" s="503" t="str">
        <f>C110</f>
        <v>Spending per completion</v>
      </c>
      <c r="E108" s="503"/>
      <c r="F108" s="503" t="str">
        <f>C111</f>
        <v xml:space="preserve">Completions per $100,000 of spending </v>
      </c>
      <c r="G108" s="503"/>
      <c r="M108" s="27" t="str">
        <f>'Dashboard Metrics'!$D$4</f>
        <v>Abilene Christian University</v>
      </c>
      <c r="N108" s="27" t="str">
        <f>'Dashboard Metrics'!$H$4</f>
        <v>Private Master's University</v>
      </c>
    </row>
    <row r="109" spans="2:18">
      <c r="D109" s="27" t="str">
        <f>'Dashboard Metrics'!$D$4</f>
        <v>Abilene Christian University</v>
      </c>
      <c r="E109" s="27" t="str">
        <f>'Dashboard Metrics'!$H$4</f>
        <v>Private Master's University</v>
      </c>
      <c r="F109" s="27" t="str">
        <f>'Dashboard Metrics'!$D$4</f>
        <v>Abilene Christian University</v>
      </c>
      <c r="G109" s="27" t="str">
        <f>'Dashboard Metrics'!$H$4</f>
        <v>Private Master's University</v>
      </c>
      <c r="L109" s="27" t="str">
        <f>'Dashboard Metrics'!D48</f>
        <v>Completions per 100 FTE</v>
      </c>
      <c r="M109" s="129">
        <f>'Dashboard Metrics'!E48</f>
        <v>24.148250460405158</v>
      </c>
      <c r="N109" s="129">
        <f>'Dashboard Metrics'!H48</f>
        <v>33.337881923483778</v>
      </c>
    </row>
    <row r="110" spans="2:18">
      <c r="C110" s="27" t="str">
        <f>'Dashboard Metrics'!D43</f>
        <v>Spending per completion</v>
      </c>
      <c r="D110" s="124">
        <f>'Dashboard Metrics'!E43</f>
        <v>117544.06024764622</v>
      </c>
      <c r="E110" s="124">
        <f>'Dashboard Metrics'!H43</f>
        <v>61177.260218872507</v>
      </c>
    </row>
    <row r="111" spans="2:18">
      <c r="C111" s="27" t="str">
        <f>'Dashboard Metrics'!D46</f>
        <v xml:space="preserve">Completions per $100,000 of spending </v>
      </c>
      <c r="F111" s="129">
        <f>'Dashboard Metrics'!E46</f>
        <v>0.85074481678883873</v>
      </c>
      <c r="G111" s="129">
        <f>'Dashboard Metrics'!H46</f>
        <v>2.0616409171986652</v>
      </c>
    </row>
    <row r="128" spans="4:7">
      <c r="D128" s="504" t="str">
        <f>C130</f>
        <v>Student credit hours per completion</v>
      </c>
      <c r="E128" s="503"/>
      <c r="F128" s="503" t="str">
        <f>C131</f>
        <v>Spending per credit hour</v>
      </c>
      <c r="G128" s="503"/>
    </row>
    <row r="129" spans="2:12">
      <c r="D129" s="27" t="str">
        <f>'Dashboard Metrics'!$D$4</f>
        <v>Abilene Christian University</v>
      </c>
      <c r="E129" s="27" t="str">
        <f>'Dashboard Metrics'!$H$4</f>
        <v>Private Master's University</v>
      </c>
      <c r="F129" s="27" t="str">
        <f>'Dashboard Metrics'!$D$4</f>
        <v>Abilene Christian University</v>
      </c>
      <c r="G129" s="27" t="str">
        <f>'Dashboard Metrics'!$H$4</f>
        <v>Private Master's University</v>
      </c>
    </row>
    <row r="130" spans="2:12">
      <c r="C130" s="130" t="str">
        <f>'Dashboard Metrics'!D49</f>
        <v>Student credit hours per completion</v>
      </c>
      <c r="D130" s="130">
        <f>'Dashboard Metrics'!E49</f>
        <v>125.86653956148713</v>
      </c>
      <c r="E130" s="130">
        <f>'Dashboard Metrics'!H49</f>
        <v>90.971299098749569</v>
      </c>
    </row>
    <row r="131" spans="2:12">
      <c r="C131" s="27" t="str">
        <f>'Dashboard Metrics'!D44</f>
        <v>Spending per credit hour</v>
      </c>
      <c r="F131" s="131">
        <f>'Dashboard Metrics'!E44</f>
        <v>933.87854037430418</v>
      </c>
      <c r="G131" s="131">
        <f>'Dashboard Metrics'!H44</f>
        <v>672.48968438347174</v>
      </c>
    </row>
    <row r="140" spans="2:12">
      <c r="B140" s="137" t="s">
        <v>11</v>
      </c>
      <c r="C140" s="138"/>
    </row>
    <row r="141" spans="2:12" ht="24" customHeight="1">
      <c r="B141" s="501" t="s">
        <v>3954</v>
      </c>
      <c r="C141" s="501"/>
      <c r="D141" s="501"/>
      <c r="E141" s="501"/>
      <c r="F141" s="501"/>
      <c r="G141" s="501"/>
      <c r="H141" s="501"/>
      <c r="I141" s="501"/>
      <c r="J141" s="501"/>
      <c r="K141" s="501"/>
      <c r="L141" s="501"/>
    </row>
    <row r="142" spans="2:12">
      <c r="B142" s="502" t="s">
        <v>4266</v>
      </c>
      <c r="C142" s="502"/>
      <c r="D142" s="502"/>
      <c r="E142" s="502"/>
      <c r="F142" s="502"/>
      <c r="G142" s="502"/>
      <c r="H142" s="502"/>
      <c r="I142" s="502"/>
      <c r="J142" s="502"/>
      <c r="K142" s="502"/>
      <c r="L142" s="502"/>
    </row>
  </sheetData>
  <sheetProtection algorithmName="SHA-512" hashValue="75AhISlKgvBon4H3kI/fekeUWahMUUHvr9cpwvqlCIcABk4lKPzWliPgeuh//VOmOozDfd2aRnqGDYTWNzDkLw==" saltValue="93Lt2nKeUsnkVUsTXGmpLg==" spinCount="100000" sheet="1" objects="1" scenarios="1"/>
  <mergeCells count="6">
    <mergeCell ref="B141:L141"/>
    <mergeCell ref="B142:L142"/>
    <mergeCell ref="D108:E108"/>
    <mergeCell ref="F108:G108"/>
    <mergeCell ref="D128:E128"/>
    <mergeCell ref="F128:G12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3CE90-5FD5-4D35-B960-2F100773C676}">
  <sheetPr codeName="Sheet5">
    <tabColor theme="7" tint="0.39997558519241921"/>
  </sheetPr>
  <dimension ref="B1:N61"/>
  <sheetViews>
    <sheetView showGridLines="0" topLeftCell="B1" zoomScaleNormal="100" workbookViewId="0">
      <selection activeCell="B1" sqref="B1"/>
    </sheetView>
  </sheetViews>
  <sheetFormatPr defaultRowHeight="15"/>
  <cols>
    <col min="1" max="1" width="0" hidden="1" customWidth="1"/>
    <col min="2" max="2" width="2.28515625" customWidth="1"/>
    <col min="3" max="3" width="2.42578125" customWidth="1"/>
    <col min="4" max="4" width="70.85546875" customWidth="1"/>
    <col min="5" max="5" width="2.85546875" customWidth="1"/>
    <col min="6" max="6" width="3.85546875" customWidth="1"/>
    <col min="7" max="7" width="15.85546875" customWidth="1"/>
    <col min="8" max="8" width="10" style="1" customWidth="1"/>
    <col min="9" max="9" width="10" customWidth="1"/>
    <col min="10" max="10" width="4.28515625" customWidth="1"/>
    <col min="11" max="11" width="50.7109375" customWidth="1"/>
    <col min="12" max="12" width="13" customWidth="1"/>
    <col min="13" max="13" width="4.7109375" customWidth="1"/>
    <col min="14" max="14" width="9" customWidth="1"/>
    <col min="15" max="15" width="9.140625" customWidth="1"/>
  </cols>
  <sheetData>
    <row r="1" spans="2:14" s="1" customFormat="1" ht="33">
      <c r="B1" s="294"/>
      <c r="C1" s="295" t="s">
        <v>3957</v>
      </c>
      <c r="D1" s="295"/>
      <c r="E1" s="295"/>
      <c r="F1" s="295"/>
      <c r="G1" s="295"/>
      <c r="H1" s="295"/>
      <c r="I1" s="295"/>
      <c r="J1" s="295"/>
      <c r="K1" s="295"/>
      <c r="L1" s="296"/>
      <c r="M1" s="296"/>
      <c r="N1" s="296"/>
    </row>
    <row r="2" spans="2:14" s="1" customFormat="1" ht="8.25" customHeight="1">
      <c r="B2" s="294"/>
      <c r="C2" s="297"/>
      <c r="D2" s="294"/>
      <c r="E2" s="294"/>
      <c r="F2" s="294"/>
      <c r="G2" s="294"/>
      <c r="H2" s="294"/>
      <c r="I2" s="294"/>
      <c r="J2" s="294"/>
      <c r="K2" s="294"/>
      <c r="L2" s="294"/>
      <c r="M2" s="294"/>
      <c r="N2" s="294"/>
    </row>
    <row r="3" spans="2:14" s="1" customFormat="1" ht="21.75" customHeight="1">
      <c r="B3" s="294"/>
      <c r="C3" s="298"/>
      <c r="D3" s="299"/>
      <c r="E3" s="300"/>
      <c r="F3" s="301"/>
      <c r="G3" s="302" t="s">
        <v>4040</v>
      </c>
      <c r="H3" s="302"/>
      <c r="I3" s="303"/>
      <c r="J3" s="304"/>
      <c r="K3" s="304"/>
      <c r="L3" s="304"/>
      <c r="M3" s="304"/>
      <c r="N3" s="304"/>
    </row>
    <row r="4" spans="2:14" s="39" customFormat="1" ht="21.75" customHeight="1">
      <c r="B4" s="305"/>
      <c r="C4" s="306"/>
      <c r="D4" s="307" t="str">
        <f>Affordability!D4</f>
        <v>Abilene Christian University</v>
      </c>
      <c r="E4" s="308"/>
      <c r="F4" s="305"/>
      <c r="G4" s="309" t="s">
        <v>4027</v>
      </c>
      <c r="H4" s="309"/>
      <c r="I4" s="310"/>
      <c r="J4" s="311"/>
      <c r="K4" s="311"/>
      <c r="L4" s="311"/>
      <c r="M4" s="311"/>
      <c r="N4" s="311"/>
    </row>
    <row r="5" spans="2:14" s="39" customFormat="1" ht="21.75" customHeight="1">
      <c r="B5" s="305"/>
      <c r="C5" s="312"/>
      <c r="D5" s="313" t="str">
        <f>Affordability!D5</f>
        <v>Private Master's University</v>
      </c>
      <c r="E5" s="314"/>
      <c r="F5" s="305"/>
      <c r="G5" s="315" t="s">
        <v>4026</v>
      </c>
      <c r="H5" s="315"/>
      <c r="I5" s="316"/>
      <c r="J5" s="311"/>
      <c r="K5" s="311"/>
      <c r="L5" s="311"/>
      <c r="M5" s="311"/>
      <c r="N5" s="311"/>
    </row>
    <row r="6" spans="2:14" s="12" customFormat="1" ht="9" customHeight="1">
      <c r="B6" s="317"/>
      <c r="C6" s="317"/>
      <c r="D6" s="317"/>
      <c r="E6" s="317"/>
      <c r="F6" s="317"/>
      <c r="G6" s="318"/>
      <c r="H6" s="318"/>
      <c r="I6" s="319"/>
      <c r="J6" s="319"/>
      <c r="K6" s="317"/>
      <c r="L6" s="317"/>
      <c r="M6" s="317"/>
      <c r="N6" s="317"/>
    </row>
    <row r="7" spans="2:14" s="12" customFormat="1" ht="12" customHeight="1">
      <c r="B7" s="317"/>
      <c r="C7" s="320"/>
      <c r="D7" s="320"/>
      <c r="E7" s="320"/>
      <c r="F7" s="320"/>
      <c r="G7" s="321"/>
      <c r="H7" s="321"/>
      <c r="I7" s="322"/>
      <c r="J7" s="322"/>
      <c r="K7" s="323"/>
      <c r="L7" s="323"/>
      <c r="M7" s="323"/>
      <c r="N7" s="323"/>
    </row>
    <row r="8" spans="2:14" s="12" customFormat="1" ht="17.45" customHeight="1">
      <c r="B8" s="317"/>
      <c r="C8" s="324" t="s">
        <v>4003</v>
      </c>
      <c r="D8" s="325"/>
      <c r="E8" s="325"/>
      <c r="F8" s="325"/>
      <c r="G8" s="326"/>
      <c r="H8" s="318"/>
      <c r="I8" s="327"/>
      <c r="J8" s="328"/>
      <c r="K8" s="329" t="s">
        <v>4005</v>
      </c>
      <c r="L8" s="330"/>
      <c r="M8" s="331"/>
      <c r="N8" s="317"/>
    </row>
    <row r="9" spans="2:14">
      <c r="B9" s="332"/>
      <c r="C9" s="332"/>
      <c r="D9" s="332"/>
      <c r="E9" s="332"/>
      <c r="F9" s="332"/>
      <c r="G9" s="332"/>
      <c r="H9" s="294"/>
      <c r="I9" s="327"/>
      <c r="J9" s="333"/>
      <c r="K9" s="334" t="s">
        <v>4006</v>
      </c>
      <c r="L9" s="335"/>
      <c r="M9" s="336"/>
      <c r="N9" s="332"/>
    </row>
    <row r="10" spans="2:14" ht="15.75">
      <c r="B10" s="332"/>
      <c r="C10" s="337" t="s">
        <v>4028</v>
      </c>
      <c r="D10" s="338"/>
      <c r="E10" s="339"/>
      <c r="F10" s="339"/>
      <c r="G10" s="339"/>
      <c r="H10" s="340"/>
      <c r="I10" s="327"/>
      <c r="J10" s="333"/>
      <c r="K10" s="335"/>
      <c r="L10" s="341" t="s">
        <v>4265</v>
      </c>
      <c r="M10" s="342"/>
      <c r="N10" s="332"/>
    </row>
    <row r="11" spans="2:14">
      <c r="B11" s="332"/>
      <c r="C11" s="343"/>
      <c r="D11" s="343"/>
      <c r="E11" s="343"/>
      <c r="F11" s="343"/>
      <c r="G11" s="343"/>
      <c r="H11" s="344"/>
      <c r="I11" s="345"/>
      <c r="J11" s="333"/>
      <c r="K11" s="346" t="s">
        <v>3798</v>
      </c>
      <c r="L11" s="347">
        <f>'ROI Calculations'!L11</f>
        <v>3666</v>
      </c>
      <c r="M11" s="348"/>
      <c r="N11" s="332"/>
    </row>
    <row r="12" spans="2:14">
      <c r="B12" s="332"/>
      <c r="C12" s="343"/>
      <c r="D12" s="349" t="s">
        <v>4007</v>
      </c>
      <c r="E12" s="332"/>
      <c r="F12" s="350"/>
      <c r="G12" s="289"/>
      <c r="H12" s="351"/>
      <c r="I12" s="327"/>
      <c r="J12" s="333"/>
      <c r="K12" s="346" t="s">
        <v>4037</v>
      </c>
      <c r="L12" s="291"/>
      <c r="M12" s="348"/>
      <c r="N12" s="332"/>
    </row>
    <row r="13" spans="2:14">
      <c r="B13" s="332"/>
      <c r="C13" s="343"/>
      <c r="D13" s="349"/>
      <c r="E13" s="332"/>
      <c r="F13" s="350"/>
      <c r="G13" s="353"/>
      <c r="H13" s="351"/>
      <c r="I13" s="327"/>
      <c r="J13" s="333"/>
      <c r="K13" s="354"/>
      <c r="L13" s="354"/>
      <c r="M13" s="348"/>
      <c r="N13" s="332"/>
    </row>
    <row r="14" spans="2:14">
      <c r="B14" s="332"/>
      <c r="C14" s="343"/>
      <c r="D14" s="355" t="s">
        <v>4023</v>
      </c>
      <c r="E14" s="332"/>
      <c r="F14" s="356"/>
      <c r="G14" s="357">
        <f>'ROI Calculations'!P23</f>
        <v>0</v>
      </c>
      <c r="H14" s="358"/>
      <c r="I14" s="327"/>
      <c r="J14" s="333"/>
      <c r="K14" s="359" t="s">
        <v>3800</v>
      </c>
      <c r="L14" s="347">
        <f>'ROI Calculations'!L14</f>
        <v>132034</v>
      </c>
      <c r="M14" s="348"/>
      <c r="N14" s="332"/>
    </row>
    <row r="15" spans="2:14" ht="16.5" customHeight="1">
      <c r="B15" s="332"/>
      <c r="C15" s="343"/>
      <c r="D15" s="505" t="s">
        <v>4032</v>
      </c>
      <c r="E15" s="332"/>
      <c r="F15" s="356"/>
      <c r="G15" s="360"/>
      <c r="H15" s="358"/>
      <c r="I15" s="327"/>
      <c r="J15" s="333"/>
      <c r="K15" s="359" t="s">
        <v>3801</v>
      </c>
      <c r="L15" s="291"/>
      <c r="M15" s="348"/>
      <c r="N15" s="332"/>
    </row>
    <row r="16" spans="2:14">
      <c r="B16" s="332"/>
      <c r="C16" s="343"/>
      <c r="D16" s="505"/>
      <c r="E16" s="332"/>
      <c r="F16" s="356"/>
      <c r="G16" s="360"/>
      <c r="H16" s="358"/>
      <c r="I16" s="327"/>
      <c r="J16" s="333"/>
      <c r="K16" s="359"/>
      <c r="L16" s="361"/>
      <c r="M16" s="348"/>
      <c r="N16" s="332"/>
    </row>
    <row r="17" spans="2:14">
      <c r="B17" s="332"/>
      <c r="C17" s="362"/>
      <c r="D17" s="362"/>
      <c r="E17" s="362"/>
      <c r="F17" s="362"/>
      <c r="G17" s="362"/>
      <c r="H17" s="344"/>
      <c r="I17" s="327"/>
      <c r="J17" s="333"/>
      <c r="K17" s="363" t="s">
        <v>4008</v>
      </c>
      <c r="L17" s="364">
        <f>L14/L11</f>
        <v>36.01582105837425</v>
      </c>
      <c r="M17" s="348"/>
      <c r="N17" s="332"/>
    </row>
    <row r="18" spans="2:14" ht="15" customHeight="1">
      <c r="B18" s="332"/>
      <c r="C18" s="365" t="s">
        <v>4029</v>
      </c>
      <c r="D18" s="344"/>
      <c r="E18" s="340"/>
      <c r="F18" s="340"/>
      <c r="G18" s="340"/>
      <c r="H18" s="294"/>
      <c r="I18" s="327"/>
      <c r="J18" s="333"/>
      <c r="K18" s="363" t="s">
        <v>4009</v>
      </c>
      <c r="L18" s="366">
        <f>L15/L14</f>
        <v>0</v>
      </c>
      <c r="M18" s="348"/>
      <c r="N18" s="332"/>
    </row>
    <row r="19" spans="2:14">
      <c r="B19" s="332"/>
      <c r="C19" s="332"/>
      <c r="D19" s="332"/>
      <c r="E19" s="332"/>
      <c r="F19" s="332"/>
      <c r="G19" s="332"/>
      <c r="H19" s="340"/>
      <c r="I19" s="327"/>
      <c r="J19" s="333"/>
      <c r="K19" s="354"/>
      <c r="L19" s="354"/>
      <c r="M19" s="348"/>
      <c r="N19" s="294"/>
    </row>
    <row r="20" spans="2:14">
      <c r="B20" s="332"/>
      <c r="C20" s="332"/>
      <c r="D20" s="367" t="s">
        <v>4008</v>
      </c>
      <c r="E20" s="332"/>
      <c r="F20" s="368"/>
      <c r="G20" s="364">
        <f>L17</f>
        <v>36.01582105837425</v>
      </c>
      <c r="H20" s="294"/>
      <c r="I20" s="327"/>
      <c r="J20" s="333"/>
      <c r="K20" s="359" t="s">
        <v>3787</v>
      </c>
      <c r="L20" s="292"/>
      <c r="M20" s="348"/>
      <c r="N20" s="294"/>
    </row>
    <row r="21" spans="2:14">
      <c r="B21" s="332"/>
      <c r="C21" s="332"/>
      <c r="D21" s="349" t="s">
        <v>4004</v>
      </c>
      <c r="E21" s="332"/>
      <c r="F21" s="350"/>
      <c r="G21" s="290"/>
      <c r="H21" s="371"/>
      <c r="I21" s="327"/>
      <c r="J21" s="333"/>
      <c r="K21" s="359" t="s">
        <v>3802</v>
      </c>
      <c r="L21" s="292"/>
      <c r="M21" s="348"/>
      <c r="N21" s="294"/>
    </row>
    <row r="22" spans="2:14">
      <c r="B22" s="332"/>
      <c r="C22" s="332"/>
      <c r="D22" s="332"/>
      <c r="E22" s="332"/>
      <c r="F22" s="332"/>
      <c r="G22" s="332"/>
      <c r="H22" s="371"/>
      <c r="I22" s="327"/>
      <c r="J22" s="333"/>
      <c r="K22" s="354"/>
      <c r="L22" s="354"/>
      <c r="M22" s="348"/>
      <c r="N22" s="294"/>
    </row>
    <row r="23" spans="2:14">
      <c r="B23" s="332"/>
      <c r="C23" s="332"/>
      <c r="D23" s="355" t="s">
        <v>4024</v>
      </c>
      <c r="E23" s="332"/>
      <c r="F23" s="356"/>
      <c r="G23" s="357">
        <f>'ROI Calculations'!P30</f>
        <v>0</v>
      </c>
      <c r="H23" s="372"/>
      <c r="I23" s="327"/>
      <c r="J23" s="333"/>
      <c r="K23" s="373" t="s">
        <v>4013</v>
      </c>
      <c r="L23" s="374"/>
      <c r="M23" s="348"/>
      <c r="N23" s="294"/>
    </row>
    <row r="24" spans="2:14" ht="15" customHeight="1">
      <c r="B24" s="332"/>
      <c r="C24" s="343"/>
      <c r="D24" s="505" t="s">
        <v>4031</v>
      </c>
      <c r="E24" s="375"/>
      <c r="F24" s="375"/>
      <c r="G24" s="372"/>
      <c r="H24" s="372"/>
      <c r="I24" s="327"/>
      <c r="J24" s="333"/>
      <c r="K24" s="376"/>
      <c r="L24" s="354"/>
      <c r="M24" s="348"/>
      <c r="N24" s="294"/>
    </row>
    <row r="25" spans="2:14">
      <c r="B25" s="332"/>
      <c r="C25" s="343"/>
      <c r="D25" s="505"/>
      <c r="E25" s="375"/>
      <c r="F25" s="375"/>
      <c r="G25" s="343"/>
      <c r="H25" s="372"/>
      <c r="I25" s="327"/>
      <c r="J25" s="333"/>
      <c r="K25" s="354" t="s">
        <v>3829</v>
      </c>
      <c r="L25" s="292"/>
      <c r="M25" s="348"/>
      <c r="N25" s="294"/>
    </row>
    <row r="26" spans="2:14">
      <c r="B26" s="332"/>
      <c r="C26" s="343"/>
      <c r="D26" s="332"/>
      <c r="E26" s="375"/>
      <c r="F26" s="375"/>
      <c r="G26" s="343"/>
      <c r="H26" s="294"/>
      <c r="I26" s="345"/>
      <c r="J26" s="333"/>
      <c r="K26" s="361"/>
      <c r="L26" s="361"/>
      <c r="M26" s="348"/>
      <c r="N26" s="294"/>
    </row>
    <row r="27" spans="2:14">
      <c r="B27" s="332"/>
      <c r="C27" s="324" t="s">
        <v>3963</v>
      </c>
      <c r="D27" s="325"/>
      <c r="E27" s="325"/>
      <c r="F27" s="325"/>
      <c r="G27" s="326"/>
      <c r="H27" s="294"/>
      <c r="I27" s="327"/>
      <c r="J27" s="333"/>
      <c r="K27" s="354" t="s">
        <v>3827</v>
      </c>
      <c r="L27" s="292"/>
      <c r="M27" s="348"/>
      <c r="N27" s="294"/>
    </row>
    <row r="28" spans="2:14">
      <c r="B28" s="332"/>
      <c r="C28" s="332"/>
      <c r="D28" s="332"/>
      <c r="E28" s="332"/>
      <c r="F28" s="332"/>
      <c r="G28" s="332"/>
      <c r="H28" s="297"/>
      <c r="I28" s="327"/>
      <c r="J28" s="333"/>
      <c r="K28" s="377" t="s">
        <v>3830</v>
      </c>
      <c r="L28" s="292"/>
      <c r="M28" s="348"/>
      <c r="N28" s="294"/>
    </row>
    <row r="29" spans="2:14">
      <c r="B29" s="332"/>
      <c r="C29" s="337" t="s">
        <v>4030</v>
      </c>
      <c r="D29" s="338"/>
      <c r="E29" s="339"/>
      <c r="F29" s="339"/>
      <c r="G29" s="339"/>
      <c r="H29" s="294"/>
      <c r="I29" s="378"/>
      <c r="J29" s="333"/>
      <c r="K29" s="354" t="s">
        <v>3828</v>
      </c>
      <c r="L29" s="292"/>
      <c r="M29" s="348"/>
      <c r="N29" s="332"/>
    </row>
    <row r="30" spans="2:14">
      <c r="B30" s="332"/>
      <c r="C30" s="365"/>
      <c r="D30" s="344"/>
      <c r="E30" s="340"/>
      <c r="F30" s="340"/>
      <c r="G30" s="340"/>
      <c r="H30" s="372"/>
      <c r="I30" s="378"/>
      <c r="J30" s="333"/>
      <c r="K30" s="335"/>
      <c r="L30" s="335"/>
      <c r="M30" s="348"/>
      <c r="N30" s="332"/>
    </row>
    <row r="31" spans="2:14">
      <c r="B31" s="332"/>
      <c r="C31" s="332"/>
      <c r="D31" s="332"/>
      <c r="E31" s="367" t="s">
        <v>4009</v>
      </c>
      <c r="F31" s="368"/>
      <c r="G31" s="366">
        <f>L18</f>
        <v>0</v>
      </c>
      <c r="H31" s="372"/>
      <c r="I31" s="327"/>
      <c r="J31" s="379"/>
      <c r="K31" s="380" t="s">
        <v>3803</v>
      </c>
      <c r="L31" s="381"/>
      <c r="M31" s="382"/>
      <c r="N31" s="332"/>
    </row>
    <row r="32" spans="2:14">
      <c r="B32" s="332"/>
      <c r="C32" s="332"/>
      <c r="D32" s="332"/>
      <c r="E32" s="383" t="s">
        <v>4010</v>
      </c>
      <c r="F32" s="384"/>
      <c r="G32" s="289"/>
      <c r="H32" s="372"/>
      <c r="I32" s="327"/>
      <c r="J32" s="294"/>
      <c r="K32" s="294"/>
      <c r="L32" s="294"/>
      <c r="M32" s="385"/>
      <c r="N32" s="332"/>
    </row>
    <row r="33" spans="2:14" ht="15" customHeight="1">
      <c r="B33" s="332"/>
      <c r="C33" s="332"/>
      <c r="D33" s="386"/>
      <c r="E33" s="387"/>
      <c r="F33" s="387"/>
      <c r="G33" s="351"/>
      <c r="H33" s="388"/>
      <c r="I33" s="327"/>
      <c r="J33" s="294"/>
      <c r="K33" s="294"/>
      <c r="L33" s="294"/>
      <c r="M33" s="385"/>
      <c r="N33" s="332"/>
    </row>
    <row r="34" spans="2:14" ht="35.1" customHeight="1">
      <c r="B34" s="332"/>
      <c r="C34" s="389"/>
      <c r="D34" s="390" t="s">
        <v>4019</v>
      </c>
      <c r="E34" s="391"/>
      <c r="F34" s="391"/>
      <c r="G34" s="391"/>
      <c r="H34" s="388"/>
      <c r="I34" s="327"/>
      <c r="J34" s="294"/>
      <c r="K34" s="294"/>
      <c r="L34" s="294"/>
      <c r="M34" s="385"/>
      <c r="N34" s="332"/>
    </row>
    <row r="35" spans="2:14">
      <c r="B35" s="332"/>
      <c r="C35" s="343"/>
      <c r="D35" s="392"/>
      <c r="E35" s="340"/>
      <c r="F35" s="340"/>
      <c r="G35" s="340"/>
      <c r="H35" s="388"/>
      <c r="I35" s="327"/>
      <c r="J35" s="294"/>
      <c r="K35" s="294"/>
      <c r="L35" s="294"/>
      <c r="M35" s="385"/>
      <c r="N35" s="332"/>
    </row>
    <row r="36" spans="2:14" ht="15" customHeight="1">
      <c r="B36" s="332"/>
      <c r="C36" s="332"/>
      <c r="D36" s="393" t="s">
        <v>4016</v>
      </c>
      <c r="E36" s="332"/>
      <c r="F36" s="394"/>
      <c r="G36" s="357">
        <f>'ROI Calculations'!P38</f>
        <v>0</v>
      </c>
      <c r="H36" s="294"/>
      <c r="I36" s="327"/>
      <c r="J36" s="294"/>
      <c r="K36" s="294"/>
      <c r="L36" s="294"/>
      <c r="M36" s="385"/>
      <c r="N36" s="332"/>
    </row>
    <row r="37" spans="2:14" ht="25.5">
      <c r="B37" s="332"/>
      <c r="C37" s="332"/>
      <c r="D37" s="395" t="s">
        <v>4033</v>
      </c>
      <c r="E37" s="332"/>
      <c r="F37" s="394"/>
      <c r="G37" s="396"/>
      <c r="H37" s="294"/>
      <c r="I37" s="327"/>
      <c r="J37" s="294"/>
      <c r="K37" s="294"/>
      <c r="L37" s="294"/>
      <c r="M37" s="385"/>
      <c r="N37" s="332"/>
    </row>
    <row r="38" spans="2:14">
      <c r="B38" s="332"/>
      <c r="C38" s="332"/>
      <c r="D38" s="393" t="s">
        <v>4018</v>
      </c>
      <c r="E38" s="332"/>
      <c r="F38" s="397"/>
      <c r="G38" s="357">
        <f>'ROI Calculations'!Q40</f>
        <v>0</v>
      </c>
      <c r="H38" s="372"/>
      <c r="I38" s="327"/>
      <c r="J38" s="294"/>
      <c r="K38" s="294"/>
      <c r="L38" s="294"/>
      <c r="M38" s="385"/>
      <c r="N38" s="332"/>
    </row>
    <row r="39" spans="2:14" ht="25.5">
      <c r="B39" s="332"/>
      <c r="C39" s="343"/>
      <c r="D39" s="395" t="s">
        <v>4035</v>
      </c>
      <c r="E39" s="332"/>
      <c r="F39" s="332"/>
      <c r="G39" s="332"/>
      <c r="H39" s="372"/>
      <c r="I39" s="327"/>
      <c r="J39" s="294"/>
      <c r="K39" s="294"/>
      <c r="L39" s="294"/>
      <c r="M39" s="294"/>
      <c r="N39" s="332"/>
    </row>
    <row r="40" spans="2:14" ht="28.5" customHeight="1">
      <c r="B40" s="332"/>
      <c r="C40" s="389"/>
      <c r="D40" s="398" t="s">
        <v>4020</v>
      </c>
      <c r="E40" s="391"/>
      <c r="F40" s="391"/>
      <c r="G40" s="391"/>
      <c r="H40" s="399"/>
      <c r="I40" s="327"/>
      <c r="J40" s="294"/>
      <c r="K40" s="294"/>
      <c r="L40" s="294"/>
      <c r="M40" s="294"/>
      <c r="N40" s="332"/>
    </row>
    <row r="41" spans="2:14">
      <c r="B41" s="332"/>
      <c r="C41" s="343"/>
      <c r="D41" s="365"/>
      <c r="E41" s="340"/>
      <c r="F41" s="340"/>
      <c r="G41" s="340"/>
      <c r="H41" s="399"/>
      <c r="I41" s="327"/>
      <c r="J41" s="294"/>
      <c r="K41" s="294"/>
      <c r="L41" s="294"/>
      <c r="M41" s="294"/>
      <c r="N41" s="332"/>
    </row>
    <row r="42" spans="2:14">
      <c r="B42" s="332"/>
      <c r="C42" s="332"/>
      <c r="D42" s="393" t="s">
        <v>4017</v>
      </c>
      <c r="E42" s="400"/>
      <c r="F42" s="394"/>
      <c r="G42" s="357">
        <f>'ROI Calculations'!P39</f>
        <v>0</v>
      </c>
      <c r="H42" s="399"/>
      <c r="I42" s="327"/>
      <c r="J42" s="332"/>
      <c r="K42" s="332"/>
      <c r="L42" s="332"/>
      <c r="M42" s="332"/>
      <c r="N42" s="332"/>
    </row>
    <row r="43" spans="2:14" ht="25.5" customHeight="1">
      <c r="B43" s="332"/>
      <c r="C43" s="332"/>
      <c r="D43" s="395" t="s">
        <v>4034</v>
      </c>
      <c r="E43" s="400"/>
      <c r="F43" s="394"/>
      <c r="G43" s="396"/>
      <c r="H43" s="399"/>
      <c r="I43" s="327"/>
      <c r="J43" s="332"/>
      <c r="K43" s="332"/>
      <c r="L43" s="332"/>
      <c r="M43" s="332"/>
      <c r="N43" s="332"/>
    </row>
    <row r="44" spans="2:14" ht="15" customHeight="1">
      <c r="B44" s="332"/>
      <c r="C44" s="332"/>
      <c r="D44" s="393" t="s">
        <v>4038</v>
      </c>
      <c r="E44" s="400"/>
      <c r="F44" s="397"/>
      <c r="G44" s="357">
        <f>'ROI Calculations'!Q41</f>
        <v>0</v>
      </c>
      <c r="H44" s="399"/>
      <c r="I44" s="327"/>
      <c r="J44" s="332"/>
      <c r="K44" s="332"/>
      <c r="L44" s="332"/>
      <c r="M44" s="332"/>
      <c r="N44" s="332"/>
    </row>
    <row r="45" spans="2:14" ht="25.5" customHeight="1">
      <c r="B45" s="332"/>
      <c r="C45" s="332"/>
      <c r="D45" s="395" t="s">
        <v>4036</v>
      </c>
      <c r="E45" s="332"/>
      <c r="F45" s="332"/>
      <c r="G45" s="332"/>
      <c r="H45" s="399"/>
      <c r="I45" s="327"/>
      <c r="J45" s="332"/>
      <c r="K45" s="332"/>
      <c r="L45" s="332"/>
      <c r="M45" s="332"/>
      <c r="N45" s="332"/>
    </row>
    <row r="46" spans="2:14" ht="15" customHeight="1">
      <c r="B46" s="332"/>
      <c r="C46" s="332"/>
      <c r="D46" s="332"/>
      <c r="E46" s="332"/>
      <c r="F46" s="332"/>
      <c r="G46" s="332"/>
      <c r="H46" s="399"/>
      <c r="I46" s="327"/>
      <c r="J46" s="332"/>
      <c r="K46" s="332"/>
      <c r="L46" s="332"/>
      <c r="M46" s="332"/>
      <c r="N46" s="332"/>
    </row>
    <row r="47" spans="2:14">
      <c r="B47" s="332"/>
      <c r="C47" s="324" t="s">
        <v>3642</v>
      </c>
      <c r="D47" s="325"/>
      <c r="E47" s="325"/>
      <c r="F47" s="325"/>
      <c r="G47" s="326"/>
      <c r="H47" s="399"/>
      <c r="I47" s="327"/>
      <c r="J47" s="332"/>
      <c r="K47" s="332"/>
      <c r="L47" s="332"/>
      <c r="M47" s="332"/>
      <c r="N47" s="332"/>
    </row>
    <row r="48" spans="2:14">
      <c r="B48" s="332"/>
      <c r="C48" s="332"/>
      <c r="D48" s="332"/>
      <c r="E48" s="332"/>
      <c r="F48" s="332"/>
      <c r="G48" s="332"/>
      <c r="H48" s="399"/>
      <c r="I48" s="327"/>
      <c r="J48" s="332"/>
      <c r="K48" s="332"/>
      <c r="L48" s="332"/>
      <c r="M48" s="332"/>
      <c r="N48" s="332"/>
    </row>
    <row r="49" spans="2:14">
      <c r="B49" s="332"/>
      <c r="C49" s="337" t="s">
        <v>4011</v>
      </c>
      <c r="D49" s="338"/>
      <c r="E49" s="339"/>
      <c r="F49" s="339"/>
      <c r="G49" s="401"/>
      <c r="H49" s="399"/>
      <c r="I49" s="327"/>
      <c r="J49" s="332"/>
      <c r="K49" s="332"/>
      <c r="L49" s="332"/>
      <c r="M49" s="332"/>
      <c r="N49" s="332"/>
    </row>
    <row r="50" spans="2:14" ht="25.5">
      <c r="B50" s="332"/>
      <c r="C50" s="332"/>
      <c r="D50" s="402" t="s">
        <v>45</v>
      </c>
      <c r="E50" s="403"/>
      <c r="F50" s="403"/>
      <c r="G50" s="404" t="str">
        <f>IF(L25&lt;&gt;0,L28/L25,"")</f>
        <v/>
      </c>
      <c r="H50" s="399"/>
      <c r="I50" s="327"/>
      <c r="J50" s="332"/>
      <c r="K50" s="332"/>
      <c r="L50" s="332"/>
      <c r="M50" s="332"/>
      <c r="N50" s="332"/>
    </row>
    <row r="51" spans="2:14">
      <c r="B51" s="332"/>
      <c r="C51" s="362"/>
      <c r="D51" s="405"/>
      <c r="E51" s="405"/>
      <c r="F51" s="405"/>
      <c r="G51" s="406"/>
      <c r="H51" s="399"/>
      <c r="I51" s="327"/>
      <c r="J51" s="332"/>
      <c r="K51" s="332"/>
      <c r="L51" s="332"/>
      <c r="M51" s="332"/>
      <c r="N51" s="332"/>
    </row>
    <row r="52" spans="2:14">
      <c r="B52" s="332"/>
      <c r="C52" s="337" t="s">
        <v>4012</v>
      </c>
      <c r="D52" s="338"/>
      <c r="E52" s="339"/>
      <c r="F52" s="339"/>
      <c r="G52" s="401"/>
      <c r="H52" s="399"/>
      <c r="I52" s="327"/>
      <c r="J52" s="332"/>
      <c r="K52" s="332"/>
      <c r="L52" s="332"/>
      <c r="M52" s="332"/>
      <c r="N52" s="332"/>
    </row>
    <row r="53" spans="2:14" ht="38.25">
      <c r="B53" s="332"/>
      <c r="C53" s="332"/>
      <c r="D53" s="402" t="s">
        <v>3831</v>
      </c>
      <c r="E53" s="407"/>
      <c r="F53" s="407"/>
      <c r="G53" s="404" t="str">
        <f>IF(L29&lt;&gt;0,L27/L29,"")</f>
        <v/>
      </c>
      <c r="H53" s="399"/>
      <c r="I53" s="327"/>
      <c r="J53" s="332"/>
      <c r="K53" s="332"/>
      <c r="L53" s="332"/>
      <c r="M53" s="332"/>
      <c r="N53" s="332"/>
    </row>
    <row r="54" spans="2:14">
      <c r="B54" s="332"/>
      <c r="C54" s="332"/>
      <c r="D54" s="332"/>
      <c r="E54" s="332"/>
      <c r="F54" s="332"/>
      <c r="G54" s="332"/>
      <c r="H54" s="294"/>
      <c r="I54" s="332"/>
      <c r="J54" s="332"/>
      <c r="K54" s="332"/>
      <c r="L54" s="332"/>
      <c r="M54" s="332"/>
      <c r="N54" s="332"/>
    </row>
    <row r="55" spans="2:14">
      <c r="B55" s="332"/>
      <c r="C55" s="332"/>
      <c r="D55" s="332"/>
      <c r="E55" s="332"/>
      <c r="F55" s="332"/>
      <c r="G55" s="332"/>
      <c r="H55" s="294"/>
      <c r="I55" s="332"/>
      <c r="J55" s="332"/>
      <c r="K55" s="332"/>
      <c r="L55" s="332"/>
      <c r="M55" s="332"/>
      <c r="N55" s="332"/>
    </row>
    <row r="56" spans="2:14">
      <c r="B56" s="332"/>
      <c r="C56" s="408" t="s">
        <v>11</v>
      </c>
      <c r="D56" s="332"/>
      <c r="E56" s="332"/>
      <c r="F56" s="332"/>
      <c r="G56" s="332"/>
      <c r="H56" s="294"/>
      <c r="I56" s="332"/>
      <c r="J56" s="332"/>
      <c r="K56" s="332"/>
      <c r="L56" s="332"/>
      <c r="M56" s="332"/>
      <c r="N56" s="332"/>
    </row>
    <row r="57" spans="2:14">
      <c r="B57" s="332"/>
      <c r="C57" s="409" t="s">
        <v>3954</v>
      </c>
      <c r="D57" s="332"/>
      <c r="E57" s="408"/>
      <c r="F57" s="408"/>
      <c r="G57" s="332"/>
      <c r="H57" s="294"/>
      <c r="I57" s="332"/>
      <c r="J57" s="332"/>
      <c r="K57" s="332"/>
      <c r="L57" s="332"/>
      <c r="M57" s="332"/>
      <c r="N57" s="332"/>
    </row>
    <row r="58" spans="2:14">
      <c r="B58" s="332"/>
      <c r="C58" s="410" t="s">
        <v>4014</v>
      </c>
      <c r="D58" s="332"/>
      <c r="E58" s="409"/>
      <c r="F58" s="409"/>
      <c r="G58" s="332"/>
      <c r="H58" s="294"/>
      <c r="I58" s="332"/>
      <c r="J58" s="332"/>
      <c r="K58" s="332"/>
      <c r="L58" s="332"/>
      <c r="M58" s="332"/>
      <c r="N58" s="332"/>
    </row>
    <row r="59" spans="2:14">
      <c r="B59" s="332"/>
      <c r="C59" s="410" t="s">
        <v>4015</v>
      </c>
      <c r="D59" s="332"/>
      <c r="E59" s="332"/>
      <c r="F59" s="332"/>
      <c r="G59" s="332"/>
      <c r="H59" s="294"/>
      <c r="I59" s="332"/>
      <c r="J59" s="332"/>
      <c r="K59" s="332"/>
      <c r="L59" s="332"/>
      <c r="M59" s="332"/>
      <c r="N59" s="332"/>
    </row>
    <row r="60" spans="2:14">
      <c r="B60" s="332"/>
      <c r="C60" s="410" t="s">
        <v>4021</v>
      </c>
      <c r="D60" s="332"/>
      <c r="E60" s="332"/>
      <c r="F60" s="332"/>
      <c r="G60" s="332"/>
      <c r="H60" s="294"/>
      <c r="I60" s="332"/>
      <c r="J60" s="332"/>
      <c r="K60" s="332"/>
      <c r="L60" s="332"/>
      <c r="M60" s="332"/>
      <c r="N60" s="332"/>
    </row>
    <row r="61" spans="2:14">
      <c r="B61" s="332"/>
      <c r="C61" s="410" t="s">
        <v>4022</v>
      </c>
      <c r="D61" s="332"/>
      <c r="E61" s="332"/>
      <c r="F61" s="332"/>
      <c r="G61" s="332"/>
      <c r="H61" s="294"/>
      <c r="I61" s="332"/>
      <c r="J61" s="332"/>
      <c r="K61" s="332"/>
      <c r="L61" s="332"/>
      <c r="M61" s="332"/>
      <c r="N61" s="332"/>
    </row>
  </sheetData>
  <sheetProtection algorithmName="SHA-512" hashValue="waDRDKPF/O3nYrUrIkFj6mPgLc4RP28xNden2uKOssdRf6Ldd+x3XhfDh21nGnGS1G60JOj2nciagsS6+9IXbQ==" saltValue="3jqELkTPma4GDarovW05KQ==" spinCount="100000" sheet="1" objects="1" scenarios="1"/>
  <mergeCells count="2">
    <mergeCell ref="D24:D25"/>
    <mergeCell ref="D15:D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7A76-7CBA-411A-85D4-7B3943A30382}">
  <sheetPr>
    <tabColor theme="2" tint="-0.499984740745262"/>
  </sheetPr>
  <dimension ref="B1:Q61"/>
  <sheetViews>
    <sheetView showGridLines="0" topLeftCell="B1" zoomScale="90" zoomScaleNormal="90" workbookViewId="0">
      <selection activeCell="B1" sqref="B1"/>
    </sheetView>
  </sheetViews>
  <sheetFormatPr defaultRowHeight="15"/>
  <cols>
    <col min="1" max="1" width="0" hidden="1" customWidth="1"/>
    <col min="2" max="2" width="2.28515625" customWidth="1"/>
    <col min="3" max="3" width="2.42578125" customWidth="1"/>
    <col min="4" max="4" width="70.85546875" customWidth="1"/>
    <col min="5" max="5" width="2.85546875" customWidth="1"/>
    <col min="6" max="6" width="3.85546875" customWidth="1"/>
    <col min="7" max="7" width="15.85546875" customWidth="1"/>
    <col min="8" max="8" width="10" style="1" customWidth="1"/>
    <col min="9" max="9" width="10" customWidth="1"/>
    <col min="10" max="10" width="4.28515625" customWidth="1"/>
    <col min="11" max="11" width="50.7109375" customWidth="1"/>
    <col min="12" max="12" width="13" customWidth="1"/>
    <col min="13" max="13" width="4.7109375" customWidth="1"/>
    <col min="14" max="14" width="4.85546875" customWidth="1"/>
    <col min="15" max="15" width="72.28515625" customWidth="1"/>
    <col min="16" max="16" width="16" customWidth="1"/>
    <col min="17" max="17" width="19.42578125" customWidth="1"/>
    <col min="18" max="18" width="9.140625" customWidth="1"/>
  </cols>
  <sheetData>
    <row r="1" spans="2:17" s="1" customFormat="1" ht="33">
      <c r="B1" s="294"/>
      <c r="C1" s="295" t="s">
        <v>3957</v>
      </c>
      <c r="D1" s="295"/>
      <c r="E1" s="295"/>
      <c r="F1" s="295"/>
      <c r="G1" s="295"/>
      <c r="H1" s="295"/>
      <c r="I1" s="295"/>
      <c r="J1" s="295"/>
      <c r="K1" s="295"/>
      <c r="L1" s="296"/>
      <c r="M1" s="296"/>
      <c r="N1" s="296"/>
      <c r="O1" s="438" t="s">
        <v>4039</v>
      </c>
      <c r="P1" s="294"/>
      <c r="Q1" s="294"/>
    </row>
    <row r="2" spans="2:17" s="1" customFormat="1" ht="8.25" customHeight="1">
      <c r="B2" s="294"/>
      <c r="C2" s="297"/>
      <c r="D2" s="294"/>
      <c r="E2" s="294"/>
      <c r="F2" s="294"/>
      <c r="G2" s="294"/>
      <c r="H2" s="294"/>
      <c r="I2" s="294"/>
      <c r="J2" s="294"/>
      <c r="K2" s="294"/>
      <c r="L2" s="294"/>
      <c r="M2" s="294"/>
      <c r="N2" s="294"/>
      <c r="O2" s="294"/>
      <c r="P2" s="294"/>
      <c r="Q2" s="294"/>
    </row>
    <row r="3" spans="2:17" s="1" customFormat="1" ht="21.75" customHeight="1">
      <c r="B3" s="294"/>
      <c r="C3" s="298"/>
      <c r="D3" s="299"/>
      <c r="E3" s="300"/>
      <c r="F3" s="301"/>
      <c r="G3" s="302" t="s">
        <v>4025</v>
      </c>
      <c r="H3" s="302"/>
      <c r="I3" s="303"/>
      <c r="J3" s="304"/>
      <c r="K3" s="304"/>
      <c r="L3" s="304"/>
      <c r="M3" s="304"/>
      <c r="N3" s="304"/>
      <c r="O3" s="294"/>
      <c r="P3" s="294"/>
      <c r="Q3" s="294"/>
    </row>
    <row r="4" spans="2:17" s="39" customFormat="1" ht="21.75" customHeight="1">
      <c r="B4" s="305"/>
      <c r="C4" s="306"/>
      <c r="D4" s="307" t="str">
        <f>Affordability!D4</f>
        <v>Abilene Christian University</v>
      </c>
      <c r="E4" s="308"/>
      <c r="F4" s="305"/>
      <c r="G4" s="309" t="s">
        <v>4027</v>
      </c>
      <c r="H4" s="309"/>
      <c r="I4" s="310"/>
      <c r="J4" s="311"/>
      <c r="K4" s="311"/>
      <c r="L4" s="311"/>
      <c r="M4" s="311"/>
      <c r="N4" s="311"/>
      <c r="O4" s="305"/>
      <c r="P4" s="305"/>
      <c r="Q4" s="305"/>
    </row>
    <row r="5" spans="2:17" s="39" customFormat="1" ht="21.75" customHeight="1">
      <c r="B5" s="305"/>
      <c r="C5" s="312"/>
      <c r="D5" s="313" t="str">
        <f>Affordability!D5</f>
        <v>Private Master's University</v>
      </c>
      <c r="E5" s="314"/>
      <c r="F5" s="305"/>
      <c r="G5" s="315" t="s">
        <v>4026</v>
      </c>
      <c r="H5" s="315"/>
      <c r="I5" s="316"/>
      <c r="J5" s="311"/>
      <c r="K5" s="311"/>
      <c r="L5" s="311"/>
      <c r="M5" s="311"/>
      <c r="N5" s="311"/>
      <c r="O5" s="305"/>
      <c r="P5" s="305"/>
      <c r="Q5" s="305"/>
    </row>
    <row r="6" spans="2:17" s="12" customFormat="1" ht="9" customHeight="1">
      <c r="B6" s="317"/>
      <c r="C6" s="317"/>
      <c r="D6" s="317"/>
      <c r="E6" s="317"/>
      <c r="F6" s="317"/>
      <c r="G6" s="318"/>
      <c r="H6" s="318"/>
      <c r="I6" s="319"/>
      <c r="J6" s="319"/>
      <c r="K6" s="317"/>
      <c r="L6" s="317"/>
      <c r="M6" s="317"/>
      <c r="N6" s="317"/>
      <c r="O6" s="317"/>
      <c r="P6" s="317"/>
      <c r="Q6" s="317"/>
    </row>
    <row r="7" spans="2:17" s="12" customFormat="1" ht="12" customHeight="1">
      <c r="B7" s="317"/>
      <c r="C7" s="320"/>
      <c r="D7" s="320"/>
      <c r="E7" s="320"/>
      <c r="F7" s="320"/>
      <c r="G7" s="321"/>
      <c r="H7" s="321"/>
      <c r="I7" s="322"/>
      <c r="J7" s="322"/>
      <c r="K7" s="323"/>
      <c r="L7" s="323"/>
      <c r="M7" s="323"/>
      <c r="N7" s="323"/>
      <c r="O7" s="317"/>
      <c r="P7" s="317"/>
      <c r="Q7" s="317"/>
    </row>
    <row r="8" spans="2:17" s="12" customFormat="1" ht="17.45" customHeight="1">
      <c r="B8" s="317"/>
      <c r="C8" s="324" t="s">
        <v>4003</v>
      </c>
      <c r="D8" s="325"/>
      <c r="E8" s="325"/>
      <c r="F8" s="325"/>
      <c r="G8" s="326"/>
      <c r="H8" s="318"/>
      <c r="I8" s="327"/>
      <c r="J8" s="328"/>
      <c r="K8" s="329" t="s">
        <v>4005</v>
      </c>
      <c r="L8" s="330"/>
      <c r="M8" s="331"/>
      <c r="N8" s="317"/>
      <c r="O8" s="411" t="s">
        <v>3777</v>
      </c>
      <c r="P8" s="412">
        <f>L14/L11</f>
        <v>36.01582105837425</v>
      </c>
      <c r="Q8" s="332"/>
    </row>
    <row r="9" spans="2:17">
      <c r="B9" s="332"/>
      <c r="C9" s="332"/>
      <c r="D9" s="332"/>
      <c r="E9" s="332"/>
      <c r="F9" s="332"/>
      <c r="G9" s="332"/>
      <c r="H9" s="294"/>
      <c r="I9" s="327"/>
      <c r="J9" s="333"/>
      <c r="K9" s="334" t="s">
        <v>4006</v>
      </c>
      <c r="L9" s="335"/>
      <c r="M9" s="336"/>
      <c r="N9" s="332"/>
      <c r="O9" s="411" t="s">
        <v>3778</v>
      </c>
      <c r="P9" s="413">
        <f>IF(L15=0,0,ROUND(L15/L14,3))</f>
        <v>0</v>
      </c>
      <c r="Q9" s="332"/>
    </row>
    <row r="10" spans="2:17" ht="15.75">
      <c r="B10" s="332"/>
      <c r="C10" s="337" t="s">
        <v>4028</v>
      </c>
      <c r="D10" s="338"/>
      <c r="E10" s="339"/>
      <c r="F10" s="339"/>
      <c r="G10" s="339"/>
      <c r="H10" s="340"/>
      <c r="I10" s="327"/>
      <c r="J10" s="333"/>
      <c r="K10" s="335"/>
      <c r="L10" s="341" t="s">
        <v>4265</v>
      </c>
      <c r="M10" s="342"/>
      <c r="N10" s="332"/>
      <c r="O10" s="414" t="s">
        <v>3784</v>
      </c>
      <c r="P10" s="415">
        <f>IF($D$4=""," ",VLOOKUP($D$4,LUMINA_DASH_DATA_FY16_TEMP!$E$6:$AP$2422,34,FALSE))</f>
        <v>0</v>
      </c>
      <c r="Q10" s="332"/>
    </row>
    <row r="11" spans="2:17">
      <c r="B11" s="332"/>
      <c r="C11" s="343"/>
      <c r="D11" s="343"/>
      <c r="E11" s="343"/>
      <c r="F11" s="343"/>
      <c r="G11" s="343"/>
      <c r="H11" s="344"/>
      <c r="I11" s="345"/>
      <c r="J11" s="333"/>
      <c r="K11" s="346" t="s">
        <v>3798</v>
      </c>
      <c r="L11" s="347">
        <f>IF($D$4=""," ",VLOOKUP($D$4,LUMINA_DASH_DATA_FY16_TEMP!$E$6:$AP$2422,35,FALSE))</f>
        <v>3666</v>
      </c>
      <c r="M11" s="348"/>
      <c r="N11" s="332"/>
      <c r="O11" s="411" t="s">
        <v>3785</v>
      </c>
      <c r="P11" s="416">
        <f>P10/L14</f>
        <v>0</v>
      </c>
      <c r="Q11" s="332"/>
    </row>
    <row r="12" spans="2:17">
      <c r="B12" s="332"/>
      <c r="C12" s="343"/>
      <c r="D12" s="349" t="s">
        <v>4007</v>
      </c>
      <c r="E12" s="332"/>
      <c r="F12" s="350"/>
      <c r="G12" s="293">
        <f>'College-Populated Metrics'!G12</f>
        <v>0</v>
      </c>
      <c r="H12" s="351"/>
      <c r="I12" s="327"/>
      <c r="J12" s="333"/>
      <c r="K12" s="346" t="s">
        <v>3799</v>
      </c>
      <c r="L12" s="352">
        <f>'College-Populated Metrics'!L12</f>
        <v>0</v>
      </c>
      <c r="M12" s="348"/>
      <c r="N12" s="332"/>
      <c r="O12" s="335"/>
      <c r="P12" s="417"/>
      <c r="Q12" s="332"/>
    </row>
    <row r="13" spans="2:17">
      <c r="B13" s="332"/>
      <c r="C13" s="343"/>
      <c r="D13" s="349"/>
      <c r="E13" s="332"/>
      <c r="F13" s="350"/>
      <c r="G13" s="353"/>
      <c r="H13" s="351"/>
      <c r="I13" s="327"/>
      <c r="J13" s="333"/>
      <c r="K13" s="354"/>
      <c r="L13" s="354"/>
      <c r="M13" s="348"/>
      <c r="N13" s="332"/>
      <c r="O13" s="418" t="s">
        <v>3786</v>
      </c>
      <c r="P13" s="419">
        <v>0.45</v>
      </c>
      <c r="Q13" s="332"/>
    </row>
    <row r="14" spans="2:17">
      <c r="B14" s="332"/>
      <c r="C14" s="343"/>
      <c r="D14" s="355" t="s">
        <v>4023</v>
      </c>
      <c r="E14" s="332"/>
      <c r="F14" s="356"/>
      <c r="G14" s="357">
        <f>P23</f>
        <v>0</v>
      </c>
      <c r="H14" s="358"/>
      <c r="I14" s="327"/>
      <c r="J14" s="333"/>
      <c r="K14" s="359" t="s">
        <v>3800</v>
      </c>
      <c r="L14" s="347">
        <f>IF($D$4=""," ",VLOOKUP($D$4,LUMINA_DASH_DATA_FY16_TEMP!$E$6:$AP$2422,36,FALSE))</f>
        <v>132034</v>
      </c>
      <c r="M14" s="348"/>
      <c r="N14" s="332"/>
      <c r="O14" s="418"/>
      <c r="P14" s="420"/>
      <c r="Q14" s="332"/>
    </row>
    <row r="15" spans="2:17" ht="16.5" customHeight="1">
      <c r="B15" s="332"/>
      <c r="C15" s="343"/>
      <c r="D15" s="505" t="s">
        <v>4032</v>
      </c>
      <c r="E15" s="332"/>
      <c r="F15" s="356"/>
      <c r="G15" s="360"/>
      <c r="H15" s="358"/>
      <c r="I15" s="327"/>
      <c r="J15" s="333"/>
      <c r="K15" s="359" t="s">
        <v>3801</v>
      </c>
      <c r="L15" s="352">
        <f>'College-Populated Metrics'!L15</f>
        <v>0</v>
      </c>
      <c r="M15" s="348"/>
      <c r="N15" s="332"/>
      <c r="O15" s="418" t="s">
        <v>3793</v>
      </c>
      <c r="P15" s="415">
        <f>IF($D$4=""," ",VLOOKUP($D$4,LUMINA_DASH_DATA_FY16_TEMP!$E$6:$AP$2422,24,FALSE))</f>
        <v>933.87854037430418</v>
      </c>
      <c r="Q15" s="332"/>
    </row>
    <row r="16" spans="2:17">
      <c r="B16" s="332"/>
      <c r="C16" s="343"/>
      <c r="D16" s="505"/>
      <c r="E16" s="332"/>
      <c r="F16" s="356"/>
      <c r="G16" s="360"/>
      <c r="H16" s="358"/>
      <c r="I16" s="327"/>
      <c r="J16" s="333"/>
      <c r="K16" s="359"/>
      <c r="L16" s="361"/>
      <c r="M16" s="348"/>
      <c r="N16" s="332"/>
      <c r="O16" s="332"/>
      <c r="P16" s="332"/>
      <c r="Q16" s="332"/>
    </row>
    <row r="17" spans="2:17">
      <c r="B17" s="332"/>
      <c r="C17" s="362"/>
      <c r="D17" s="362"/>
      <c r="E17" s="362"/>
      <c r="F17" s="362"/>
      <c r="G17" s="362"/>
      <c r="H17" s="344"/>
      <c r="I17" s="327"/>
      <c r="J17" s="333"/>
      <c r="K17" s="363" t="s">
        <v>4008</v>
      </c>
      <c r="L17" s="364">
        <f>L14/L11</f>
        <v>36.01582105837425</v>
      </c>
      <c r="M17" s="348"/>
      <c r="N17" s="332"/>
      <c r="O17" s="332"/>
      <c r="P17" s="332"/>
      <c r="Q17" s="332"/>
    </row>
    <row r="18" spans="2:17" ht="15" customHeight="1">
      <c r="B18" s="332"/>
      <c r="C18" s="365" t="s">
        <v>4029</v>
      </c>
      <c r="D18" s="344"/>
      <c r="E18" s="340"/>
      <c r="F18" s="340"/>
      <c r="G18" s="340"/>
      <c r="H18" s="294"/>
      <c r="I18" s="327"/>
      <c r="J18" s="333"/>
      <c r="K18" s="363" t="s">
        <v>4009</v>
      </c>
      <c r="L18" s="366">
        <f>L15/L14</f>
        <v>0</v>
      </c>
      <c r="M18" s="348"/>
      <c r="N18" s="332"/>
      <c r="O18" s="421" t="s">
        <v>3779</v>
      </c>
      <c r="P18" s="422">
        <f>'College-Populated Metrics'!G12</f>
        <v>0</v>
      </c>
      <c r="Q18" s="332"/>
    </row>
    <row r="19" spans="2:17">
      <c r="B19" s="332"/>
      <c r="C19" s="332"/>
      <c r="D19" s="332"/>
      <c r="E19" s="332"/>
      <c r="F19" s="332"/>
      <c r="G19" s="332"/>
      <c r="H19" s="340"/>
      <c r="I19" s="327"/>
      <c r="J19" s="333"/>
      <c r="K19" s="354"/>
      <c r="L19" s="354"/>
      <c r="M19" s="348"/>
      <c r="N19" s="294"/>
      <c r="O19" s="423" t="s">
        <v>3825</v>
      </c>
      <c r="P19" s="424">
        <f>IF(SUM(L20,L21)&gt;0,SUM(L20,L21,P11),0)</f>
        <v>0</v>
      </c>
      <c r="Q19" s="332"/>
    </row>
    <row r="20" spans="2:17">
      <c r="B20" s="332"/>
      <c r="C20" s="332"/>
      <c r="D20" s="367" t="s">
        <v>4008</v>
      </c>
      <c r="E20" s="332"/>
      <c r="F20" s="368"/>
      <c r="G20" s="364">
        <f>P8</f>
        <v>36.01582105837425</v>
      </c>
      <c r="H20" s="294"/>
      <c r="I20" s="327"/>
      <c r="J20" s="333"/>
      <c r="K20" s="359" t="s">
        <v>3787</v>
      </c>
      <c r="L20" s="369">
        <f>'College-Populated Metrics'!L20</f>
        <v>0</v>
      </c>
      <c r="M20" s="348"/>
      <c r="N20" s="294"/>
      <c r="O20" s="294" t="s">
        <v>3780</v>
      </c>
      <c r="P20" s="425">
        <f>(L11-L12)*0.01</f>
        <v>36.660000000000004</v>
      </c>
      <c r="Q20" s="332"/>
    </row>
    <row r="21" spans="2:17">
      <c r="B21" s="332"/>
      <c r="C21" s="332"/>
      <c r="D21" s="349" t="s">
        <v>4004</v>
      </c>
      <c r="E21" s="332"/>
      <c r="F21" s="350"/>
      <c r="G21" s="370">
        <f>'College-Populated Metrics'!G21</f>
        <v>0</v>
      </c>
      <c r="H21" s="371"/>
      <c r="I21" s="327"/>
      <c r="J21" s="333"/>
      <c r="K21" s="359" t="s">
        <v>3802</v>
      </c>
      <c r="L21" s="369">
        <f>'College-Populated Metrics'!L21</f>
        <v>0</v>
      </c>
      <c r="M21" s="348"/>
      <c r="N21" s="294"/>
      <c r="O21" s="426" t="s">
        <v>3781</v>
      </c>
      <c r="P21" s="425">
        <f>P8</f>
        <v>36.01582105837425</v>
      </c>
      <c r="Q21" s="332"/>
    </row>
    <row r="22" spans="2:17">
      <c r="B22" s="332"/>
      <c r="C22" s="332"/>
      <c r="D22" s="332"/>
      <c r="E22" s="332"/>
      <c r="F22" s="332"/>
      <c r="G22" s="332"/>
      <c r="H22" s="371"/>
      <c r="I22" s="327"/>
      <c r="J22" s="333"/>
      <c r="K22" s="354"/>
      <c r="L22" s="354"/>
      <c r="M22" s="348"/>
      <c r="N22" s="294"/>
      <c r="O22" s="332" t="s">
        <v>3782</v>
      </c>
      <c r="P22" s="427">
        <f>P20*P21*P19*(P18*100)</f>
        <v>0</v>
      </c>
      <c r="Q22" s="332"/>
    </row>
    <row r="23" spans="2:17">
      <c r="B23" s="332"/>
      <c r="C23" s="332"/>
      <c r="D23" s="355" t="s">
        <v>4024</v>
      </c>
      <c r="E23" s="332"/>
      <c r="F23" s="356"/>
      <c r="G23" s="357">
        <f>P30</f>
        <v>0</v>
      </c>
      <c r="H23" s="372"/>
      <c r="I23" s="327"/>
      <c r="J23" s="333"/>
      <c r="K23" s="373" t="s">
        <v>4013</v>
      </c>
      <c r="L23" s="374"/>
      <c r="M23" s="348"/>
      <c r="N23" s="294"/>
      <c r="O23" s="332" t="s">
        <v>3783</v>
      </c>
      <c r="P23" s="427">
        <f>P22-(P13*P22)</f>
        <v>0</v>
      </c>
      <c r="Q23" s="332"/>
    </row>
    <row r="24" spans="2:17" ht="15" customHeight="1">
      <c r="B24" s="332"/>
      <c r="C24" s="343"/>
      <c r="D24" s="505" t="s">
        <v>4031</v>
      </c>
      <c r="E24" s="375"/>
      <c r="F24" s="375"/>
      <c r="G24" s="372"/>
      <c r="H24" s="372"/>
      <c r="I24" s="327"/>
      <c r="J24" s="333"/>
      <c r="K24" s="376"/>
      <c r="L24" s="354"/>
      <c r="M24" s="348"/>
      <c r="N24" s="294"/>
      <c r="O24" s="428"/>
      <c r="P24" s="332"/>
      <c r="Q24" s="332"/>
    </row>
    <row r="25" spans="2:17">
      <c r="B25" s="332"/>
      <c r="C25" s="343"/>
      <c r="D25" s="505"/>
      <c r="E25" s="375"/>
      <c r="F25" s="375"/>
      <c r="G25" s="343"/>
      <c r="H25" s="372"/>
      <c r="I25" s="327"/>
      <c r="J25" s="333"/>
      <c r="K25" s="354" t="s">
        <v>3829</v>
      </c>
      <c r="L25" s="369">
        <f>'College-Populated Metrics'!L25</f>
        <v>0</v>
      </c>
      <c r="M25" s="348"/>
      <c r="N25" s="294"/>
      <c r="O25" s="332"/>
      <c r="P25" s="332"/>
      <c r="Q25" s="332"/>
    </row>
    <row r="26" spans="2:17">
      <c r="B26" s="332"/>
      <c r="C26" s="343"/>
      <c r="D26" s="332"/>
      <c r="E26" s="375"/>
      <c r="F26" s="375"/>
      <c r="G26" s="343"/>
      <c r="H26" s="294"/>
      <c r="I26" s="345"/>
      <c r="J26" s="333"/>
      <c r="K26" s="361"/>
      <c r="L26" s="361"/>
      <c r="M26" s="348"/>
      <c r="N26" s="294"/>
      <c r="O26" s="421" t="s">
        <v>3824</v>
      </c>
      <c r="P26" s="429">
        <f>'College-Populated Metrics'!G21</f>
        <v>0</v>
      </c>
      <c r="Q26" s="332"/>
    </row>
    <row r="27" spans="2:17">
      <c r="B27" s="332"/>
      <c r="C27" s="324" t="s">
        <v>3963</v>
      </c>
      <c r="D27" s="325"/>
      <c r="E27" s="325"/>
      <c r="F27" s="325"/>
      <c r="G27" s="326"/>
      <c r="H27" s="294"/>
      <c r="I27" s="327"/>
      <c r="J27" s="333"/>
      <c r="K27" s="354" t="s">
        <v>3827</v>
      </c>
      <c r="L27" s="369">
        <f>'College-Populated Metrics'!L27</f>
        <v>0</v>
      </c>
      <c r="M27" s="348"/>
      <c r="N27" s="294"/>
      <c r="O27" s="423" t="s">
        <v>3825</v>
      </c>
      <c r="P27" s="430">
        <f>IF(SUM(L20,L21)&gt;0,SUM(L20,L21,P11),0)</f>
        <v>0</v>
      </c>
      <c r="Q27" s="332"/>
    </row>
    <row r="28" spans="2:17">
      <c r="B28" s="332"/>
      <c r="C28" s="332"/>
      <c r="D28" s="332"/>
      <c r="E28" s="332"/>
      <c r="F28" s="332"/>
      <c r="G28" s="332"/>
      <c r="H28" s="297"/>
      <c r="I28" s="327"/>
      <c r="J28" s="333"/>
      <c r="K28" s="377" t="s">
        <v>3830</v>
      </c>
      <c r="L28" s="369">
        <f>'College-Populated Metrics'!L28</f>
        <v>0</v>
      </c>
      <c r="M28" s="348"/>
      <c r="N28" s="294"/>
      <c r="O28" s="431" t="s">
        <v>3826</v>
      </c>
      <c r="P28" s="425">
        <f>L11</f>
        <v>3666</v>
      </c>
      <c r="Q28" s="332"/>
    </row>
    <row r="29" spans="2:17">
      <c r="B29" s="332"/>
      <c r="C29" s="337" t="s">
        <v>4030</v>
      </c>
      <c r="D29" s="338"/>
      <c r="E29" s="339"/>
      <c r="F29" s="339"/>
      <c r="G29" s="339"/>
      <c r="H29" s="294"/>
      <c r="I29" s="378"/>
      <c r="J29" s="333"/>
      <c r="K29" s="354" t="s">
        <v>3828</v>
      </c>
      <c r="L29" s="369">
        <f>'College-Populated Metrics'!L29</f>
        <v>0</v>
      </c>
      <c r="M29" s="348"/>
      <c r="N29" s="332"/>
      <c r="O29" s="432" t="s">
        <v>3822</v>
      </c>
      <c r="P29" s="427">
        <f>P26*P27*P28</f>
        <v>0</v>
      </c>
      <c r="Q29" s="332"/>
    </row>
    <row r="30" spans="2:17">
      <c r="B30" s="332"/>
      <c r="C30" s="365"/>
      <c r="D30" s="344"/>
      <c r="E30" s="340"/>
      <c r="F30" s="340"/>
      <c r="G30" s="340"/>
      <c r="H30" s="372"/>
      <c r="I30" s="378"/>
      <c r="J30" s="333"/>
      <c r="K30" s="335"/>
      <c r="L30" s="335"/>
      <c r="M30" s="348"/>
      <c r="N30" s="332"/>
      <c r="O30" s="433" t="s">
        <v>3823</v>
      </c>
      <c r="P30" s="427">
        <f>P29-(P29*P13)</f>
        <v>0</v>
      </c>
      <c r="Q30" s="332"/>
    </row>
    <row r="31" spans="2:17">
      <c r="B31" s="332"/>
      <c r="C31" s="332"/>
      <c r="D31" s="332"/>
      <c r="E31" s="367" t="s">
        <v>4009</v>
      </c>
      <c r="F31" s="368"/>
      <c r="G31" s="366">
        <f>L18</f>
        <v>0</v>
      </c>
      <c r="H31" s="372"/>
      <c r="I31" s="327"/>
      <c r="J31" s="379"/>
      <c r="K31" s="380" t="s">
        <v>3803</v>
      </c>
      <c r="L31" s="381"/>
      <c r="M31" s="382"/>
      <c r="N31" s="332"/>
      <c r="O31" s="332"/>
      <c r="P31" s="332"/>
      <c r="Q31" s="332"/>
    </row>
    <row r="32" spans="2:17">
      <c r="B32" s="332"/>
      <c r="C32" s="332"/>
      <c r="D32" s="332"/>
      <c r="E32" s="383" t="s">
        <v>4010</v>
      </c>
      <c r="F32" s="384"/>
      <c r="G32" s="293">
        <f>'College-Populated Metrics'!G32</f>
        <v>0</v>
      </c>
      <c r="H32" s="372"/>
      <c r="I32" s="327"/>
      <c r="J32" s="294"/>
      <c r="K32" s="294"/>
      <c r="L32" s="294"/>
      <c r="M32" s="385"/>
      <c r="N32" s="332"/>
      <c r="O32" s="332"/>
      <c r="P32" s="332"/>
      <c r="Q32" s="332"/>
    </row>
    <row r="33" spans="2:17" ht="15" customHeight="1">
      <c r="B33" s="332"/>
      <c r="C33" s="332"/>
      <c r="D33" s="386"/>
      <c r="E33" s="387"/>
      <c r="F33" s="387"/>
      <c r="G33" s="351"/>
      <c r="H33" s="388"/>
      <c r="I33" s="327"/>
      <c r="J33" s="294"/>
      <c r="K33" s="294"/>
      <c r="L33" s="294"/>
      <c r="M33" s="385"/>
      <c r="N33" s="332"/>
      <c r="O33" s="332"/>
      <c r="P33" s="332" t="s">
        <v>3794</v>
      </c>
      <c r="Q33" s="332" t="s">
        <v>3795</v>
      </c>
    </row>
    <row r="34" spans="2:17" ht="35.1" customHeight="1">
      <c r="B34" s="332"/>
      <c r="C34" s="389"/>
      <c r="D34" s="390" t="s">
        <v>4019</v>
      </c>
      <c r="E34" s="391"/>
      <c r="F34" s="391"/>
      <c r="G34" s="391"/>
      <c r="H34" s="388"/>
      <c r="I34" s="327"/>
      <c r="J34" s="294"/>
      <c r="K34" s="294"/>
      <c r="L34" s="294"/>
      <c r="M34" s="385"/>
      <c r="N34" s="332"/>
      <c r="O34" s="434" t="s">
        <v>3790</v>
      </c>
      <c r="P34" s="435"/>
      <c r="Q34" s="435">
        <f>'College-Populated Metrics'!G32</f>
        <v>0</v>
      </c>
    </row>
    <row r="35" spans="2:17">
      <c r="B35" s="332"/>
      <c r="C35" s="343"/>
      <c r="D35" s="392"/>
      <c r="E35" s="340"/>
      <c r="F35" s="340"/>
      <c r="G35" s="340"/>
      <c r="H35" s="388"/>
      <c r="I35" s="327"/>
      <c r="J35" s="294"/>
      <c r="K35" s="294"/>
      <c r="L35" s="294"/>
      <c r="M35" s="385"/>
      <c r="N35" s="332"/>
      <c r="O35" s="332" t="s">
        <v>3788</v>
      </c>
      <c r="P35" s="436">
        <f>P9</f>
        <v>0</v>
      </c>
      <c r="Q35" s="436">
        <f>(P9+Q34)</f>
        <v>0</v>
      </c>
    </row>
    <row r="36" spans="2:17" ht="15" customHeight="1">
      <c r="B36" s="332"/>
      <c r="C36" s="332"/>
      <c r="D36" s="393" t="s">
        <v>4016</v>
      </c>
      <c r="E36" s="332"/>
      <c r="F36" s="394"/>
      <c r="G36" s="357">
        <f>P38</f>
        <v>0</v>
      </c>
      <c r="H36" s="294"/>
      <c r="I36" s="327"/>
      <c r="J36" s="294"/>
      <c r="K36" s="294"/>
      <c r="L36" s="294"/>
      <c r="M36" s="385"/>
      <c r="N36" s="332"/>
      <c r="O36" s="423" t="s">
        <v>3781</v>
      </c>
      <c r="P36" s="437">
        <f>P8</f>
        <v>36.01582105837425</v>
      </c>
      <c r="Q36" s="437">
        <f>P8</f>
        <v>36.01582105837425</v>
      </c>
    </row>
    <row r="37" spans="2:17" ht="25.5">
      <c r="B37" s="332"/>
      <c r="C37" s="332"/>
      <c r="D37" s="395" t="s">
        <v>4033</v>
      </c>
      <c r="E37" s="332"/>
      <c r="F37" s="394"/>
      <c r="G37" s="396"/>
      <c r="H37" s="294"/>
      <c r="I37" s="327"/>
      <c r="J37" s="294"/>
      <c r="K37" s="294"/>
      <c r="L37" s="294"/>
      <c r="M37" s="385"/>
      <c r="N37" s="332"/>
      <c r="O37" s="294" t="s">
        <v>3789</v>
      </c>
      <c r="P37" s="425">
        <f>IF($P$9&lt;&gt;0,($L$14-($L$14*P35)),0)</f>
        <v>0</v>
      </c>
      <c r="Q37" s="425">
        <f>IF($P$9&lt;&gt;0,($L$14-($L$14*Q35)),0)</f>
        <v>0</v>
      </c>
    </row>
    <row r="38" spans="2:17">
      <c r="B38" s="332"/>
      <c r="C38" s="332"/>
      <c r="D38" s="393" t="s">
        <v>4018</v>
      </c>
      <c r="E38" s="332"/>
      <c r="F38" s="397"/>
      <c r="G38" s="357">
        <f>Q40</f>
        <v>0</v>
      </c>
      <c r="H38" s="372"/>
      <c r="I38" s="327"/>
      <c r="J38" s="294"/>
      <c r="K38" s="294"/>
      <c r="L38" s="294"/>
      <c r="M38" s="385"/>
      <c r="N38" s="332"/>
      <c r="O38" s="426" t="s">
        <v>3791</v>
      </c>
      <c r="P38" s="425">
        <f>P15*P37</f>
        <v>0</v>
      </c>
      <c r="Q38" s="425">
        <f>P15*Q37</f>
        <v>0</v>
      </c>
    </row>
    <row r="39" spans="2:17" ht="25.5">
      <c r="B39" s="332"/>
      <c r="C39" s="343"/>
      <c r="D39" s="395" t="s">
        <v>4035</v>
      </c>
      <c r="E39" s="332"/>
      <c r="F39" s="332"/>
      <c r="G39" s="332"/>
      <c r="H39" s="372"/>
      <c r="I39" s="327"/>
      <c r="J39" s="294"/>
      <c r="K39" s="294"/>
      <c r="L39" s="294"/>
      <c r="M39" s="294"/>
      <c r="N39" s="332"/>
      <c r="O39" s="332" t="s">
        <v>3792</v>
      </c>
      <c r="P39" s="427">
        <f>P37*SUM(L20:L21)</f>
        <v>0</v>
      </c>
      <c r="Q39" s="427">
        <f>Q37*SUM(L20:L21)</f>
        <v>0</v>
      </c>
    </row>
    <row r="40" spans="2:17" ht="28.5" customHeight="1">
      <c r="B40" s="332"/>
      <c r="C40" s="389"/>
      <c r="D40" s="398" t="s">
        <v>4020</v>
      </c>
      <c r="E40" s="391"/>
      <c r="F40" s="391"/>
      <c r="G40" s="391"/>
      <c r="H40" s="399"/>
      <c r="I40" s="327"/>
      <c r="J40" s="294"/>
      <c r="K40" s="294"/>
      <c r="L40" s="294"/>
      <c r="M40" s="294"/>
      <c r="N40" s="332"/>
      <c r="O40" s="332" t="s">
        <v>3796</v>
      </c>
      <c r="P40" s="332"/>
      <c r="Q40" s="424">
        <f>(P38-Q38)</f>
        <v>0</v>
      </c>
    </row>
    <row r="41" spans="2:17">
      <c r="B41" s="332"/>
      <c r="C41" s="343"/>
      <c r="D41" s="365"/>
      <c r="E41" s="340"/>
      <c r="F41" s="340"/>
      <c r="G41" s="340"/>
      <c r="H41" s="399"/>
      <c r="I41" s="327"/>
      <c r="J41" s="294"/>
      <c r="K41" s="294"/>
      <c r="L41" s="294"/>
      <c r="M41" s="294"/>
      <c r="N41" s="332"/>
      <c r="O41" s="344" t="s">
        <v>3797</v>
      </c>
      <c r="P41" s="332"/>
      <c r="Q41" s="430">
        <f>(P39-Q39)</f>
        <v>0</v>
      </c>
    </row>
    <row r="42" spans="2:17">
      <c r="B42" s="332"/>
      <c r="C42" s="332"/>
      <c r="D42" s="393" t="s">
        <v>4017</v>
      </c>
      <c r="E42" s="400"/>
      <c r="F42" s="394"/>
      <c r="G42" s="357">
        <f>P39</f>
        <v>0</v>
      </c>
      <c r="H42" s="399"/>
      <c r="I42" s="327"/>
      <c r="J42" s="332"/>
      <c r="K42" s="332"/>
      <c r="L42" s="332"/>
      <c r="M42" s="332"/>
      <c r="N42" s="332"/>
      <c r="O42" s="332"/>
      <c r="P42" s="332"/>
      <c r="Q42" s="332"/>
    </row>
    <row r="43" spans="2:17" ht="25.5" customHeight="1">
      <c r="B43" s="332"/>
      <c r="C43" s="332"/>
      <c r="D43" s="395" t="s">
        <v>4034</v>
      </c>
      <c r="E43" s="400"/>
      <c r="F43" s="394"/>
      <c r="G43" s="396"/>
      <c r="H43" s="399"/>
      <c r="I43" s="327"/>
      <c r="J43" s="332"/>
      <c r="K43" s="332"/>
      <c r="L43" s="332"/>
      <c r="M43" s="332"/>
      <c r="N43" s="332"/>
      <c r="O43" s="332" t="s">
        <v>3821</v>
      </c>
      <c r="P43" s="332"/>
      <c r="Q43" s="332"/>
    </row>
    <row r="44" spans="2:17" ht="15" customHeight="1">
      <c r="B44" s="332"/>
      <c r="C44" s="332"/>
      <c r="D44" s="393" t="s">
        <v>4038</v>
      </c>
      <c r="E44" s="400"/>
      <c r="F44" s="397"/>
      <c r="G44" s="357">
        <f>Q41</f>
        <v>0</v>
      </c>
      <c r="H44" s="399"/>
      <c r="I44" s="327"/>
      <c r="J44" s="332"/>
      <c r="K44" s="332"/>
      <c r="L44" s="332"/>
      <c r="M44" s="332"/>
      <c r="N44" s="332"/>
      <c r="O44" s="428" t="s">
        <v>3647</v>
      </c>
      <c r="P44" s="332"/>
      <c r="Q44" s="332"/>
    </row>
    <row r="45" spans="2:17" ht="25.5" customHeight="1">
      <c r="B45" s="332"/>
      <c r="C45" s="332"/>
      <c r="D45" s="395" t="s">
        <v>4036</v>
      </c>
      <c r="E45" s="332"/>
      <c r="F45" s="332"/>
      <c r="G45" s="332"/>
      <c r="H45" s="399"/>
      <c r="I45" s="327"/>
      <c r="J45" s="332"/>
      <c r="K45" s="332"/>
      <c r="L45" s="332"/>
      <c r="M45" s="332"/>
      <c r="N45" s="332"/>
      <c r="O45" s="332" t="s">
        <v>3646</v>
      </c>
      <c r="P45" s="332"/>
      <c r="Q45" s="332"/>
    </row>
    <row r="46" spans="2:17" ht="15" customHeight="1">
      <c r="B46" s="332"/>
      <c r="C46" s="332"/>
      <c r="D46" s="332"/>
      <c r="E46" s="332"/>
      <c r="F46" s="332"/>
      <c r="G46" s="332"/>
      <c r="H46" s="399"/>
      <c r="I46" s="327"/>
      <c r="J46" s="332"/>
      <c r="K46" s="332"/>
      <c r="L46" s="332"/>
      <c r="M46" s="332"/>
      <c r="N46" s="332"/>
      <c r="O46" s="332" t="s">
        <v>3645</v>
      </c>
      <c r="P46" s="332"/>
      <c r="Q46" s="332"/>
    </row>
    <row r="47" spans="2:17">
      <c r="B47" s="332"/>
      <c r="C47" s="324" t="s">
        <v>3642</v>
      </c>
      <c r="D47" s="325"/>
      <c r="E47" s="325"/>
      <c r="F47" s="325"/>
      <c r="G47" s="326"/>
      <c r="H47" s="399"/>
      <c r="I47" s="327"/>
      <c r="J47" s="332"/>
      <c r="K47" s="332"/>
      <c r="L47" s="332"/>
      <c r="M47" s="332"/>
      <c r="N47" s="332"/>
      <c r="O47" s="332"/>
      <c r="P47" s="332"/>
      <c r="Q47" s="332"/>
    </row>
    <row r="48" spans="2:17">
      <c r="B48" s="332"/>
      <c r="C48" s="332"/>
      <c r="D48" s="332"/>
      <c r="E48" s="332"/>
      <c r="F48" s="332"/>
      <c r="G48" s="332"/>
      <c r="H48" s="399"/>
      <c r="I48" s="327"/>
      <c r="J48" s="332"/>
      <c r="K48" s="332"/>
      <c r="L48" s="332"/>
      <c r="M48" s="332"/>
      <c r="N48" s="332"/>
      <c r="O48" s="332"/>
      <c r="P48" s="332"/>
      <c r="Q48" s="332"/>
    </row>
    <row r="49" spans="2:17">
      <c r="B49" s="332"/>
      <c r="C49" s="337" t="s">
        <v>4011</v>
      </c>
      <c r="D49" s="338"/>
      <c r="E49" s="339"/>
      <c r="F49" s="339"/>
      <c r="G49" s="401"/>
      <c r="H49" s="399"/>
      <c r="I49" s="327"/>
      <c r="J49" s="332"/>
      <c r="K49" s="332"/>
      <c r="L49" s="332"/>
      <c r="M49" s="332"/>
      <c r="N49" s="332"/>
      <c r="O49" s="332"/>
      <c r="P49" s="332"/>
      <c r="Q49" s="332"/>
    </row>
    <row r="50" spans="2:17" ht="25.5">
      <c r="B50" s="332"/>
      <c r="C50" s="332"/>
      <c r="D50" s="402" t="s">
        <v>45</v>
      </c>
      <c r="E50" s="403"/>
      <c r="F50" s="403"/>
      <c r="G50" s="404" t="str">
        <f>IF(L25&lt;&gt;0,L28/L25,"")</f>
        <v/>
      </c>
      <c r="H50" s="399"/>
      <c r="I50" s="327"/>
      <c r="J50" s="332"/>
      <c r="K50" s="332"/>
      <c r="L50" s="332"/>
      <c r="M50" s="332"/>
      <c r="N50" s="332"/>
      <c r="O50" s="332"/>
      <c r="P50" s="332"/>
      <c r="Q50" s="332"/>
    </row>
    <row r="51" spans="2:17">
      <c r="B51" s="332"/>
      <c r="C51" s="362"/>
      <c r="D51" s="405"/>
      <c r="E51" s="405"/>
      <c r="F51" s="405"/>
      <c r="G51" s="406"/>
      <c r="H51" s="399"/>
      <c r="I51" s="327"/>
      <c r="J51" s="332"/>
      <c r="K51" s="332"/>
      <c r="L51" s="332"/>
      <c r="M51" s="332"/>
      <c r="N51" s="332"/>
      <c r="O51" s="332"/>
      <c r="P51" s="332"/>
      <c r="Q51" s="332"/>
    </row>
    <row r="52" spans="2:17">
      <c r="B52" s="332"/>
      <c r="C52" s="337" t="s">
        <v>4012</v>
      </c>
      <c r="D52" s="338"/>
      <c r="E52" s="339"/>
      <c r="F52" s="339"/>
      <c r="G52" s="401"/>
      <c r="H52" s="399"/>
      <c r="I52" s="327"/>
      <c r="J52" s="332"/>
      <c r="K52" s="332"/>
      <c r="L52" s="332"/>
      <c r="M52" s="332"/>
      <c r="N52" s="332"/>
      <c r="O52" s="332"/>
      <c r="P52" s="332"/>
      <c r="Q52" s="332"/>
    </row>
    <row r="53" spans="2:17" ht="38.25">
      <c r="B53" s="332"/>
      <c r="C53" s="332"/>
      <c r="D53" s="402" t="s">
        <v>3831</v>
      </c>
      <c r="E53" s="407"/>
      <c r="F53" s="407"/>
      <c r="G53" s="404" t="str">
        <f>IF(L29&lt;&gt;0,L27/L29,"")</f>
        <v/>
      </c>
      <c r="H53" s="399"/>
      <c r="I53" s="327"/>
      <c r="J53" s="332"/>
      <c r="K53" s="332"/>
      <c r="L53" s="332"/>
      <c r="M53" s="332"/>
      <c r="N53" s="332"/>
      <c r="O53" s="332"/>
      <c r="P53" s="332"/>
      <c r="Q53" s="332"/>
    </row>
    <row r="54" spans="2:17">
      <c r="B54" s="332"/>
      <c r="C54" s="332"/>
      <c r="D54" s="332"/>
      <c r="E54" s="332"/>
      <c r="F54" s="332"/>
      <c r="G54" s="332"/>
      <c r="H54" s="294"/>
      <c r="I54" s="332"/>
      <c r="J54" s="332"/>
      <c r="K54" s="332"/>
      <c r="L54" s="332"/>
      <c r="M54" s="332"/>
      <c r="N54" s="332"/>
      <c r="O54" s="332"/>
      <c r="P54" s="332"/>
      <c r="Q54" s="332"/>
    </row>
    <row r="55" spans="2:17">
      <c r="B55" s="332"/>
      <c r="C55" s="332"/>
      <c r="D55" s="332"/>
      <c r="E55" s="332"/>
      <c r="F55" s="332"/>
      <c r="G55" s="332"/>
      <c r="H55" s="294"/>
      <c r="I55" s="332"/>
      <c r="J55" s="332"/>
      <c r="K55" s="332"/>
      <c r="L55" s="332"/>
      <c r="M55" s="332"/>
      <c r="N55" s="332"/>
      <c r="O55" s="332"/>
      <c r="P55" s="332"/>
      <c r="Q55" s="332"/>
    </row>
    <row r="56" spans="2:17">
      <c r="B56" s="332"/>
      <c r="C56" s="408" t="s">
        <v>11</v>
      </c>
      <c r="D56" s="332"/>
      <c r="E56" s="332"/>
      <c r="F56" s="332"/>
      <c r="G56" s="332"/>
      <c r="H56" s="294"/>
      <c r="I56" s="332"/>
      <c r="J56" s="332"/>
      <c r="K56" s="332"/>
      <c r="L56" s="332"/>
      <c r="M56" s="332"/>
      <c r="N56" s="332"/>
      <c r="O56" s="332"/>
      <c r="P56" s="332"/>
      <c r="Q56" s="332"/>
    </row>
    <row r="57" spans="2:17">
      <c r="B57" s="332"/>
      <c r="C57" s="409" t="s">
        <v>3954</v>
      </c>
      <c r="D57" s="332"/>
      <c r="E57" s="408"/>
      <c r="F57" s="408"/>
      <c r="G57" s="332"/>
      <c r="H57" s="294"/>
      <c r="I57" s="332"/>
      <c r="J57" s="332"/>
      <c r="K57" s="332"/>
      <c r="L57" s="332"/>
      <c r="M57" s="332"/>
      <c r="N57" s="332"/>
      <c r="O57" s="332"/>
      <c r="P57" s="332"/>
      <c r="Q57" s="332"/>
    </row>
    <row r="58" spans="2:17">
      <c r="B58" s="332"/>
      <c r="C58" s="410" t="s">
        <v>4014</v>
      </c>
      <c r="D58" s="332"/>
      <c r="E58" s="409"/>
      <c r="F58" s="409"/>
      <c r="G58" s="332"/>
      <c r="H58" s="294"/>
      <c r="I58" s="332"/>
      <c r="J58" s="332"/>
      <c r="K58" s="332"/>
      <c r="L58" s="332"/>
      <c r="M58" s="332"/>
      <c r="N58" s="332"/>
      <c r="O58" s="332"/>
      <c r="P58" s="332"/>
      <c r="Q58" s="332"/>
    </row>
    <row r="59" spans="2:17">
      <c r="B59" s="332"/>
      <c r="C59" s="410" t="s">
        <v>4015</v>
      </c>
      <c r="D59" s="332"/>
      <c r="E59" s="332"/>
      <c r="F59" s="332"/>
      <c r="G59" s="332"/>
      <c r="H59" s="294"/>
      <c r="I59" s="332"/>
      <c r="J59" s="332"/>
      <c r="K59" s="332"/>
      <c r="L59" s="332"/>
      <c r="M59" s="332"/>
      <c r="N59" s="332"/>
      <c r="O59" s="332"/>
      <c r="P59" s="332"/>
      <c r="Q59" s="332"/>
    </row>
    <row r="60" spans="2:17">
      <c r="B60" s="332"/>
      <c r="C60" s="410" t="s">
        <v>4021</v>
      </c>
      <c r="D60" s="332"/>
      <c r="E60" s="332"/>
      <c r="F60" s="332"/>
      <c r="G60" s="332"/>
      <c r="H60" s="294"/>
      <c r="I60" s="332"/>
      <c r="J60" s="332"/>
      <c r="K60" s="332"/>
      <c r="L60" s="332"/>
      <c r="M60" s="332"/>
      <c r="N60" s="332"/>
      <c r="O60" s="332"/>
      <c r="P60" s="332"/>
      <c r="Q60" s="332"/>
    </row>
    <row r="61" spans="2:17">
      <c r="B61" s="332"/>
      <c r="C61" s="410" t="s">
        <v>4022</v>
      </c>
      <c r="D61" s="332"/>
      <c r="E61" s="332"/>
      <c r="F61" s="332"/>
      <c r="G61" s="332"/>
      <c r="H61" s="294"/>
      <c r="I61" s="332"/>
      <c r="J61" s="332"/>
      <c r="K61" s="332"/>
      <c r="L61" s="332"/>
      <c r="M61" s="332"/>
      <c r="N61" s="332"/>
      <c r="O61" s="332"/>
      <c r="P61" s="332"/>
      <c r="Q61" s="332"/>
    </row>
  </sheetData>
  <sheetProtection algorithmName="SHA-512" hashValue="5QJRXmlrMOJqZHsSfo/2xkZhxYdh5N+kUJMknjpbmE4oLP6rTUFmoeDtIEdXxdd08TI0zKNe0b2vadjOIVKPWg==" saltValue="155JI4Dmlya3J4qOeqUhkw==" spinCount="100000" sheet="1" objects="1" scenarios="1"/>
  <mergeCells count="2">
    <mergeCell ref="D15:D16"/>
    <mergeCell ref="D24:D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About</vt:lpstr>
      <vt:lpstr>Affordability</vt:lpstr>
      <vt:lpstr>Revenue and Spending</vt:lpstr>
      <vt:lpstr>Efficiency</vt:lpstr>
      <vt:lpstr>Outcomes</vt:lpstr>
      <vt:lpstr>Dashboard Metrics</vt:lpstr>
      <vt:lpstr>Graphics</vt:lpstr>
      <vt:lpstr>College-Populated Metrics</vt:lpstr>
      <vt:lpstr>ROI Calculations</vt:lpstr>
      <vt:lpstr>Definitions</vt:lpstr>
      <vt:lpstr>LUMINA_DASH_DATA_FY16_TEMP</vt:lpstr>
      <vt:lpstr>LUMINA_DASH_MEANS_FY16_TEMP</vt:lpstr>
      <vt:lpstr>LUMINA_DASH_DATA_FY16_TEMP!LUMINA_DASH_DATA_FY16_TEMP</vt:lpstr>
      <vt:lpstr>LUMINA_DASH_MEANS_FY16_TEMP</vt:lpstr>
      <vt:lpstr>Affordability!Print_Area</vt:lpstr>
      <vt:lpstr>'Dashboard Metrics'!Print_Area</vt:lpstr>
      <vt:lpstr>'Revenue and Spending'!Print_Area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Desrochers</dc:creator>
  <cp:lastModifiedBy>Donna Desrochers</cp:lastModifiedBy>
  <dcterms:created xsi:type="dcterms:W3CDTF">2018-05-01T20:47:31Z</dcterms:created>
  <dcterms:modified xsi:type="dcterms:W3CDTF">2020-08-25T13:30:33Z</dcterms:modified>
</cp:coreProperties>
</file>